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1440" yWindow="-20540" windowWidth="384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rgb="FF000000"/>
            <family val="2"/>
            <sz val="11"/>
            <rFont val="Calibri"/>
          </rPr>
          <t xml:space="preserve">======
</t>
        </r>
        <r>
          <rPr>
            <color rgb="FF000000"/>
            <family val="2"/>
            <sz val="11"/>
            <rFont val="Calibri"/>
          </rPr>
          <t xml:space="preserve">ID#AAABs2OVxXk
</t>
        </r>
        <r>
          <rPr>
            <color rgb="FF000000"/>
            <family val="2"/>
            <sz val="11"/>
            <rFont val="Calibri"/>
          </rPr>
          <t xml:space="preserve">Connor Kelly    (2025-11-08 02:00:03)
</t>
        </r>
        <r>
          <rPr>
            <color rgb="FF000000"/>
            <family val="2"/>
            <sz val="11"/>
            <rFont val="Calibri"/>
          </rPr>
          <t>Additions to property and equipment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<sst xmlns="http://schemas.openxmlformats.org/spreadsheetml/2006/main" count="7564" uniqueCount="2125">
  <si>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</si>
  <si>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</si>
  <si>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</si>
  <si>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</si>
  <si>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</si>
  <si>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</si>
  <si>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</si>
  <si>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</si>
  <si>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</si>
  <si>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</si>
  <si>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</si>
  <si>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</si>
  <si>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</si>
  <si>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</si>
  <si>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</si>
  <si>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</si>
  <si>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</si>
  <si>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</si>
  <si>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</si>
  <si>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</si>
  <si>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</si>
  <si>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</si>
  <si>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</si>
  <si>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</si>
  <si>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</si>
  <si>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</si>
  <si>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</si>
  <si>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</si>
  <si>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</si>
  <si>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</si>
  <si>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</si>
  <si>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</si>
  <si>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</si>
  <si>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</si>
  <si>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</si>
  <si>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</si>
  <si>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</si>
  <si>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</si>
  <si>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</si>
  <si>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</si>
  <si>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</si>
  <si>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</si>
  <si>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</si>
  <si>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</si>
  <si>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</si>
  <si>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</si>
  <si>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</si>
  <si>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</si>
  <si>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</si>
  <si>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</si>
  <si>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</si>
  <si>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</si>
  <si>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</si>
  <si>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</si>
  <si>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</si>
  <si>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</si>
  <si>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</si>
  <si>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</si>
  <si>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</si>
  <si>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</si>
  <si>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</si>
  <si>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</si>
  <si>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</si>
  <si>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</si>
  <si>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</si>
  <si>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</si>
  <si>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</si>
  <si>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</si>
  <si>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</si>
  <si>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</si>
  <si>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</si>
  <si>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</si>
  <si>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</si>
  <si>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</si>
  <si>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</si>
  <si>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</si>
  <si>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</si>
  <si>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</si>
  <si>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</si>
  <si>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</si>
  <si>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</si>
  <si>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</si>
  <si>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</si>
  <si>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</si>
  <si>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</si>
  <si>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</si>
  <si>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</si>
  <si>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</si>
  <si>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</si>
  <si>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</si>
  <si>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</si>
  <si>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</si>
  <si>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</si>
  <si>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</si>
  <si>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</si>
  <si>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</si>
  <si>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</si>
  <si>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</si>
  <si>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</si>
  <si>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</si>
  <si>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</si>
  <si>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</si>
  <si>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</si>
  <si>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</si>
  <si>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</si>
  <si>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</si>
  <si>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</si>
  <si>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</si>
  <si>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</si>
  <si>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</si>
  <si>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</si>
  <si>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</si>
  <si>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</si>
  <si>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</si>
  <si>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</si>
  <si>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</si>
  <si>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</si>
  <si>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</si>
  <si>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</si>
  <si>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</si>
  <si>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</si>
  <si>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</si>
  <si>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</si>
  <si>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</si>
  <si>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</si>
  <si>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</si>
  <si>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</si>
  <si>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</si>
  <si>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</si>
  <si>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</si>
  <si>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</si>
  <si>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</si>
  <si>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</si>
  <si>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</si>
  <si>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</si>
  <si>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</si>
  <si>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</si>
  <si>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</si>
  <si>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</si>
  <si>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</si>
  <si>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</si>
  <si>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</si>
  <si>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</si>
  <si>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</si>
  <si>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</si>
  <si>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</si>
  <si>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</si>
  <si>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</si>
  <si>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</si>
  <si>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</si>
  <si>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</si>
  <si>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</si>
  <si>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</si>
  <si>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</si>
  <si>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</si>
  <si>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</si>
  <si>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</si>
  <si>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</si>
  <si>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</si>
  <si>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</si>
  <si>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</si>
  <si>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</si>
  <si>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</si>
  <si>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</si>
  <si>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</si>
  <si>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</si>
  <si>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</si>
  <si>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</si>
  <si>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</si>
  <si>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</si>
  <si>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</si>
  <si>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</si>
  <si>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</si>
  <si>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</si>
  <si>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</si>
  <si>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</si>
  <si>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</si>
  <si>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</si>
  <si>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</si>
  <si>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</si>
  <si>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</si>
  <si>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</si>
  <si>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</si>
  <si>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</si>
  <si>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</si>
  <si>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</si>
  <si>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</si>
  <si>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</si>
  <si>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</si>
  <si>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</si>
  <si>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</si>
  <si>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</si>
  <si>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</si>
  <si>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</si>
  <si>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</si>
  <si>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</si>
  <si>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</si>
  <si>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</si>
  <si>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</si>
  <si>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</si>
  <si>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</si>
  <si>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</si>
  <si>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</si>
  <si>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</si>
  <si>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</si>
  <si>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</si>
  <si>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</si>
  <si>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</si>
  <si>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</si>
  <si>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</si>
  <si>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</si>
  <si>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</si>
  <si>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</si>
  <si>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</si>
  <si>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</si>
  <si>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</si>
  <si>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</si>
  <si>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</si>
  <si>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</si>
  <si>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</si>
  <si>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</si>
  <si>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</si>
  <si>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</si>
  <si>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</si>
  <si>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</si>
  <si>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</si>
  <si>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</si>
  <si>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</si>
  <si>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</si>
  <si>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</si>
  <si>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</si>
  <si>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</si>
  <si>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</si>
  <si>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</si>
  <si>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</si>
  <si>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</si>
  <si>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</si>
  <si>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</si>
  <si>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</si>
  <si>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</si>
  <si>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</si>
  <si>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</si>
  <si>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</si>
  <si>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</si>
  <si>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</si>
  <si>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</si>
  <si>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</si>
  <si>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</si>
  <si>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</si>
  <si>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</si>
  <si>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</si>
  <si>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</si>
  <si>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</si>
  <si>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</si>
  <si>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</si>
  <si>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</si>
  <si>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</si>
  <si>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</si>
  <si>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</si>
  <si>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</si>
  <si>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</si>
  <si>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</si>
  <si>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</si>
  <si>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</si>
  <si>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</si>
  <si>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</si>
  <si>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</si>
  <si>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</si>
  <si>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</si>
  <si>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</si>
  <si>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</si>
  <si>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</si>
  <si>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</si>
  <si>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</si>
  <si>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</si>
  <si>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</si>
  <si>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</si>
  <si>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</si>
  <si>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</si>
  <si>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</si>
  <si>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</si>
  <si>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</si>
  <si>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</si>
  <si>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</si>
  <si>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</si>
  <si>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</si>
  <si>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</si>
  <si>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</si>
  <si>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</si>
  <si>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</si>
  <si>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</si>
  <si>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</si>
  <si>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</si>
  <si>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</si>
  <si>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</si>
  <si>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</si>
  <si>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</si>
  <si>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</si>
  <si>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</si>
  <si>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</si>
  <si>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</si>
  <si>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</si>
  <si>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</si>
  <si>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</si>
  <si>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</si>
  <si>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</si>
  <si>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</si>
  <si>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</si>
  <si>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</si>
  <si>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</si>
  <si>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</si>
  <si>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</si>
  <si>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</si>
  <si>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</si>
  <si>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</si>
  <si>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</si>
  <si>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</si>
  <si>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</si>
  <si>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</si>
  <si>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</si>
  <si>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</si>
  <si>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</si>
  <si>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</si>
  <si>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</si>
  <si>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</si>
  <si>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</si>
  <si>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</si>
  <si>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</si>
  <si>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</si>
  <si>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</si>
  <si>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</si>
  <si>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</si>
  <si>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</si>
  <si>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</si>
  <si>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</si>
  <si>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</si>
  <si>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</si>
  <si>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</si>
  <si>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</si>
  <si>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</si>
  <si>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</si>
  <si>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</si>
  <si>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</si>
  <si>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</si>
  <si>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</si>
  <si>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</si>
  <si>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</si>
  <si>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</si>
  <si>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</si>
  <si>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</si>
  <si>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</si>
  <si>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</si>
  <si>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</si>
  <si>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</si>
  <si>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</si>
  <si>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</si>
  <si>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</si>
  <si>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</si>
  <si>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</si>
  <si>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</si>
  <si>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</si>
  <si>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</si>
  <si>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</si>
  <si>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</si>
  <si>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</si>
  <si>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</si>
  <si>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</si>
  <si>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</si>
  <si>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</si>
  <si>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</si>
  <si>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</si>
  <si>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</si>
  <si>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</si>
  <si>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</si>
  <si>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</si>
  <si>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</si>
  <si>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</si>
  <si>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</si>
  <si>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</si>
  <si>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</si>
  <si>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</si>
  <si>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</si>
  <si>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</si>
  <si>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</si>
  <si>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</si>
  <si>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</si>
  <si>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</si>
  <si>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</si>
  <si>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</si>
  <si>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</si>
  <si>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</si>
  <si>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</si>
  <si>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</si>
  <si>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</si>
  <si>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</si>
  <si>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</si>
  <si>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</si>
  <si>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</si>
  <si>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</si>
  <si>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</si>
  <si>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</si>
  <si>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</si>
  <si>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</si>
  <si>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</si>
  <si>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</si>
  <si>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</si>
  <si>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</si>
  <si>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</si>
  <si>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</si>
  <si>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</si>
  <si>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</si>
  <si>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</si>
  <si>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</si>
  <si>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</si>
  <si>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</si>
  <si>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</si>
  <si>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</si>
  <si>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</si>
  <si>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</si>
  <si>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</si>
  <si>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</si>
  <si>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</si>
  <si>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</si>
  <si>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</si>
  <si>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</si>
  <si>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</si>
  <si>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</si>
  <si>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</si>
  <si>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</si>
  <si>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</si>
  <si>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</si>
  <si>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</si>
  <si>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</si>
  <si>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</si>
  <si>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</si>
  <si>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</si>
  <si>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</si>
  <si>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</si>
  <si>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</si>
  <si>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</si>
  <si>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</si>
  <si>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</si>
  <si>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</si>
  <si>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</si>
  <si>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</si>
  <si>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</si>
  <si>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</si>
  <si>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</si>
  <si>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</si>
  <si>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</si>
  <si>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</si>
  <si>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</si>
  <si>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</si>
  <si>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</si>
  <si>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</si>
  <si>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</si>
  <si>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</si>
  <si>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</si>
  <si>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</si>
  <si>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</si>
  <si>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</si>
  <si>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</si>
  <si>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</si>
  <si>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</si>
  <si>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</si>
  <si>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</si>
  <si>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</si>
  <si>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</si>
  <si>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</si>
  <si>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</si>
  <si>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</si>
  <si>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</si>
  <si>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</si>
  <si>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</si>
  <si>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</si>
  <si>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</si>
  <si>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</si>
  <si>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</si>
  <si>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</si>
  <si>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</si>
  <si>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</si>
  <si>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</si>
  <si>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</si>
  <si>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</si>
  <si>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</si>
  <si>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</si>
  <si>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</si>
  <si>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</si>
  <si>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</si>
  <si>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</si>
  <si>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</si>
  <si>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</si>
  <si>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</si>
  <si>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</si>
  <si>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</si>
  <si>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</si>
  <si>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</si>
  <si>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</si>
  <si>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</si>
  <si>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</si>
  <si>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</si>
  <si>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</si>
  <si>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</si>
  <si>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</si>
  <si>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</si>
  <si>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</si>
  <si>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</si>
  <si>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</si>
  <si>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</si>
  <si>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</si>
  <si>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</si>
  <si>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</si>
  <si>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</si>
  <si>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</si>
  <si>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</si>
  <si>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</si>
  <si>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</si>
  <si>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</si>
  <si>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</si>
  <si>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</si>
  <si>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</si>
  <si>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</si>
  <si>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</si>
  <si>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</si>
  <si>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</si>
  <si>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</si>
  <si>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</si>
  <si>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</si>
  <si>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</si>
  <si>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</si>
  <si>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</si>
  <si>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</si>
  <si>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</si>
  <si>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</si>
  <si>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</si>
  <si>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</si>
  <si>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</si>
  <si>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</si>
  <si>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</si>
  <si>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</si>
  <si>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</si>
  <si>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</si>
  <si>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</si>
  <si>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</si>
  <si>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</si>
  <si>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</si>
  <si>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</si>
  <si>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</si>
  <si>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</si>
  <si>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</si>
  <si>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</si>
  <si>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</si>
  <si>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</si>
  <si>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</si>
  <si>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</si>
  <si>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</si>
  <si>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</si>
  <si>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</si>
  <si>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</si>
  <si>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</si>
  <si>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</si>
  <si>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</si>
  <si>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</si>
  <si>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</si>
  <si>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</si>
  <si>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</si>
  <si>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</si>
  <si>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</si>
  <si>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</si>
  <si>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</si>
  <si>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</si>
  <si>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</si>
  <si>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</si>
  <si>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</si>
  <si>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</si>
  <si>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</si>
  <si>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</si>
  <si>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</si>
  <si>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</si>
  <si>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</si>
  <si>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</si>
  <si>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</si>
  <si>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</si>
  <si>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</si>
  <si>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</si>
  <si>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</si>
  <si>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</si>
  <si>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</si>
  <si>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</si>
  <si>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</si>
  <si>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</si>
  <si>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</si>
  <si>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</si>
  <si>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</si>
  <si>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</si>
  <si>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</si>
  <si>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</si>
  <si>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</si>
  <si>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</si>
  <si>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</si>
  <si>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</si>
  <si>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</si>
  <si>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</si>
  <si>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</si>
  <si>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</si>
  <si>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</si>
  <si>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</si>
  <si>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</si>
  <si>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</si>
  <si>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</si>
  <si>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</si>
  <si>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</si>
  <si>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</si>
  <si>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</si>
  <si>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</si>
  <si>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</si>
  <si>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</si>
  <si>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</si>
  <si>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</si>
  <si>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</si>
  <si>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</si>
  <si>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</si>
  <si>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</si>
  <si>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</si>
  <si>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</si>
  <si>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</si>
  <si>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</si>
  <si>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</si>
  <si>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</si>
  <si>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</si>
  <si>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</si>
  <si>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</si>
  <si>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</si>
  <si>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</si>
  <si>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</si>
  <si>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</si>
  <si>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</si>
  <si>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</si>
  <si>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</si>
  <si>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</si>
  <si>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</si>
  <si>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</si>
  <si>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</si>
  <si>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</si>
  <si>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</si>
  <si>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</si>
  <si>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</si>
  <si>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</si>
  <si>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</si>
  <si>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</si>
  <si>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</si>
  <si>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</si>
  <si>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</si>
  <si>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</si>
  <si>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</si>
  <si>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</si>
  <si>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</si>
  <si>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</si>
  <si>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</si>
  <si>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</si>
  <si>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</si>
  <si>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</si>
  <si>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</si>
  <si>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</si>
  <si>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</si>
  <si>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</si>
  <si>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</si>
  <si>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</si>
  <si>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</si>
  <si>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</si>
  <si>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</si>
  <si>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</si>
  <si>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</si>
  <si>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</si>
  <si>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</si>
  <si>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</si>
  <si>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</si>
  <si>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</si>
  <si>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</si>
  <si>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</si>
  <si>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</si>
  <si>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</si>
  <si>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</si>
  <si>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</si>
  <si>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</si>
  <si>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</si>
  <si>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</si>
  <si>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</si>
  <si>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</si>
  <si>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</si>
  <si>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</si>
  <si>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</si>
  <si>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</si>
  <si>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</si>
  <si>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</si>
  <si>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</si>
  <si>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</si>
  <si>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</si>
  <si>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</si>
  <si>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</si>
  <si>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</si>
  <si>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</si>
  <si>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</si>
  <si>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</si>
  <si>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</si>
  <si>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</si>
  <si>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</si>
  <si>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</si>
  <si>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</si>
  <si>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</si>
  <si>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</si>
  <si>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</si>
  <si>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</si>
  <si>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</si>
  <si>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</si>
  <si>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</si>
  <si>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</si>
  <si>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</si>
  <si>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</si>
  <si>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</si>
  <si>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</si>
  <si>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</si>
  <si>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</si>
  <si>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</si>
  <si>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</si>
  <si>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</si>
  <si>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</si>
  <si>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</si>
  <si>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</si>
  <si>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</si>
  <si>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</si>
  <si>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</si>
  <si>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</si>
  <si>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</si>
  <si>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</si>
  <si>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</si>
  <si>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</si>
  <si>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</si>
  <si>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</si>
  <si>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</si>
  <si>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</si>
  <si>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</si>
  <si>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</si>
  <si>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</si>
  <si>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</si>
  <si>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</si>
  <si>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</si>
  <si>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</si>
  <si>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</si>
  <si>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</si>
  <si>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</si>
  <si>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</si>
  <si>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</si>
  <si>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</si>
  <si>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</si>
  <si>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</si>
  <si>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</si>
  <si>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</si>
  <si>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</si>
  <si>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</si>
  <si>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</si>
  <si>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</si>
  <si>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</si>
  <si>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</si>
  <si>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</si>
  <si>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</si>
  <si>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</si>
  <si>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</si>
  <si>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</si>
  <si>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</si>
  <si>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</si>
  <si>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</si>
  <si>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</si>
  <si>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</si>
  <si>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</si>
  <si>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</si>
  <si>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</si>
  <si>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</si>
  <si>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</si>
  <si>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</si>
  <si>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</si>
  <si>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</si>
  <si>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</si>
  <si>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</si>
  <si>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</si>
  <si>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</si>
  <si>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</si>
  <si>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</si>
  <si>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</si>
  <si>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</si>
  <si>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</si>
  <si>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</si>
  <si>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</si>
  <si>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</si>
  <si>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</si>
  <si>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</si>
  <si>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</si>
  <si>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</si>
  <si>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</si>
  <si>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</si>
  <si>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</si>
  <si>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</si>
  <si>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</si>
  <si>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</si>
  <si>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</si>
  <si>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</si>
  <si>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</si>
  <si>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</si>
  <si>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</si>
  <si>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</si>
  <si>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</si>
  <si>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</si>
  <si>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</si>
  <si>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</si>
  <si>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</si>
  <si>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</si>
  <si>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</si>
  <si>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</si>
  <si>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</si>
  <si>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</si>
  <si>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</si>
  <si>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</si>
  <si>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</si>
  <si>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</si>
  <si>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</si>
  <si>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</si>
  <si>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</si>
  <si>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</si>
  <si>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</si>
  <si>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</si>
  <si>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</si>
  <si>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</si>
  <si>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</si>
  <si>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</si>
  <si>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</si>
  <si>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</si>
  <si>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</si>
  <si>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</si>
  <si>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</si>
  <si>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</si>
  <si>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</si>
  <si>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</si>
  <si>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</si>
  <si>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</si>
  <si>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</si>
  <si>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</si>
  <si>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</si>
  <si>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</si>
  <si>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</si>
  <si>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</si>
  <si>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</si>
  <si>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</si>
  <si>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</si>
  <si>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</si>
  <si>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</si>
  <si>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</si>
  <si>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</si>
  <si>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</si>
  <si>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</si>
  <si>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</si>
  <si>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</si>
  <si>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</si>
  <si>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</si>
  <si>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</si>
  <si>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</si>
  <si>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</si>
  <si>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</si>
  <si>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</si>
  <si>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</si>
  <si>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</si>
  <si>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</si>
  <si>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</si>
  <si>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</si>
  <si>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</si>
  <si>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</si>
  <si>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</si>
  <si>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</si>
  <si>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</si>
  <si>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</si>
  <si>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</si>
  <si>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</si>
  <si>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</si>
  <si>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</si>
  <si>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</si>
  <si>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</si>
  <si>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</si>
  <si>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</si>
  <si>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</si>
  <si>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</si>
  <si>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</si>
  <si>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</si>
  <si>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</si>
  <si>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</si>
  <si>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</si>
  <si>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</si>
  <si>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</si>
  <si>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</si>
  <si>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</si>
  <si>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</si>
  <si>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</si>
  <si>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</si>
  <si>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</si>
  <si>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</si>
  <si>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</si>
  <si>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</si>
  <si>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</si>
  <si>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</si>
  <si>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</si>
  <si>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</si>
  <si>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</si>
  <si>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</si>
  <si>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</si>
  <si>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</si>
  <si>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</si>
  <si>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</si>
  <si>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</si>
  <si>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</si>
  <si>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</si>
  <si>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</si>
  <si>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</si>
  <si>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</si>
  <si>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</si>
  <si>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</si>
  <si>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</si>
  <si>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</si>
  <si>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</si>
  <si>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</si>
  <si>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</si>
  <si>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</si>
  <si>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</si>
  <si>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</si>
  <si>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</si>
  <si>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</si>
  <si>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</si>
  <si>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</si>
  <si>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</si>
  <si>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</si>
  <si>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</si>
  <si>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</si>
  <si>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</si>
  <si>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</si>
  <si>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</si>
  <si>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</si>
  <si>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</si>
  <si>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</si>
  <si>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</si>
  <si>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</si>
  <si>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</si>
  <si>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</si>
  <si>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</si>
  <si>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</si>
  <si>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</si>
  <si>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</si>
  <si>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</si>
  <si>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</si>
  <si>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</si>
  <si>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</si>
  <si>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</si>
  <si>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</si>
  <si>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</si>
  <si>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</si>
  <si>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</si>
  <si>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</si>
  <si>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</si>
  <si>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</si>
  <si>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</si>
  <si>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</si>
  <si>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</si>
  <si>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</si>
  <si>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</si>
  <si>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</si>
  <si>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</si>
  <si>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</si>
  <si>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</si>
  <si>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</si>
  <si>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</si>
  <si>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</si>
  <si>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</si>
  <si>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</si>
  <si>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</si>
  <si>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</si>
  <si>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</si>
  <si>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</si>
  <si>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</si>
  <si>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</si>
  <si>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</si>
  <si>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</si>
  <si>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</si>
  <si>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</si>
  <si>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</si>
  <si>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</si>
  <si>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</si>
  <si>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</si>
  <si>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</si>
  <si>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</si>
  <si>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</si>
  <si>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</si>
  <si>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</si>
  <si>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</si>
  <si>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</si>
  <si>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</si>
  <si>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</si>
  <si>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</si>
  <si>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</si>
  <si>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</si>
  <si>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</si>
  <si>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</si>
  <si>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</si>
  <si>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</si>
  <si>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</si>
  <si>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</si>
  <si>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</si>
  <si>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</si>
  <si>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</si>
  <si>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</si>
  <si>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</si>
  <si>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</si>
  <si>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</si>
  <si>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</si>
  <si>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</si>
  <si>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</si>
  <si>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</si>
  <si>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</si>
  <si>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</si>
  <si>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</si>
  <si>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</si>
  <si>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</si>
  <si>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</si>
  <si>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</si>
  <si>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</si>
  <si>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</si>
  <si>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</si>
  <si>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</si>
  <si>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</si>
  <si>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</si>
  <si>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</si>
  <si>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</si>
  <si>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</si>
  <si>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</si>
  <si>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</si>
  <si>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</si>
  <si>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</si>
  <si>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</si>
  <si>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</si>
  <si>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</si>
  <si>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</si>
  <si>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</si>
  <si>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</si>
  <si>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</si>
  <si>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</si>
  <si>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</si>
  <si>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</si>
  <si>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</si>
  <si>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</si>
  <si>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</si>
  <si>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</si>
  <si>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</si>
  <si>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</si>
  <si>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</si>
  <si>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</si>
  <si>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</si>
  <si>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</si>
  <si>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</si>
  <si>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</si>
  <si>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</si>
  <si>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</si>
  <si>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</si>
  <si>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</si>
  <si>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</si>
  <si>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</si>
  <si>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</si>
  <si>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</si>
  <si>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</si>
  <si>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</si>
  <si>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</si>
  <si>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</si>
  <si>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</si>
  <si>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</si>
  <si>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</si>
  <si>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</si>
  <si>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</si>
  <si>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</si>
  <si>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</si>
  <si>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</si>
  <si>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</si>
  <si>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</si>
  <si>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</si>
  <si>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</si>
  <si>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</si>
  <si>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</si>
  <si>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</si>
  <si>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</si>
  <si>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</si>
  <si>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</si>
  <si>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</si>
  <si>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</si>
  <si>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</si>
  <si>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</si>
  <si>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</si>
  <si>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</si>
  <si>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</si>
  <si>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</si>
  <si>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</si>
  <si>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</si>
  <si>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</si>
  <si>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</si>
  <si>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</si>
  <si>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</si>
  <si>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</si>
  <si>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</si>
  <si>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</si>
  <si>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</si>
  <si>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</si>
  <si>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</si>
  <si>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</si>
  <si>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</si>
  <si>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</si>
  <si>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</si>
  <si>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</si>
  <si>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</si>
  <si>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</si>
  <si>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</si>
  <si>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</si>
  <si>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</si>
  <si>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</si>
  <si>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</si>
  <si>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</si>
  <si>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</si>
  <si>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</si>
  <si>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</si>
  <si>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</si>
  <si>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</si>
  <si>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</si>
  <si>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</si>
  <si>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</si>
  <si>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</si>
  <si>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</si>
  <si>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</si>
  <si>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</si>
  <si>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</si>
  <si>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</si>
  <si>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</si>
  <si>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</si>
  <si>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</si>
  <si>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</si>
  <si>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</si>
  <si>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</si>
  <si>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</si>
  <si>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</si>
  <si>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</si>
  <si>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</si>
  <si>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</si>
  <si>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</si>
  <si>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</si>
  <si>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</si>
  <si>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</si>
  <si>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</si>
  <si>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</si>
  <si>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</si>
  <si>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</si>
  <si>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</si>
  <si>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</si>
  <si>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</si>
  <si>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</si>
  <si>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</si>
  <si>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</si>
  <si>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</si>
  <si>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</si>
  <si>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</si>
  <si>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</si>
  <si>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</si>
  <si>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</si>
  <si>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</si>
  <si>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</si>
  <si>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</si>
  <si>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</si>
  <si>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</si>
  <si>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</si>
  <si>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</si>
  <si>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</si>
  <si>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</si>
  <si>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</si>
  <si>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</si>
  <si>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</si>
  <si>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</si>
  <si>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</si>
  <si>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</si>
  <si>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</si>
  <si>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</si>
  <si>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</si>
  <si>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</si>
  <si>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</si>
  <si>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</si>
  <si>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</si>
  <si>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</si>
  <si>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</si>
  <si>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</si>
  <si>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</si>
  <si>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</si>
  <si>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</si>
  <si>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</si>
  <si>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</si>
  <si>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</si>
  <si>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</si>
  <si>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</si>
  <si>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</si>
  <si>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</si>
  <si>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</si>
  <si>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</si>
  <si>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</si>
  <si>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</si>
  <si>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</si>
  <si>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</si>
  <si>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</si>
  <si>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</si>
  <si>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</si>
  <si>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</si>
  <si>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</si>
  <si>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</si>
  <si>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</si>
  <si>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</si>
  <si>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</si>
  <si>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</si>
  <si>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</si>
  <si>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</si>
  <si>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</si>
  <si>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</si>
  <si>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</si>
  <si>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</si>
  <si>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</si>
  <si>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</si>
  <si>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</si>
  <si>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</si>
  <si>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</si>
  <si>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</si>
  <si>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</si>
  <si>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</si>
  <si>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</si>
  <si>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</si>
  <si>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</si>
  <si>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</si>
  <si>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</si>
  <si>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</si>
  <si>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</si>
  <si>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</si>
  <si>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</si>
  <si>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</si>
  <si>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</si>
  <si>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</si>
  <si>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</si>
  <si>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</si>
  <si>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</si>
  <si>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</si>
  <si>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</si>
  <si>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</si>
  <si>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</si>
  <si>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</si>
  <si>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</si>
  <si>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</si>
  <si>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</si>
  <si>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</si>
  <si>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</si>
  <si>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</si>
  <si>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</si>
  <si>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</si>
  <si>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</si>
  <si>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</si>
  <si>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</si>
  <si>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</si>
  <si>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</si>
  <si>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</si>
  <si>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</si>
  <si>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</si>
  <si>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</si>
  <si>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</si>
  <si>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</si>
  <si>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</si>
  <si>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</si>
  <si>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</si>
  <si>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</si>
  <si>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</si>
  <si>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</si>
  <si>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</si>
  <si>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</si>
  <si>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</si>
  <si>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</si>
  <si>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</si>
  <si>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</si>
  <si>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</si>
  <si>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</si>
  <si>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</si>
  <si>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</si>
  <si>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</si>
  <si>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</si>
  <si>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</si>
  <si>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</si>
  <si>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</si>
  <si>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</si>
  <si>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</si>
  <si>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</si>
  <si>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</si>
  <si>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</si>
  <si>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</si>
  <si>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</si>
  <si>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</si>
  <si>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</si>
  <si>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</si>
  <si>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</si>
  <si>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</si>
  <si>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</si>
  <si>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</si>
  <si>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</si>
  <si>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</si>
  <si>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</si>
  <si>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</si>
  <si>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</si>
  <si>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</si>
  <si>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</si>
  <si>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</si>
  <si>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</si>
  <si>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</si>
  <si>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</si>
  <si>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</si>
  <si>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</si>
  <si>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</si>
  <si>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</si>
  <si>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</si>
  <si>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</si>
  <si>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</si>
  <si>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</si>
  <si>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</si>
  <si>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</si>
  <si>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</si>
  <si>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</si>
  <si>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</si>
  <si>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</si>
  <si>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</si>
  <si>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</si>
  <si>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</si>
  <si>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</si>
  <si>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</si>
  <si>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</si>
  <si>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</si>
  <si>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</si>
  <si>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</si>
  <si>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</si>
  <si>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</si>
  <si>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</si>
  <si>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</si>
  <si>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</si>
  <si>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</si>
  <si>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</si>
  <si>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</si>
  <si>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</si>
  <si>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</si>
  <si>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</si>
  <si>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</si>
  <si>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</si>
  <si>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</si>
  <si>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</si>
  <si>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</si>
  <si>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</si>
  <si>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</si>
  <si>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</si>
  <si>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</si>
  <si>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</si>
  <si>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</si>
  <si>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</si>
  <si>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</si>
  <si>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</si>
  <si>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</si>
  <si>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</si>
  <si>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</si>
  <si>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</si>
  <si>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</si>
  <si>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</si>
  <si>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</si>
  <si>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</si>
  <si>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</si>
  <si>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</si>
  <si>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</si>
  <si>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</si>
  <si>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</si>
  <si>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</si>
  <si>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</si>
  <si>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</si>
  <si>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</si>
  <si>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</si>
  <si>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</si>
  <si>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</si>
  <si>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</si>
  <si>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</si>
  <si>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</si>
  <si>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</si>
  <si>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</si>
  <si>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</si>
  <si>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</si>
  <si>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</si>
  <si>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</si>
  <si>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</si>
  <si>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</si>
  <si>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</si>
  <si>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</si>
  <si>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</si>
  <si>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</si>
  <si>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</si>
  <si>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</si>
  <si>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</si>
  <si>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</si>
  <si>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</si>
  <si>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</si>
  <si>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</si>
  <si>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</si>
  <si>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</si>
  <si>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</si>
  <si>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</si>
  <si>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</si>
  <si>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</si>
  <si>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</si>
  <si>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</si>
  <si>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</si>
  <si>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</si>
  <si>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</si>
  <si>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</si>
  <si>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</si>
  <si>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</si>
  <si>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</si>
  <si>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</si>
  <si>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</si>
  <si>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</si>
  <si>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</si>
  <si>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</si>
  <si>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</si>
  <si>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</si>
  <si>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</si>
  <si>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</si>
  <si>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</si>
  <si>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</si>
  <si>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</si>
  <si>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</si>
  <si>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</si>
  <si>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</si>
  <si>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</si>
  <si>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</si>
  <si>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</si>
  <si>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</si>
  <si>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</si>
  <si>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</si>
  <si>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</si>
  <si>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</si>
  <si>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</si>
  <si>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</si>
  <si>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</si>
  <si>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</si>
  <si>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</si>
  <si>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</si>
  <si>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</si>
  <si>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</si>
  <si>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</si>
  <si>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not written</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</si>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</sst>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-1080.7790000000005</v>
      </c>
      <c r="F25" t="s">
        <v>1457</v>
      </c>
      <c r="G25" t="s">
        <v>1385</v>
      </c>
      <c r="H25" t="s">
        <v>1383</v>
      </c>
      <c r="I25" t="s">
        <v>1385</v>
      </c>
      <c r="J25" t="s">
        <v>1385</v>
      </c>
      <c r="K25" t="b">
        <v>0</v>
      </c>
      <c r="L25" t="b">
        <v>1</v>
      </c>
      <c r="M25" t="s">
        <v>1458</v>
      </c>
      <c r="N25" t="s">
        <v>1459</v>
      </c>
      <c r="O25" t="s">
        <v>1460</v>
      </c>
      <c r="P25" t="s">
        <v>1461</v>
      </c>
      <c r="Q25" t="s">
        <v>1462</v>
      </c>
    </row>
    <row r="26" spans="1:17" x14ac:dyDescent="0.25">
      <c r="A26" t="s">
        <v>39</v>
      </c>
      <c r="B26" t="s">
        <v>1463</v>
      </c>
      <c r="C26" t="s">
        <v>259</v>
      </c>
      <c r="D26" t="s">
        <v>1380</v>
      </c>
      <c r="E26">
        <v>-333.38</v>
      </c>
      <c r="F26" t="s">
        <v>1464</v>
      </c>
      <c r="G26" t="s">
        <v>1465</v>
      </c>
      <c r="H26" t="s">
        <v>1383</v>
      </c>
      <c r="I26" t="s">
        <v>1384</v>
      </c>
      <c r="J26" t="s">
        <v>1385</v>
      </c>
      <c r="K26" t="b">
        <v>1</v>
      </c>
      <c r="L26" t="b">
        <v>0</v>
      </c>
      <c r="M26" t="s">
        <v>1385</v>
      </c>
      <c r="N26" t="s">
        <v>1386</v>
      </c>
      <c r="O26" t="s">
        <v>1387</v>
      </c>
      <c r="P26" t="s">
        <v>1388</v>
      </c>
      <c r="Q26" t="s">
        <v>1466</v>
      </c>
    </row>
    <row r="27" spans="1:17" x14ac:dyDescent="0.25">
      <c r="A27" t="s">
        <v>39</v>
      </c>
      <c r="B27" t="s">
        <v>1467</v>
      </c>
      <c r="C27" t="s">
        <v>259</v>
      </c>
      <c r="D27" t="s">
        <v>1391</v>
      </c>
      <c r="E27">
        <v>-365.193</v>
      </c>
      <c r="F27" t="s">
        <v>1464</v>
      </c>
      <c r="G27" t="s">
        <v>1468</v>
      </c>
      <c r="H27" t="s">
        <v>1383</v>
      </c>
      <c r="I27" t="s">
        <v>1393</v>
      </c>
      <c r="J27" t="s">
        <v>1385</v>
      </c>
      <c r="K27" t="b">
        <v>1</v>
      </c>
      <c r="L27" t="b">
        <v>0</v>
      </c>
      <c r="M27" t="s">
        <v>1385</v>
      </c>
      <c r="N27" t="s">
        <v>1386</v>
      </c>
      <c r="O27" t="s">
        <v>1387</v>
      </c>
      <c r="P27" t="s">
        <v>1388</v>
      </c>
      <c r="Q27" t="s">
        <v>1466</v>
      </c>
    </row>
    <row r="28" spans="1:17" x14ac:dyDescent="0.25">
      <c r="A28" t="s">
        <v>39</v>
      </c>
      <c r="B28" t="s">
        <v>1469</v>
      </c>
      <c r="C28" t="s">
        <v>259</v>
      </c>
      <c r="D28" t="s">
        <v>1395</v>
      </c>
      <c r="E28">
        <v>-362.757</v>
      </c>
      <c r="F28" t="s">
        <v>1464</v>
      </c>
      <c r="G28" t="s">
        <v>1470</v>
      </c>
      <c r="H28" t="s">
        <v>1383</v>
      </c>
      <c r="I28" t="s">
        <v>1397</v>
      </c>
      <c r="J28" t="s">
        <v>1385</v>
      </c>
      <c r="K28" t="b">
        <v>1</v>
      </c>
      <c r="L28" t="b">
        <v>0</v>
      </c>
      <c r="M28" t="s">
        <v>1385</v>
      </c>
      <c r="N28" t="s">
        <v>1386</v>
      </c>
      <c r="O28" t="s">
        <v>1387</v>
      </c>
      <c r="P28" t="s">
        <v>1388</v>
      </c>
      <c r="Q28" t="s">
        <v>1466</v>
      </c>
    </row>
    <row r="29" spans="1:17" x14ac:dyDescent="0.25">
      <c r="A29" t="s">
        <v>39</v>
      </c>
      <c r="B29" t="s">
        <v>1471</v>
      </c>
      <c r="C29" t="s">
        <v>259</v>
      </c>
      <c r="D29" t="s">
        <v>1399</v>
      </c>
      <c r="E29">
        <v>-393.521</v>
      </c>
      <c r="F29" t="s">
        <v>1464</v>
      </c>
      <c r="G29" t="s">
        <v>1472</v>
      </c>
      <c r="H29" t="s">
        <v>1383</v>
      </c>
      <c r="I29" t="s">
        <v>1473</v>
      </c>
      <c r="J29" t="s">
        <v>1385</v>
      </c>
      <c r="K29" t="b">
        <v>1</v>
      </c>
      <c r="L29" t="b">
        <v>0</v>
      </c>
      <c r="M29" t="s">
        <v>1385</v>
      </c>
      <c r="N29" t="s">
        <v>1386</v>
      </c>
      <c r="O29" t="s">
        <v>1387</v>
      </c>
      <c r="P29" t="s">
        <v>1388</v>
      </c>
      <c r="Q29" t="s">
        <v>1474</v>
      </c>
    </row>
    <row r="30" spans="1:17" x14ac:dyDescent="0.25">
      <c r="A30" t="s">
        <v>39</v>
      </c>
      <c r="B30" t="s">
        <v>1475</v>
      </c>
      <c r="C30" t="s">
        <v>259</v>
      </c>
      <c r="D30" t="s">
        <v>1403</v>
      </c>
      <c r="E30">
        <v>-429.314</v>
      </c>
      <c r="F30" t="s">
        <v>1464</v>
      </c>
      <c r="G30" t="s">
        <v>1476</v>
      </c>
      <c r="H30" t="s">
        <v>1383</v>
      </c>
      <c r="I30" t="s">
        <v>1405</v>
      </c>
      <c r="J30" t="s">
        <v>1385</v>
      </c>
      <c r="K30" t="b">
        <v>1</v>
      </c>
      <c r="L30" t="b">
        <v>0</v>
      </c>
      <c r="M30" t="s">
        <v>1385</v>
      </c>
      <c r="N30" t="s">
        <v>1386</v>
      </c>
      <c r="O30" t="s">
        <v>1387</v>
      </c>
      <c r="P30" t="s">
        <v>1388</v>
      </c>
      <c r="Q30" t="s">
        <v>1466</v>
      </c>
    </row>
    <row r="31" spans="1:17" x14ac:dyDescent="0.25">
      <c r="A31" t="s">
        <v>39</v>
      </c>
      <c r="B31" t="s">
        <v>1477</v>
      </c>
      <c r="C31" t="s">
        <v>259</v>
      </c>
      <c r="D31" t="s">
        <v>1407</v>
      </c>
      <c r="E31">
        <v>-437.776</v>
      </c>
      <c r="F31" t="s">
        <v>1464</v>
      </c>
      <c r="G31" t="s">
        <v>1478</v>
      </c>
      <c r="H31" t="s">
        <v>1383</v>
      </c>
      <c r="I31" t="s">
        <v>1409</v>
      </c>
      <c r="J31" t="s">
        <v>1385</v>
      </c>
      <c r="K31" t="b">
        <v>1</v>
      </c>
      <c r="L31" t="b">
        <v>0</v>
      </c>
      <c r="M31" t="s">
        <v>1385</v>
      </c>
      <c r="N31" t="s">
        <v>1386</v>
      </c>
      <c r="O31" t="s">
        <v>1387</v>
      </c>
      <c r="P31" t="s">
        <v>1388</v>
      </c>
      <c r="Q31" t="s">
        <v>1466</v>
      </c>
    </row>
    <row r="32" spans="1:17" x14ac:dyDescent="0.25">
      <c r="A32" t="s">
        <v>39</v>
      </c>
      <c r="B32" t="s">
        <v>1479</v>
      </c>
      <c r="C32" t="s">
        <v>259</v>
      </c>
      <c r="D32" t="s">
        <v>1411</v>
      </c>
      <c r="E32">
        <v>-414.949</v>
      </c>
      <c r="F32" t="s">
        <v>1464</v>
      </c>
      <c r="G32" t="s">
        <v>1480</v>
      </c>
      <c r="H32" t="s">
        <v>1383</v>
      </c>
      <c r="I32" t="s">
        <v>1413</v>
      </c>
      <c r="J32" t="s">
        <v>1385</v>
      </c>
      <c r="K32" t="b">
        <v>1</v>
      </c>
      <c r="L32" t="b">
        <v>0</v>
      </c>
      <c r="M32" t="s">
        <v>1385</v>
      </c>
      <c r="N32" t="s">
        <v>1386</v>
      </c>
      <c r="O32" t="s">
        <v>1387</v>
      </c>
      <c r="P32" t="s">
        <v>1388</v>
      </c>
      <c r="Q32" t="s">
        <v>1466</v>
      </c>
    </row>
    <row r="33" spans="1:17" x14ac:dyDescent="0.25">
      <c r="A33" t="s">
        <v>39</v>
      </c>
      <c r="B33" t="s">
        <v>1481</v>
      </c>
      <c r="C33" t="s">
        <v>259</v>
      </c>
      <c r="D33" t="s">
        <v>1415</v>
      </c>
      <c r="E33">
        <v>-464.103</v>
      </c>
      <c r="F33" t="s">
        <v>1464</v>
      </c>
      <c r="G33" t="s">
        <v>1482</v>
      </c>
      <c r="H33" t="s">
        <v>1383</v>
      </c>
      <c r="I33" t="s">
        <v>1473</v>
      </c>
      <c r="J33" t="s">
        <v>1385</v>
      </c>
      <c r="K33" t="b">
        <v>1</v>
      </c>
      <c r="L33" t="b">
        <v>0</v>
      </c>
      <c r="M33" t="s">
        <v>1385</v>
      </c>
      <c r="N33" t="s">
        <v>1386</v>
      </c>
      <c r="O33" t="s">
        <v>1387</v>
      </c>
      <c r="P33" t="s">
        <v>1388</v>
      </c>
      <c r="Q33" t="s">
        <v>1483</v>
      </c>
    </row>
    <row r="34" spans="1:17" x14ac:dyDescent="0.25">
      <c r="A34" t="s">
        <v>39</v>
      </c>
      <c r="B34" t="s">
        <v>1484</v>
      </c>
      <c r="C34" t="s">
        <v>259</v>
      </c>
      <c r="D34" t="s">
        <v>1419</v>
      </c>
      <c r="E34">
        <v>-441.713</v>
      </c>
      <c r="F34" t="s">
        <v>1464</v>
      </c>
      <c r="G34" t="s">
        <v>1485</v>
      </c>
      <c r="H34" t="s">
        <v>1383</v>
      </c>
      <c r="I34" t="s">
        <v>1421</v>
      </c>
      <c r="J34" t="s">
        <v>1385</v>
      </c>
      <c r="K34" t="b">
        <v>1</v>
      </c>
      <c r="L34" t="b">
        <v>0</v>
      </c>
      <c r="M34" t="s">
        <v>1385</v>
      </c>
      <c r="N34" t="s">
        <v>1386</v>
      </c>
      <c r="O34" t="s">
        <v>1387</v>
      </c>
      <c r="P34" t="s">
        <v>1388</v>
      </c>
      <c r="Q34" t="s">
        <v>1466</v>
      </c>
    </row>
    <row r="35" spans="1:17" x14ac:dyDescent="0.25">
      <c r="A35" t="s">
        <v>39</v>
      </c>
      <c r="B35" t="s">
        <v>1486</v>
      </c>
      <c r="C35" t="s">
        <v>259</v>
      </c>
      <c r="D35" t="s">
        <v>1423</v>
      </c>
      <c r="E35">
        <v>-479.017</v>
      </c>
      <c r="F35" t="s">
        <v>1464</v>
      </c>
      <c r="G35" t="s">
        <v>1487</v>
      </c>
      <c r="H35" t="s">
        <v>1383</v>
      </c>
      <c r="I35" t="s">
        <v>1409</v>
      </c>
      <c r="J35" t="s">
        <v>1385</v>
      </c>
      <c r="K35" t="b">
        <v>1</v>
      </c>
      <c r="L35" t="b">
        <v>0</v>
      </c>
      <c r="M35" t="s">
        <v>1385</v>
      </c>
      <c r="N35" t="s">
        <v>1386</v>
      </c>
      <c r="O35" t="s">
        <v>1387</v>
      </c>
      <c r="P35" t="s">
        <v>1388</v>
      </c>
      <c r="Q35" t="s">
        <v>1466</v>
      </c>
    </row>
    <row r="36" spans="1:17" x14ac:dyDescent="0.25">
      <c r="A36" t="s">
        <v>39</v>
      </c>
      <c r="B36" t="s">
        <v>1488</v>
      </c>
      <c r="C36" t="s">
        <v>259</v>
      </c>
      <c r="D36" t="s">
        <v>1425</v>
      </c>
      <c r="E36">
        <v>-483.903</v>
      </c>
      <c r="F36" t="s">
        <v>1464</v>
      </c>
      <c r="G36" t="s">
        <v>1489</v>
      </c>
      <c r="H36" t="s">
        <v>1383</v>
      </c>
      <c r="I36" t="s">
        <v>1413</v>
      </c>
      <c r="J36" t="s">
        <v>1385</v>
      </c>
      <c r="K36" t="b">
        <v>1</v>
      </c>
      <c r="L36" t="b">
        <v>0</v>
      </c>
      <c r="M36" t="s">
        <v>1385</v>
      </c>
      <c r="N36" t="s">
        <v>1386</v>
      </c>
      <c r="O36" t="s">
        <v>1387</v>
      </c>
      <c r="P36" t="s">
        <v>1388</v>
      </c>
      <c r="Q36" t="s">
        <v>1466</v>
      </c>
    </row>
    <row r="37" spans="1:17" x14ac:dyDescent="0.25">
      <c r="A37" t="s">
        <v>39</v>
      </c>
      <c r="B37" t="s">
        <v>1490</v>
      </c>
      <c r="C37" t="s">
        <v>259</v>
      </c>
      <c r="D37" t="s">
        <v>1428</v>
      </c>
      <c r="E37">
        <v>-544.5130000000001</v>
      </c>
      <c r="F37" t="s">
        <v>1457</v>
      </c>
      <c r="G37" t="s">
        <v>1385</v>
      </c>
      <c r="H37" t="s">
        <v>1383</v>
      </c>
      <c r="I37" t="s">
        <v>1385</v>
      </c>
      <c r="J37" t="s">
        <v>1385</v>
      </c>
      <c r="K37" t="b">
        <v>0</v>
      </c>
      <c r="L37" t="b">
        <v>1</v>
      </c>
      <c r="M37" t="s">
        <v>1458</v>
      </c>
      <c r="N37" t="s">
        <v>1459</v>
      </c>
      <c r="O37" t="s">
        <v>1460</v>
      </c>
      <c r="P37" t="s">
        <v>1461</v>
      </c>
      <c r="Q37" t="s">
        <v>1462</v>
      </c>
    </row>
    <row r="38" spans="1:17" x14ac:dyDescent="0.25">
      <c r="A38" t="s">
        <v>39</v>
      </c>
      <c r="B38" t="s">
        <v>1491</v>
      </c>
      <c r="C38" t="s">
        <v>260</v>
      </c>
      <c r="D38" t="s">
        <v>1380</v>
      </c>
      <c r="E38">
        <v>-33.292</v>
      </c>
      <c r="F38" t="s">
        <v>1381</v>
      </c>
      <c r="G38" t="s">
        <v>1492</v>
      </c>
      <c r="H38" t="s">
        <v>1383</v>
      </c>
      <c r="I38" t="s">
        <v>1384</v>
      </c>
      <c r="J38" t="s">
        <v>1385</v>
      </c>
      <c r="K38" t="b">
        <v>1</v>
      </c>
      <c r="L38" t="b">
        <v>0</v>
      </c>
      <c r="M38" t="s">
        <v>1385</v>
      </c>
      <c r="N38" t="s">
        <v>1493</v>
      </c>
      <c r="O38" t="s">
        <v>1387</v>
      </c>
      <c r="P38" t="s">
        <v>1388</v>
      </c>
      <c r="Q38" t="s">
        <v>1385</v>
      </c>
    </row>
    <row r="39" spans="1:17" x14ac:dyDescent="0.25">
      <c r="A39" t="s">
        <v>39</v>
      </c>
      <c r="B39" t="s">
        <v>1494</v>
      </c>
      <c r="C39" t="s">
        <v>260</v>
      </c>
      <c r="D39" t="s">
        <v>1391</v>
      </c>
      <c r="E39">
        <v>-25.31</v>
      </c>
      <c r="F39" t="s">
        <v>1381</v>
      </c>
      <c r="G39" t="s">
        <v>1495</v>
      </c>
      <c r="H39" t="s">
        <v>1383</v>
      </c>
      <c r="I39" t="s">
        <v>1393</v>
      </c>
      <c r="J39" t="s">
        <v>1385</v>
      </c>
      <c r="K39" t="b">
        <v>1</v>
      </c>
      <c r="L39" t="b">
        <v>0</v>
      </c>
      <c r="M39" t="s">
        <v>1385</v>
      </c>
      <c r="N39" t="s">
        <v>1493</v>
      </c>
      <c r="O39" t="s">
        <v>1387</v>
      </c>
      <c r="P39" t="s">
        <v>1388</v>
      </c>
      <c r="Q39" t="s">
        <v>1385</v>
      </c>
    </row>
    <row r="40" spans="1:17" x14ac:dyDescent="0.25">
      <c r="A40" t="s">
        <v>39</v>
      </c>
      <c r="B40" t="s">
        <v>1496</v>
      </c>
      <c r="C40" t="s">
        <v>260</v>
      </c>
      <c r="D40" t="s">
        <v>1395</v>
      </c>
      <c r="E40">
        <v>-25.288</v>
      </c>
      <c r="F40" t="s">
        <v>1381</v>
      </c>
      <c r="G40" t="s">
        <v>1495</v>
      </c>
      <c r="H40" t="s">
        <v>1383</v>
      </c>
      <c r="I40" t="s">
        <v>1397</v>
      </c>
      <c r="J40" t="s">
        <v>1385</v>
      </c>
      <c r="K40" t="b">
        <v>1</v>
      </c>
      <c r="L40" t="b">
        <v>0</v>
      </c>
      <c r="M40" t="s">
        <v>1385</v>
      </c>
      <c r="N40" t="s">
        <v>1493</v>
      </c>
      <c r="O40" t="s">
        <v>1387</v>
      </c>
      <c r="P40" t="s">
        <v>1388</v>
      </c>
      <c r="Q40" t="s">
        <v>1385</v>
      </c>
    </row>
    <row r="41" spans="1:17" x14ac:dyDescent="0.25">
      <c r="A41" t="s">
        <v>39</v>
      </c>
      <c r="B41" t="s">
        <v>1497</v>
      </c>
      <c r="C41" t="s">
        <v>260</v>
      </c>
      <c r="D41" t="s">
        <v>1399</v>
      </c>
      <c r="E41">
        <v>-28.311</v>
      </c>
      <c r="F41" t="s">
        <v>1381</v>
      </c>
      <c r="G41" t="s">
        <v>1498</v>
      </c>
      <c r="H41" t="s">
        <v>1383</v>
      </c>
      <c r="I41" t="s">
        <v>1385</v>
      </c>
      <c r="J41" t="s">
        <v>1385</v>
      </c>
      <c r="K41" t="b">
        <v>1</v>
      </c>
      <c r="L41" t="b">
        <v>0</v>
      </c>
      <c r="M41" t="s">
        <v>1385</v>
      </c>
      <c r="N41" t="s">
        <v>1493</v>
      </c>
      <c r="O41" t="s">
        <v>1387</v>
      </c>
      <c r="P41" t="s">
        <v>1388</v>
      </c>
      <c r="Q41" t="s">
        <v>1499</v>
      </c>
    </row>
    <row r="42" spans="1:17" x14ac:dyDescent="0.25">
      <c r="A42" t="s">
        <v>39</v>
      </c>
      <c r="B42" t="s">
        <v>1500</v>
      </c>
      <c r="C42" t="s">
        <v>260</v>
      </c>
      <c r="D42" t="s">
        <v>1403</v>
      </c>
      <c r="E42">
        <v>-43.202</v>
      </c>
      <c r="F42" t="s">
        <v>1381</v>
      </c>
      <c r="G42" t="s">
        <v>1501</v>
      </c>
      <c r="H42" t="s">
        <v>1383</v>
      </c>
      <c r="I42" t="s">
        <v>1405</v>
      </c>
      <c r="J42" t="s">
        <v>1385</v>
      </c>
      <c r="K42" t="b">
        <v>1</v>
      </c>
      <c r="L42" t="b">
        <v>0</v>
      </c>
      <c r="M42" t="s">
        <v>1385</v>
      </c>
      <c r="N42" t="s">
        <v>1493</v>
      </c>
      <c r="O42" t="s">
        <v>1387</v>
      </c>
      <c r="P42" t="s">
        <v>1388</v>
      </c>
      <c r="Q42" t="s">
        <v>1385</v>
      </c>
    </row>
    <row r="43" spans="1:17" x14ac:dyDescent="0.25">
      <c r="A43" t="s">
        <v>39</v>
      </c>
      <c r="B43" t="s">
        <v>1502</v>
      </c>
      <c r="C43" t="s">
        <v>260</v>
      </c>
      <c r="D43" t="s">
        <v>1407</v>
      </c>
      <c r="E43">
        <v>-49.946</v>
      </c>
      <c r="F43" t="s">
        <v>1381</v>
      </c>
      <c r="G43" t="s">
        <v>1503</v>
      </c>
      <c r="H43" t="s">
        <v>1383</v>
      </c>
      <c r="I43" t="s">
        <v>1409</v>
      </c>
      <c r="J43" t="s">
        <v>1385</v>
      </c>
      <c r="K43" t="b">
        <v>1</v>
      </c>
      <c r="L43" t="b">
        <v>0</v>
      </c>
      <c r="M43" t="s">
        <v>1385</v>
      </c>
      <c r="N43" t="s">
        <v>1493</v>
      </c>
      <c r="O43" t="s">
        <v>1387</v>
      </c>
      <c r="P43" t="s">
        <v>1388</v>
      </c>
      <c r="Q43" t="s">
        <v>1385</v>
      </c>
    </row>
    <row r="44" spans="1:17" x14ac:dyDescent="0.25">
      <c r="A44" t="s">
        <v>39</v>
      </c>
      <c r="B44" t="s">
        <v>1504</v>
      </c>
      <c r="C44" t="s">
        <v>260</v>
      </c>
      <c r="D44" t="s">
        <v>1411</v>
      </c>
      <c r="E44">
        <v>-45.977</v>
      </c>
      <c r="F44" t="s">
        <v>1381</v>
      </c>
      <c r="G44" t="s">
        <v>1505</v>
      </c>
      <c r="H44" t="s">
        <v>1383</v>
      </c>
      <c r="I44" t="s">
        <v>1413</v>
      </c>
      <c r="J44" t="s">
        <v>1385</v>
      </c>
      <c r="K44" t="b">
        <v>1</v>
      </c>
      <c r="L44" t="b">
        <v>0</v>
      </c>
      <c r="M44" t="s">
        <v>1385</v>
      </c>
      <c r="N44" t="s">
        <v>1493</v>
      </c>
      <c r="O44" t="s">
        <v>1387</v>
      </c>
      <c r="P44" t="s">
        <v>1388</v>
      </c>
      <c r="Q44" t="s">
        <v>1385</v>
      </c>
    </row>
    <row r="45" spans="1:17" x14ac:dyDescent="0.25">
      <c r="A45" t="s">
        <v>39</v>
      </c>
      <c r="B45" t="s">
        <v>1506</v>
      </c>
      <c r="C45" t="s">
        <v>260</v>
      </c>
      <c r="D45" t="s">
        <v>1415</v>
      </c>
      <c r="E45">
        <v>-51.201</v>
      </c>
      <c r="F45" t="s">
        <v>1381</v>
      </c>
      <c r="G45" t="s">
        <v>1507</v>
      </c>
      <c r="H45" t="s">
        <v>1383</v>
      </c>
      <c r="I45" t="s">
        <v>1385</v>
      </c>
      <c r="J45" t="s">
        <v>1385</v>
      </c>
      <c r="K45" t="b">
        <v>1</v>
      </c>
      <c r="L45" t="b">
        <v>0</v>
      </c>
      <c r="M45" t="s">
        <v>1385</v>
      </c>
      <c r="N45" t="s">
        <v>1493</v>
      </c>
      <c r="O45" t="s">
        <v>1387</v>
      </c>
      <c r="P45" t="s">
        <v>1388</v>
      </c>
      <c r="Q45" t="s">
        <v>1508</v>
      </c>
    </row>
    <row r="46" spans="1:17" x14ac:dyDescent="0.25">
      <c r="A46" t="s">
        <v>39</v>
      </c>
      <c r="B46" t="s">
        <v>1509</v>
      </c>
      <c r="C46" t="s">
        <v>260</v>
      </c>
      <c r="D46" t="s">
        <v>1419</v>
      </c>
      <c r="E46">
        <v>-30.988</v>
      </c>
      <c r="F46" t="s">
        <v>1381</v>
      </c>
      <c r="G46" t="s">
        <v>1510</v>
      </c>
      <c r="H46" t="s">
        <v>1383</v>
      </c>
      <c r="I46" t="s">
        <v>1421</v>
      </c>
      <c r="J46" t="s">
        <v>1385</v>
      </c>
      <c r="K46" t="b">
        <v>1</v>
      </c>
      <c r="L46" t="b">
        <v>0</v>
      </c>
      <c r="M46" t="s">
        <v>1385</v>
      </c>
      <c r="N46" t="s">
        <v>1493</v>
      </c>
      <c r="O46" t="s">
        <v>1387</v>
      </c>
      <c r="P46" t="s">
        <v>1388</v>
      </c>
      <c r="Q46" t="s">
        <v>1385</v>
      </c>
    </row>
    <row r="47" spans="1:17" x14ac:dyDescent="0.25">
      <c r="A47" t="s">
        <v>39</v>
      </c>
      <c r="B47" t="s">
        <v>1511</v>
      </c>
      <c r="C47" t="s">
        <v>260</v>
      </c>
      <c r="D47" t="s">
        <v>1423</v>
      </c>
      <c r="E47">
        <v>-52.253</v>
      </c>
      <c r="F47" t="s">
        <v>1381</v>
      </c>
      <c r="G47" t="s">
        <v>1512</v>
      </c>
      <c r="H47" t="s">
        <v>1383</v>
      </c>
      <c r="I47" t="s">
        <v>1409</v>
      </c>
      <c r="J47" t="s">
        <v>1385</v>
      </c>
      <c r="K47" t="b">
        <v>1</v>
      </c>
      <c r="L47" t="b">
        <v>0</v>
      </c>
      <c r="M47" t="s">
        <v>1385</v>
      </c>
      <c r="N47" t="s">
        <v>1493</v>
      </c>
      <c r="O47" t="s">
        <v>1387</v>
      </c>
      <c r="P47" t="s">
        <v>1388</v>
      </c>
      <c r="Q47" t="s">
        <v>1385</v>
      </c>
    </row>
    <row r="48" spans="1:17" x14ac:dyDescent="0.25">
      <c r="A48" t="s">
        <v>39</v>
      </c>
      <c r="B48" t="s">
        <v>1513</v>
      </c>
      <c r="C48" t="s">
        <v>260</v>
      </c>
      <c r="D48" t="s">
        <v>1425</v>
      </c>
      <c r="E48">
        <v>-53.23</v>
      </c>
      <c r="F48" t="s">
        <v>1381</v>
      </c>
      <c r="G48" t="s">
        <v>1514</v>
      </c>
      <c r="H48" t="s">
        <v>1383</v>
      </c>
      <c r="I48" t="s">
        <v>1413</v>
      </c>
      <c r="J48" t="s">
        <v>1385</v>
      </c>
      <c r="K48" t="b">
        <v>1</v>
      </c>
      <c r="L48" t="b">
        <v>0</v>
      </c>
      <c r="M48" t="s">
        <v>1385</v>
      </c>
      <c r="N48" t="s">
        <v>1493</v>
      </c>
      <c r="O48" t="s">
        <v>1387</v>
      </c>
      <c r="P48" t="s">
        <v>1388</v>
      </c>
      <c r="Q48" t="s">
        <v>1385</v>
      </c>
    </row>
    <row r="49" spans="1:17" x14ac:dyDescent="0.25">
      <c r="A49" t="s">
        <v>39</v>
      </c>
      <c r="B49" t="s">
        <v>1515</v>
      </c>
      <c r="C49" t="s">
        <v>260</v>
      </c>
      <c r="D49" t="s">
        <v>1428</v>
      </c>
      <c r="E49">
        <v>-55.81</v>
      </c>
      <c r="F49" t="s">
        <v>1457</v>
      </c>
      <c r="G49" t="s">
        <v>1516</v>
      </c>
      <c r="H49" t="s">
        <v>1383</v>
      </c>
      <c r="I49" t="s">
        <v>1385</v>
      </c>
      <c r="J49" t="s">
        <v>1385</v>
      </c>
      <c r="K49" t="b">
        <v>0</v>
      </c>
      <c r="L49" t="b">
        <v>1</v>
      </c>
      <c r="M49" t="s">
        <v>1458</v>
      </c>
      <c r="N49" t="s">
        <v>1459</v>
      </c>
      <c r="O49" t="s">
        <v>1460</v>
      </c>
      <c r="P49" t="s">
        <v>1461</v>
      </c>
      <c r="Q49" t="s">
        <v>1462</v>
      </c>
    </row>
    <row r="50" spans="1:17" x14ac:dyDescent="0.25">
      <c r="A50" t="s">
        <v>39</v>
      </c>
      <c r="B50" t="s">
        <v>1517</v>
      </c>
      <c r="C50" t="s">
        <v>261</v>
      </c>
      <c r="D50" t="s">
        <v>1380</v>
      </c>
      <c r="E50">
        <v>-55.744</v>
      </c>
      <c r="F50" t="s">
        <v>1464</v>
      </c>
      <c r="G50" t="s">
        <v>1518</v>
      </c>
      <c r="H50" t="s">
        <v>1383</v>
      </c>
      <c r="I50" t="s">
        <v>1384</v>
      </c>
      <c r="J50" t="s">
        <v>1385</v>
      </c>
      <c r="K50" t="b">
        <v>1</v>
      </c>
      <c r="L50" t="b">
        <v>0</v>
      </c>
      <c r="M50" t="s">
        <v>1385</v>
      </c>
      <c r="N50" t="s">
        <v>1386</v>
      </c>
      <c r="O50" t="s">
        <v>1387</v>
      </c>
      <c r="P50" t="s">
        <v>1388</v>
      </c>
      <c r="Q50" t="s">
        <v>1519</v>
      </c>
    </row>
    <row r="51" spans="1:17" x14ac:dyDescent="0.25">
      <c r="A51" t="s">
        <v>39</v>
      </c>
      <c r="B51" t="s">
        <v>1520</v>
      </c>
      <c r="C51" t="s">
        <v>261</v>
      </c>
      <c r="D51" t="s">
        <v>1391</v>
      </c>
      <c r="E51">
        <v>-53.32</v>
      </c>
      <c r="F51" t="s">
        <v>1464</v>
      </c>
      <c r="G51" t="s">
        <v>1521</v>
      </c>
      <c r="H51" t="s">
        <v>1383</v>
      </c>
      <c r="I51" t="s">
        <v>1393</v>
      </c>
      <c r="J51" t="s">
        <v>1385</v>
      </c>
      <c r="K51" t="b">
        <v>1</v>
      </c>
      <c r="L51" t="b">
        <v>0</v>
      </c>
      <c r="M51" t="s">
        <v>1385</v>
      </c>
      <c r="N51" t="s">
        <v>1386</v>
      </c>
      <c r="O51" t="s">
        <v>1387</v>
      </c>
      <c r="P51" t="s">
        <v>1388</v>
      </c>
      <c r="Q51" t="s">
        <v>1519</v>
      </c>
    </row>
    <row r="52" spans="1:17" x14ac:dyDescent="0.25">
      <c r="A52" t="s">
        <v>39</v>
      </c>
      <c r="B52" t="s">
        <v>1522</v>
      </c>
      <c r="C52" t="s">
        <v>261</v>
      </c>
      <c r="D52" t="s">
        <v>1395</v>
      </c>
      <c r="E52">
        <v>-58.934</v>
      </c>
      <c r="F52" t="s">
        <v>1464</v>
      </c>
      <c r="G52" t="s">
        <v>1523</v>
      </c>
      <c r="H52" t="s">
        <v>1383</v>
      </c>
      <c r="I52" t="s">
        <v>1397</v>
      </c>
      <c r="J52" t="s">
        <v>1385</v>
      </c>
      <c r="K52" t="b">
        <v>1</v>
      </c>
      <c r="L52" t="b">
        <v>0</v>
      </c>
      <c r="M52" t="s">
        <v>1385</v>
      </c>
      <c r="N52" t="s">
        <v>1386</v>
      </c>
      <c r="O52" t="s">
        <v>1387</v>
      </c>
      <c r="P52" t="s">
        <v>1388</v>
      </c>
      <c r="Q52" t="s">
        <v>1519</v>
      </c>
    </row>
    <row r="53" spans="1:17" x14ac:dyDescent="0.25">
      <c r="A53" t="s">
        <v>39</v>
      </c>
      <c r="B53" t="s">
        <v>1524</v>
      </c>
      <c r="C53" t="s">
        <v>261</v>
      </c>
      <c r="D53" t="s">
        <v>1399</v>
      </c>
      <c r="E53">
        <v>-75.826</v>
      </c>
      <c r="F53" t="s">
        <v>1464</v>
      </c>
      <c r="G53" t="s">
        <v>1525</v>
      </c>
      <c r="H53" t="s">
        <v>1383</v>
      </c>
      <c r="I53" t="s">
        <v>1385</v>
      </c>
      <c r="J53" t="s">
        <v>1385</v>
      </c>
      <c r="K53" t="b">
        <v>1</v>
      </c>
      <c r="L53" t="b">
        <v>0</v>
      </c>
      <c r="M53" t="s">
        <v>1385</v>
      </c>
      <c r="N53" t="s">
        <v>1386</v>
      </c>
      <c r="O53" t="s">
        <v>1387</v>
      </c>
      <c r="P53" t="s">
        <v>1388</v>
      </c>
      <c r="Q53" t="s">
        <v>1526</v>
      </c>
    </row>
    <row r="54" spans="1:17" x14ac:dyDescent="0.25">
      <c r="A54" t="s">
        <v>39</v>
      </c>
      <c r="B54" t="s">
        <v>1527</v>
      </c>
      <c r="C54" t="s">
        <v>261</v>
      </c>
      <c r="D54" t="s">
        <v>1403</v>
      </c>
      <c r="E54">
        <v>-118.574</v>
      </c>
      <c r="F54" t="s">
        <v>1464</v>
      </c>
      <c r="G54" t="s">
        <v>1528</v>
      </c>
      <c r="H54" t="s">
        <v>1383</v>
      </c>
      <c r="I54" t="s">
        <v>1405</v>
      </c>
      <c r="J54" t="s">
        <v>1385</v>
      </c>
      <c r="K54" t="b">
        <v>1</v>
      </c>
      <c r="L54" t="b">
        <v>0</v>
      </c>
      <c r="M54" t="s">
        <v>1385</v>
      </c>
      <c r="N54" t="s">
        <v>1386</v>
      </c>
      <c r="O54" t="s">
        <v>1387</v>
      </c>
      <c r="P54" t="s">
        <v>1388</v>
      </c>
      <c r="Q54" t="s">
        <v>1519</v>
      </c>
    </row>
    <row r="55" spans="1:17" x14ac:dyDescent="0.25">
      <c r="A55" t="s">
        <v>39</v>
      </c>
      <c r="B55" t="s">
        <v>1529</v>
      </c>
      <c r="C55" t="s">
        <v>261</v>
      </c>
      <c r="D55" t="s">
        <v>1407</v>
      </c>
      <c r="E55">
        <v>-78.976</v>
      </c>
      <c r="F55" t="s">
        <v>1464</v>
      </c>
      <c r="G55" t="s">
        <v>1530</v>
      </c>
      <c r="H55" t="s">
        <v>1383</v>
      </c>
      <c r="I55" t="s">
        <v>1409</v>
      </c>
      <c r="J55" t="s">
        <v>1385</v>
      </c>
      <c r="K55" t="b">
        <v>1</v>
      </c>
      <c r="L55" t="b">
        <v>0</v>
      </c>
      <c r="M55" t="s">
        <v>1385</v>
      </c>
      <c r="N55" t="s">
        <v>1386</v>
      </c>
      <c r="O55" t="s">
        <v>1387</v>
      </c>
      <c r="P55" t="s">
        <v>1388</v>
      </c>
      <c r="Q55" t="s">
        <v>1519</v>
      </c>
    </row>
    <row r="56" spans="1:17" x14ac:dyDescent="0.25">
      <c r="A56" t="s">
        <v>39</v>
      </c>
      <c r="B56" t="s">
        <v>1531</v>
      </c>
      <c r="C56" t="s">
        <v>261</v>
      </c>
      <c r="D56" t="s">
        <v>1411</v>
      </c>
      <c r="E56">
        <v>-80.841</v>
      </c>
      <c r="F56" t="s">
        <v>1464</v>
      </c>
      <c r="G56" t="s">
        <v>1532</v>
      </c>
      <c r="H56" t="s">
        <v>1383</v>
      </c>
      <c r="I56" t="s">
        <v>1413</v>
      </c>
      <c r="J56" t="s">
        <v>1385</v>
      </c>
      <c r="K56" t="b">
        <v>1</v>
      </c>
      <c r="L56" t="b">
        <v>0</v>
      </c>
      <c r="M56" t="s">
        <v>1385</v>
      </c>
      <c r="N56" t="s">
        <v>1386</v>
      </c>
      <c r="O56" t="s">
        <v>1387</v>
      </c>
      <c r="P56" t="s">
        <v>1388</v>
      </c>
      <c r="Q56" t="s">
        <v>1519</v>
      </c>
    </row>
    <row r="57" spans="1:17" x14ac:dyDescent="0.25">
      <c r="A57" t="s">
        <v>39</v>
      </c>
      <c r="B57" t="s">
        <v>1533</v>
      </c>
      <c r="C57" t="s">
        <v>261</v>
      </c>
      <c r="D57" t="s">
        <v>1415</v>
      </c>
      <c r="E57">
        <v>-154.81</v>
      </c>
      <c r="F57" t="s">
        <v>1464</v>
      </c>
      <c r="G57" t="s">
        <v>1534</v>
      </c>
      <c r="H57" t="s">
        <v>1383</v>
      </c>
      <c r="I57" t="s">
        <v>1385</v>
      </c>
      <c r="J57" t="s">
        <v>1385</v>
      </c>
      <c r="K57" t="b">
        <v>1</v>
      </c>
      <c r="L57" t="b">
        <v>0</v>
      </c>
      <c r="M57" t="s">
        <v>1385</v>
      </c>
      <c r="N57" t="s">
        <v>1386</v>
      </c>
      <c r="O57" t="s">
        <v>1387</v>
      </c>
      <c r="P57" t="s">
        <v>1388</v>
      </c>
      <c r="Q57" t="s">
        <v>1535</v>
      </c>
    </row>
    <row r="58" spans="1:17" x14ac:dyDescent="0.25">
      <c r="A58" t="s">
        <v>39</v>
      </c>
      <c r="B58" t="s">
        <v>1536</v>
      </c>
      <c r="C58" t="s">
        <v>261</v>
      </c>
      <c r="D58" t="s">
        <v>1419</v>
      </c>
      <c r="E58">
        <v>-128.126</v>
      </c>
      <c r="F58" t="s">
        <v>1464</v>
      </c>
      <c r="G58" t="s">
        <v>1537</v>
      </c>
      <c r="H58" t="s">
        <v>1383</v>
      </c>
      <c r="I58" t="s">
        <v>1421</v>
      </c>
      <c r="J58" t="s">
        <v>1385</v>
      </c>
      <c r="K58" t="b">
        <v>1</v>
      </c>
      <c r="L58" t="b">
        <v>0</v>
      </c>
      <c r="M58" t="s">
        <v>1385</v>
      </c>
      <c r="N58" t="s">
        <v>1386</v>
      </c>
      <c r="O58" t="s">
        <v>1387</v>
      </c>
      <c r="P58" t="s">
        <v>1388</v>
      </c>
      <c r="Q58" t="s">
        <v>1519</v>
      </c>
    </row>
    <row r="59" spans="1:17" x14ac:dyDescent="0.25">
      <c r="A59" t="s">
        <v>39</v>
      </c>
      <c r="B59" t="s">
        <v>1538</v>
      </c>
      <c r="C59" t="s">
        <v>261</v>
      </c>
      <c r="D59" t="s">
        <v>1423</v>
      </c>
      <c r="E59">
        <v>-113.437</v>
      </c>
      <c r="F59" t="s">
        <v>1464</v>
      </c>
      <c r="G59" t="s">
        <v>1539</v>
      </c>
      <c r="H59" t="s">
        <v>1383</v>
      </c>
      <c r="I59" t="s">
        <v>1409</v>
      </c>
      <c r="J59" t="s">
        <v>1385</v>
      </c>
      <c r="K59" t="b">
        <v>1</v>
      </c>
      <c r="L59" t="b">
        <v>0</v>
      </c>
      <c r="M59" t="s">
        <v>1385</v>
      </c>
      <c r="N59" t="s">
        <v>1386</v>
      </c>
      <c r="O59" t="s">
        <v>1387</v>
      </c>
      <c r="P59" t="s">
        <v>1388</v>
      </c>
      <c r="Q59" t="s">
        <v>1519</v>
      </c>
    </row>
    <row r="60" spans="1:17" x14ac:dyDescent="0.25">
      <c r="A60" t="s">
        <v>39</v>
      </c>
      <c r="B60" t="s">
        <v>1540</v>
      </c>
      <c r="C60" t="s">
        <v>261</v>
      </c>
      <c r="D60" t="s">
        <v>1425</v>
      </c>
      <c r="E60">
        <v>-94.974</v>
      </c>
      <c r="F60" t="s">
        <v>1464</v>
      </c>
      <c r="G60" t="s">
        <v>1541</v>
      </c>
      <c r="H60" t="s">
        <v>1383</v>
      </c>
      <c r="I60" t="s">
        <v>1413</v>
      </c>
      <c r="J60" t="s">
        <v>1385</v>
      </c>
      <c r="K60" t="b">
        <v>1</v>
      </c>
      <c r="L60" t="b">
        <v>0</v>
      </c>
      <c r="M60" t="s">
        <v>1385</v>
      </c>
      <c r="N60" t="s">
        <v>1386</v>
      </c>
      <c r="O60" t="s">
        <v>1387</v>
      </c>
      <c r="P60" t="s">
        <v>1388</v>
      </c>
      <c r="Q60" t="s">
        <v>1519</v>
      </c>
    </row>
    <row r="61" spans="1:17" x14ac:dyDescent="0.25">
      <c r="A61" t="s">
        <v>39</v>
      </c>
      <c r="B61" t="s">
        <v>1542</v>
      </c>
      <c r="C61" t="s">
        <v>261</v>
      </c>
      <c r="D61" t="s">
        <v>1428</v>
      </c>
      <c r="E61">
        <v>-134.54300000000006</v>
      </c>
      <c r="F61" t="s">
        <v>1457</v>
      </c>
      <c r="G61" t="s">
        <v>1385</v>
      </c>
      <c r="H61" t="s">
        <v>1383</v>
      </c>
      <c r="I61" t="s">
        <v>1385</v>
      </c>
      <c r="J61" t="s">
        <v>1385</v>
      </c>
      <c r="K61" t="b">
        <v>0</v>
      </c>
      <c r="L61" t="b">
        <v>1</v>
      </c>
      <c r="M61" t="s">
        <v>1458</v>
      </c>
      <c r="N61" t="s">
        <v>1459</v>
      </c>
      <c r="O61" t="s">
        <v>1460</v>
      </c>
      <c r="P61" t="s">
        <v>1461</v>
      </c>
      <c r="Q61" t="s">
        <v>1462</v>
      </c>
    </row>
    <row r="62" spans="1:17" x14ac:dyDescent="0.25">
      <c r="A62" t="s">
        <v>39</v>
      </c>
      <c r="B62" t="s">
        <v>1543</v>
      </c>
      <c r="C62" t="s">
        <v>268</v>
      </c>
      <c r="D62" t="s">
        <v>1380</v>
      </c>
      <c r="E62">
        <v>-28.694</v>
      </c>
      <c r="F62" t="s">
        <v>1381</v>
      </c>
      <c r="G62" t="s">
        <v>1544</v>
      </c>
      <c r="H62" t="s">
        <v>1383</v>
      </c>
      <c r="I62" t="s">
        <v>1384</v>
      </c>
      <c r="J62" t="s">
        <v>1385</v>
      </c>
      <c r="K62" t="b">
        <v>1</v>
      </c>
      <c r="L62" t="b">
        <v>0</v>
      </c>
      <c r="M62" t="s">
        <v>1385</v>
      </c>
      <c r="N62" t="s">
        <v>1493</v>
      </c>
      <c r="O62" t="s">
        <v>1387</v>
      </c>
      <c r="P62" t="s">
        <v>1388</v>
      </c>
      <c r="Q62" t="s">
        <v>1385</v>
      </c>
    </row>
    <row r="63" spans="1:17" x14ac:dyDescent="0.25">
      <c r="A63" t="s">
        <v>39</v>
      </c>
      <c r="B63" t="s">
        <v>1545</v>
      </c>
      <c r="C63" t="s">
        <v>268</v>
      </c>
      <c r="D63" t="s">
        <v>1391</v>
      </c>
      <c r="E63">
        <v>-9.235</v>
      </c>
      <c r="F63" t="s">
        <v>1381</v>
      </c>
      <c r="G63" t="s">
        <v>1546</v>
      </c>
      <c r="H63" t="s">
        <v>1383</v>
      </c>
      <c r="I63" t="s">
        <v>1393</v>
      </c>
      <c r="J63" t="s">
        <v>1385</v>
      </c>
      <c r="K63" t="b">
        <v>1</v>
      </c>
      <c r="L63" t="b">
        <v>0</v>
      </c>
      <c r="M63" t="s">
        <v>1385</v>
      </c>
      <c r="N63" t="s">
        <v>1493</v>
      </c>
      <c r="O63" t="s">
        <v>1387</v>
      </c>
      <c r="P63" t="s">
        <v>1388</v>
      </c>
      <c r="Q63" t="s">
        <v>1385</v>
      </c>
    </row>
    <row r="64" spans="1:17" x14ac:dyDescent="0.25">
      <c r="A64" t="s">
        <v>39</v>
      </c>
      <c r="B64" t="s">
        <v>1547</v>
      </c>
      <c r="C64" t="s">
        <v>268</v>
      </c>
      <c r="D64" t="s">
        <v>1395</v>
      </c>
      <c r="E64">
        <v>-37.124</v>
      </c>
      <c r="F64" t="s">
        <v>1381</v>
      </c>
      <c r="G64" t="s">
        <v>1548</v>
      </c>
      <c r="H64" t="s">
        <v>1383</v>
      </c>
      <c r="I64" t="s">
        <v>1397</v>
      </c>
      <c r="J64" t="s">
        <v>1385</v>
      </c>
      <c r="K64" t="b">
        <v>1</v>
      </c>
      <c r="L64" t="b">
        <v>0</v>
      </c>
      <c r="M64" t="s">
        <v>1385</v>
      </c>
      <c r="N64" t="s">
        <v>1493</v>
      </c>
      <c r="O64" t="s">
        <v>1387</v>
      </c>
      <c r="P64" t="s">
        <v>1388</v>
      </c>
      <c r="Q64" t="s">
        <v>1385</v>
      </c>
    </row>
    <row r="65" spans="1:17" x14ac:dyDescent="0.25">
      <c r="A65" t="s">
        <v>39</v>
      </c>
      <c r="B65" t="s">
        <v>1549</v>
      </c>
      <c r="C65" t="s">
        <v>268</v>
      </c>
      <c r="D65" t="s">
        <v>1399</v>
      </c>
      <c r="E65">
        <v>-16.828</v>
      </c>
      <c r="F65" t="s">
        <v>1381</v>
      </c>
      <c r="G65" t="s">
        <v>1550</v>
      </c>
      <c r="H65" t="s">
        <v>1383</v>
      </c>
      <c r="I65" t="s">
        <v>1385</v>
      </c>
      <c r="J65" t="s">
        <v>1385</v>
      </c>
      <c r="K65" t="b">
        <v>1</v>
      </c>
      <c r="L65" t="b">
        <v>0</v>
      </c>
      <c r="M65" t="s">
        <v>1385</v>
      </c>
      <c r="N65" t="s">
        <v>1493</v>
      </c>
      <c r="O65" t="s">
        <v>1387</v>
      </c>
      <c r="P65" t="s">
        <v>1388</v>
      </c>
      <c r="Q65" t="s">
        <v>1551</v>
      </c>
    </row>
    <row r="66" spans="1:17" x14ac:dyDescent="0.25">
      <c r="A66" t="s">
        <v>39</v>
      </c>
      <c r="B66" t="s">
        <v>1552</v>
      </c>
      <c r="C66" t="s">
        <v>268</v>
      </c>
      <c r="D66" t="s">
        <v>1403</v>
      </c>
      <c r="E66">
        <v>-55.959</v>
      </c>
      <c r="F66" t="s">
        <v>1381</v>
      </c>
      <c r="G66" t="s">
        <v>1553</v>
      </c>
      <c r="H66" t="s">
        <v>1383</v>
      </c>
      <c r="I66" t="s">
        <v>1405</v>
      </c>
      <c r="J66" t="s">
        <v>1385</v>
      </c>
      <c r="K66" t="b">
        <v>1</v>
      </c>
      <c r="L66" t="b">
        <v>0</v>
      </c>
      <c r="M66" t="s">
        <v>1385</v>
      </c>
      <c r="N66" t="s">
        <v>1493</v>
      </c>
      <c r="O66" t="s">
        <v>1387</v>
      </c>
      <c r="P66" t="s">
        <v>1388</v>
      </c>
      <c r="Q66" t="s">
        <v>1385</v>
      </c>
    </row>
    <row r="67" spans="1:17" x14ac:dyDescent="0.25">
      <c r="A67" t="s">
        <v>39</v>
      </c>
      <c r="B67" t="s">
        <v>1554</v>
      </c>
      <c r="C67" t="s">
        <v>268</v>
      </c>
      <c r="D67" t="s">
        <v>1407</v>
      </c>
      <c r="E67">
        <v>-73.107</v>
      </c>
      <c r="F67" t="s">
        <v>1381</v>
      </c>
      <c r="G67" t="s">
        <v>1555</v>
      </c>
      <c r="H67" t="s">
        <v>1383</v>
      </c>
      <c r="I67" t="s">
        <v>1409</v>
      </c>
      <c r="J67" t="s">
        <v>1385</v>
      </c>
      <c r="K67" t="b">
        <v>1</v>
      </c>
      <c r="L67" t="b">
        <v>0</v>
      </c>
      <c r="M67" t="s">
        <v>1385</v>
      </c>
      <c r="N67" t="s">
        <v>1493</v>
      </c>
      <c r="O67" t="s">
        <v>1387</v>
      </c>
      <c r="P67" t="s">
        <v>1388</v>
      </c>
      <c r="Q67" t="s">
        <v>1385</v>
      </c>
    </row>
    <row r="68" spans="1:17" x14ac:dyDescent="0.25">
      <c r="A68" t="s">
        <v>39</v>
      </c>
      <c r="B68" t="s">
        <v>1556</v>
      </c>
      <c r="C68" t="s">
        <v>268</v>
      </c>
      <c r="D68" t="s">
        <v>1411</v>
      </c>
      <c r="E68">
        <v>-78.011</v>
      </c>
      <c r="F68" t="s">
        <v>1381</v>
      </c>
      <c r="G68" t="s">
        <v>1557</v>
      </c>
      <c r="H68" t="s">
        <v>1383</v>
      </c>
      <c r="I68" t="s">
        <v>1413</v>
      </c>
      <c r="J68" t="s">
        <v>1385</v>
      </c>
      <c r="K68" t="b">
        <v>1</v>
      </c>
      <c r="L68" t="b">
        <v>0</v>
      </c>
      <c r="M68" t="s">
        <v>1385</v>
      </c>
      <c r="N68" t="s">
        <v>1493</v>
      </c>
      <c r="O68" t="s">
        <v>1387</v>
      </c>
      <c r="P68" t="s">
        <v>1388</v>
      </c>
      <c r="Q68" t="s">
        <v>1385</v>
      </c>
    </row>
    <row r="69" spans="1:17" x14ac:dyDescent="0.25">
      <c r="A69" t="s">
        <v>39</v>
      </c>
      <c r="B69" t="s">
        <v>1558</v>
      </c>
      <c r="C69" t="s">
        <v>268</v>
      </c>
      <c r="D69" t="s">
        <v>1415</v>
      </c>
      <c r="E69">
        <v>-86.117</v>
      </c>
      <c r="F69" t="s">
        <v>1381</v>
      </c>
      <c r="G69" t="s">
        <v>1559</v>
      </c>
      <c r="H69" t="s">
        <v>1383</v>
      </c>
      <c r="I69" t="s">
        <v>1385</v>
      </c>
      <c r="J69" t="s">
        <v>1385</v>
      </c>
      <c r="K69" t="b">
        <v>1</v>
      </c>
      <c r="L69" t="b">
        <v>0</v>
      </c>
      <c r="M69" t="s">
        <v>1385</v>
      </c>
      <c r="N69" t="s">
        <v>1493</v>
      </c>
      <c r="O69" t="s">
        <v>1387</v>
      </c>
      <c r="P69" t="s">
        <v>1388</v>
      </c>
      <c r="Q69" t="s">
        <v>1560</v>
      </c>
    </row>
    <row r="70" spans="1:17" x14ac:dyDescent="0.25">
      <c r="A70" t="s">
        <v>39</v>
      </c>
      <c r="B70" t="s">
        <v>1561</v>
      </c>
      <c r="C70" t="s">
        <v>268</v>
      </c>
      <c r="D70" t="s">
        <v>1419</v>
      </c>
      <c r="E70">
        <v>-14.216</v>
      </c>
      <c r="F70" t="s">
        <v>1381</v>
      </c>
      <c r="G70" t="s">
        <v>1562</v>
      </c>
      <c r="H70" t="s">
        <v>1383</v>
      </c>
      <c r="I70" t="s">
        <v>1421</v>
      </c>
      <c r="J70" t="s">
        <v>1385</v>
      </c>
      <c r="K70" t="b">
        <v>1</v>
      </c>
      <c r="L70" t="b">
        <v>0</v>
      </c>
      <c r="M70" t="s">
        <v>1385</v>
      </c>
      <c r="N70" t="s">
        <v>1493</v>
      </c>
      <c r="O70" t="s">
        <v>1387</v>
      </c>
      <c r="P70" t="s">
        <v>1388</v>
      </c>
      <c r="Q70" t="s">
        <v>1385</v>
      </c>
    </row>
    <row r="71" spans="1:17" x14ac:dyDescent="0.25">
      <c r="A71" t="s">
        <v>39</v>
      </c>
      <c r="B71" t="s">
        <v>1563</v>
      </c>
      <c r="C71" t="s">
        <v>268</v>
      </c>
      <c r="D71" t="s">
        <v>1423</v>
      </c>
      <c r="E71">
        <v>-43.506</v>
      </c>
      <c r="F71" t="s">
        <v>1381</v>
      </c>
      <c r="G71" t="s">
        <v>1564</v>
      </c>
      <c r="H71" t="s">
        <v>1383</v>
      </c>
      <c r="I71" t="s">
        <v>1409</v>
      </c>
      <c r="J71" t="s">
        <v>1385</v>
      </c>
      <c r="K71" t="b">
        <v>1</v>
      </c>
      <c r="L71" t="b">
        <v>0</v>
      </c>
      <c r="M71" t="s">
        <v>1385</v>
      </c>
      <c r="N71" t="s">
        <v>1493</v>
      </c>
      <c r="O71" t="s">
        <v>1387</v>
      </c>
      <c r="P71" t="s">
        <v>1388</v>
      </c>
      <c r="Q71" t="s">
        <v>1385</v>
      </c>
    </row>
    <row r="72" spans="1:17" x14ac:dyDescent="0.25">
      <c r="A72" t="s">
        <v>39</v>
      </c>
      <c r="B72" t="s">
        <v>1565</v>
      </c>
      <c r="C72" t="s">
        <v>268</v>
      </c>
      <c r="D72" t="s">
        <v>1425</v>
      </c>
      <c r="E72">
        <v>-89.311</v>
      </c>
      <c r="F72" t="s">
        <v>1381</v>
      </c>
      <c r="G72" t="s">
        <v>1566</v>
      </c>
      <c r="H72" t="s">
        <v>1383</v>
      </c>
      <c r="I72" t="s">
        <v>1413</v>
      </c>
      <c r="J72" t="s">
        <v>1385</v>
      </c>
      <c r="K72" t="b">
        <v>1</v>
      </c>
      <c r="L72" t="b">
        <v>0</v>
      </c>
      <c r="M72" t="s">
        <v>1385</v>
      </c>
      <c r="N72" t="s">
        <v>1493</v>
      </c>
      <c r="O72" t="s">
        <v>1387</v>
      </c>
      <c r="P72" t="s">
        <v>1388</v>
      </c>
      <c r="Q72" t="s">
        <v>1385</v>
      </c>
    </row>
    <row r="73" spans="1:17" x14ac:dyDescent="0.25">
      <c r="A73" t="s">
        <v>39</v>
      </c>
      <c r="B73" t="s">
        <v>1567</v>
      </c>
      <c r="C73" t="s">
        <v>268</v>
      </c>
      <c r="D73" t="s">
        <v>1428</v>
      </c>
      <c r="E73">
        <v>-37.537</v>
      </c>
      <c r="F73" t="s">
        <v>1381</v>
      </c>
      <c r="G73" t="s">
        <v>1568</v>
      </c>
      <c r="H73" t="s">
        <v>1383</v>
      </c>
      <c r="I73" t="s">
        <v>1385</v>
      </c>
      <c r="J73" t="s">
        <v>1385</v>
      </c>
      <c r="K73" t="b">
        <v>1</v>
      </c>
      <c r="L73" t="b">
        <v>0</v>
      </c>
      <c r="M73" t="s">
        <v>1385</v>
      </c>
      <c r="N73" t="s">
        <v>1493</v>
      </c>
      <c r="O73" t="s">
        <v>1387</v>
      </c>
      <c r="P73" t="s">
        <v>1388</v>
      </c>
      <c r="Q73" t="s">
        <v>1569</v>
      </c>
    </row>
    <row r="74" spans="1:17" x14ac:dyDescent="0.25">
      <c r="A74" t="s">
        <v>39</v>
      </c>
      <c r="B74" t="s">
        <v>1570</v>
      </c>
      <c r="C74" t="s">
        <v>271</v>
      </c>
      <c r="D74" t="s">
        <v>1380</v>
      </c>
      <c r="E74">
        <v>-2.016</v>
      </c>
      <c r="F74" t="s">
        <v>1381</v>
      </c>
      <c r="G74" t="s">
        <v>1571</v>
      </c>
      <c r="H74" t="s">
        <v>1383</v>
      </c>
      <c r="I74" t="s">
        <v>1384</v>
      </c>
      <c r="J74" t="s">
        <v>1385</v>
      </c>
      <c r="K74" t="b">
        <v>1</v>
      </c>
      <c r="L74" t="b">
        <v>0</v>
      </c>
      <c r="M74" t="s">
        <v>1385</v>
      </c>
      <c r="N74" t="s">
        <v>1386</v>
      </c>
      <c r="O74" t="s">
        <v>1387</v>
      </c>
      <c r="P74" t="s">
        <v>1388</v>
      </c>
      <c r="Q74" t="s">
        <v>1572</v>
      </c>
    </row>
    <row r="75" spans="1:17" x14ac:dyDescent="0.25">
      <c r="A75" t="s">
        <v>39</v>
      </c>
      <c r="B75" t="s">
        <v>1573</v>
      </c>
      <c r="C75" t="s">
        <v>271</v>
      </c>
      <c r="D75" t="s">
        <v>1391</v>
      </c>
      <c r="E75">
        <v>0</v>
      </c>
      <c r="F75" t="s">
        <v>1381</v>
      </c>
      <c r="G75" t="s">
        <v>1574</v>
      </c>
      <c r="H75" t="s">
        <v>1383</v>
      </c>
      <c r="I75" t="s">
        <v>1393</v>
      </c>
      <c r="J75" t="s">
        <v>1385</v>
      </c>
      <c r="K75" t="b">
        <v>1</v>
      </c>
      <c r="L75" t="b">
        <v>0</v>
      </c>
      <c r="M75" t="s">
        <v>1385</v>
      </c>
      <c r="N75" t="s">
        <v>1386</v>
      </c>
      <c r="O75" t="s">
        <v>1387</v>
      </c>
      <c r="P75" t="s">
        <v>1388</v>
      </c>
      <c r="Q75" t="s">
        <v>1572</v>
      </c>
    </row>
    <row r="76" spans="1:17" x14ac:dyDescent="0.25">
      <c r="A76" t="s">
        <v>39</v>
      </c>
      <c r="B76" t="s">
        <v>1575</v>
      </c>
      <c r="C76" t="s">
        <v>271</v>
      </c>
      <c r="D76" t="s">
        <v>1395</v>
      </c>
      <c r="E76">
        <v>-6.3</v>
      </c>
      <c r="F76" t="s">
        <v>1381</v>
      </c>
      <c r="G76" t="s">
        <v>1576</v>
      </c>
      <c r="H76" t="s">
        <v>1383</v>
      </c>
      <c r="I76" t="s">
        <v>1397</v>
      </c>
      <c r="J76" t="s">
        <v>1385</v>
      </c>
      <c r="K76" t="b">
        <v>1</v>
      </c>
      <c r="L76" t="b">
        <v>0</v>
      </c>
      <c r="M76" t="s">
        <v>1385</v>
      </c>
      <c r="N76" t="s">
        <v>1386</v>
      </c>
      <c r="O76" t="s">
        <v>1387</v>
      </c>
      <c r="P76" t="s">
        <v>1388</v>
      </c>
      <c r="Q76" t="s">
        <v>1572</v>
      </c>
    </row>
    <row r="77" spans="1:17" x14ac:dyDescent="0.25">
      <c r="A77" t="s">
        <v>39</v>
      </c>
      <c r="B77" t="s">
        <v>1577</v>
      </c>
      <c r="C77" t="s">
        <v>271</v>
      </c>
      <c r="D77" t="s">
        <v>1399</v>
      </c>
      <c r="E77">
        <v>-6.3</v>
      </c>
      <c r="F77" t="s">
        <v>1381</v>
      </c>
      <c r="G77" t="s">
        <v>1576</v>
      </c>
      <c r="H77" t="s">
        <v>1383</v>
      </c>
      <c r="I77" t="s">
        <v>1385</v>
      </c>
      <c r="J77" t="s">
        <v>1385</v>
      </c>
      <c r="K77" t="b">
        <v>1</v>
      </c>
      <c r="L77" t="b">
        <v>0</v>
      </c>
      <c r="M77" t="s">
        <v>1385</v>
      </c>
      <c r="N77" t="s">
        <v>1386</v>
      </c>
      <c r="O77" t="s">
        <v>1387</v>
      </c>
      <c r="P77" t="s">
        <v>1388</v>
      </c>
      <c r="Q77" t="s">
        <v>1578</v>
      </c>
    </row>
    <row r="78" spans="1:17" x14ac:dyDescent="0.25">
      <c r="A78" t="s">
        <v>39</v>
      </c>
      <c r="B78" t="s">
        <v>1579</v>
      </c>
      <c r="C78" t="s">
        <v>271</v>
      </c>
      <c r="D78" t="s">
        <v>1403</v>
      </c>
      <c r="E78">
        <v>-14.189</v>
      </c>
      <c r="F78" t="s">
        <v>1381</v>
      </c>
      <c r="G78" t="s">
        <v>1580</v>
      </c>
      <c r="H78" t="s">
        <v>1383</v>
      </c>
      <c r="I78" t="s">
        <v>1405</v>
      </c>
      <c r="J78" t="s">
        <v>1385</v>
      </c>
      <c r="K78" t="b">
        <v>1</v>
      </c>
      <c r="L78" t="b">
        <v>0</v>
      </c>
      <c r="M78" t="s">
        <v>1385</v>
      </c>
      <c r="N78" t="s">
        <v>1386</v>
      </c>
      <c r="O78" t="s">
        <v>1387</v>
      </c>
      <c r="P78" t="s">
        <v>1388</v>
      </c>
      <c r="Q78" t="s">
        <v>1572</v>
      </c>
    </row>
    <row r="79" spans="1:17" x14ac:dyDescent="0.25">
      <c r="A79" t="s">
        <v>39</v>
      </c>
      <c r="B79" t="s">
        <v>1581</v>
      </c>
      <c r="C79" t="s">
        <v>271</v>
      </c>
      <c r="D79" t="s">
        <v>1407</v>
      </c>
      <c r="E79">
        <v>-13.741</v>
      </c>
      <c r="F79" t="s">
        <v>1381</v>
      </c>
      <c r="G79" t="s">
        <v>1582</v>
      </c>
      <c r="H79" t="s">
        <v>1383</v>
      </c>
      <c r="I79" t="s">
        <v>1409</v>
      </c>
      <c r="J79" t="s">
        <v>1385</v>
      </c>
      <c r="K79" t="b">
        <v>1</v>
      </c>
      <c r="L79" t="b">
        <v>0</v>
      </c>
      <c r="M79" t="s">
        <v>1385</v>
      </c>
      <c r="N79" t="s">
        <v>1386</v>
      </c>
      <c r="O79" t="s">
        <v>1387</v>
      </c>
      <c r="P79" t="s">
        <v>1388</v>
      </c>
      <c r="Q79" t="s">
        <v>1572</v>
      </c>
    </row>
    <row r="80" spans="1:17" x14ac:dyDescent="0.25">
      <c r="A80" t="s">
        <v>39</v>
      </c>
      <c r="B80" t="s">
        <v>1583</v>
      </c>
      <c r="C80" t="s">
        <v>271</v>
      </c>
      <c r="D80" t="s">
        <v>1411</v>
      </c>
      <c r="E80">
        <v>-20.785</v>
      </c>
      <c r="F80" t="s">
        <v>1381</v>
      </c>
      <c r="G80" t="s">
        <v>1584</v>
      </c>
      <c r="H80" t="s">
        <v>1383</v>
      </c>
      <c r="I80" t="s">
        <v>1413</v>
      </c>
      <c r="J80" t="s">
        <v>1385</v>
      </c>
      <c r="K80" t="b">
        <v>1</v>
      </c>
      <c r="L80" t="b">
        <v>0</v>
      </c>
      <c r="M80" t="s">
        <v>1385</v>
      </c>
      <c r="N80" t="s">
        <v>1386</v>
      </c>
      <c r="O80" t="s">
        <v>1387</v>
      </c>
      <c r="P80" t="s">
        <v>1388</v>
      </c>
      <c r="Q80" t="s">
        <v>1572</v>
      </c>
    </row>
    <row r="81" spans="1:17" x14ac:dyDescent="0.25">
      <c r="A81" t="s">
        <v>39</v>
      </c>
      <c r="B81" t="s">
        <v>1585</v>
      </c>
      <c r="C81" t="s">
        <v>271</v>
      </c>
      <c r="D81" t="s">
        <v>1415</v>
      </c>
      <c r="E81">
        <v>-25.609</v>
      </c>
      <c r="F81" t="s">
        <v>1381</v>
      </c>
      <c r="G81" t="s">
        <v>1586</v>
      </c>
      <c r="H81" t="s">
        <v>1383</v>
      </c>
      <c r="I81" t="s">
        <v>1385</v>
      </c>
      <c r="J81" t="s">
        <v>1385</v>
      </c>
      <c r="K81" t="b">
        <v>1</v>
      </c>
      <c r="L81" t="b">
        <v>0</v>
      </c>
      <c r="M81" t="s">
        <v>1385</v>
      </c>
      <c r="N81" t="s">
        <v>1386</v>
      </c>
      <c r="O81" t="s">
        <v>1387</v>
      </c>
      <c r="P81" t="s">
        <v>1388</v>
      </c>
      <c r="Q81" t="s">
        <v>1587</v>
      </c>
    </row>
    <row r="82" spans="1:17" x14ac:dyDescent="0.25">
      <c r="A82" t="s">
        <v>39</v>
      </c>
      <c r="B82" t="s">
        <v>1588</v>
      </c>
      <c r="C82" t="s">
        <v>271</v>
      </c>
      <c r="D82" t="s">
        <v>1419</v>
      </c>
      <c r="E82">
        <v>-16.039</v>
      </c>
      <c r="F82" t="s">
        <v>1381</v>
      </c>
      <c r="G82" t="s">
        <v>1589</v>
      </c>
      <c r="H82" t="s">
        <v>1383</v>
      </c>
      <c r="I82" t="s">
        <v>1421</v>
      </c>
      <c r="J82" t="s">
        <v>1385</v>
      </c>
      <c r="K82" t="b">
        <v>1</v>
      </c>
      <c r="L82" t="b">
        <v>0</v>
      </c>
      <c r="M82" t="s">
        <v>1385</v>
      </c>
      <c r="N82" t="s">
        <v>1386</v>
      </c>
      <c r="O82" t="s">
        <v>1387</v>
      </c>
      <c r="P82" t="s">
        <v>1388</v>
      </c>
      <c r="Q82" t="s">
        <v>1572</v>
      </c>
    </row>
    <row r="83" spans="1:17" x14ac:dyDescent="0.25">
      <c r="A83" t="s">
        <v>39</v>
      </c>
      <c r="B83" t="s">
        <v>1590</v>
      </c>
      <c r="C83" t="s">
        <v>271</v>
      </c>
      <c r="D83" t="s">
        <v>1423</v>
      </c>
      <c r="E83">
        <v>-11.046</v>
      </c>
      <c r="F83" t="s">
        <v>1381</v>
      </c>
      <c r="G83" t="s">
        <v>1591</v>
      </c>
      <c r="H83" t="s">
        <v>1383</v>
      </c>
      <c r="I83" t="s">
        <v>1409</v>
      </c>
      <c r="J83" t="s">
        <v>1385</v>
      </c>
      <c r="K83" t="b">
        <v>1</v>
      </c>
      <c r="L83" t="b">
        <v>0</v>
      </c>
      <c r="M83" t="s">
        <v>1385</v>
      </c>
      <c r="N83" t="s">
        <v>1386</v>
      </c>
      <c r="O83" t="s">
        <v>1387</v>
      </c>
      <c r="P83" t="s">
        <v>1388</v>
      </c>
      <c r="Q83" t="s">
        <v>1572</v>
      </c>
    </row>
    <row r="84" spans="1:17" x14ac:dyDescent="0.25">
      <c r="A84" t="s">
        <v>39</v>
      </c>
      <c r="B84" t="s">
        <v>1592</v>
      </c>
      <c r="C84" t="s">
        <v>271</v>
      </c>
      <c r="D84" t="s">
        <v>1425</v>
      </c>
      <c r="E84">
        <v>-28.559</v>
      </c>
      <c r="F84" t="s">
        <v>1381</v>
      </c>
      <c r="G84" t="s">
        <v>1593</v>
      </c>
      <c r="H84" t="s">
        <v>1383</v>
      </c>
      <c r="I84" t="s">
        <v>1413</v>
      </c>
      <c r="J84" t="s">
        <v>1385</v>
      </c>
      <c r="K84" t="b">
        <v>1</v>
      </c>
      <c r="L84" t="b">
        <v>0</v>
      </c>
      <c r="M84" t="s">
        <v>1385</v>
      </c>
      <c r="N84" t="s">
        <v>1386</v>
      </c>
      <c r="O84" t="s">
        <v>1387</v>
      </c>
      <c r="P84" t="s">
        <v>1388</v>
      </c>
      <c r="Q84" t="s">
        <v>1572</v>
      </c>
    </row>
    <row r="85" spans="1:17" x14ac:dyDescent="0.25">
      <c r="A85" t="s">
        <v>39</v>
      </c>
      <c r="B85" t="s">
        <v>1594</v>
      </c>
      <c r="C85" t="s">
        <v>271</v>
      </c>
      <c r="D85" t="s">
        <v>1428</v>
      </c>
      <c r="E85">
        <v>-24.156</v>
      </c>
      <c r="F85" t="s">
        <v>1381</v>
      </c>
      <c r="G85" t="s">
        <v>1595</v>
      </c>
      <c r="H85" t="s">
        <v>1383</v>
      </c>
      <c r="I85" t="s">
        <v>1385</v>
      </c>
      <c r="J85" t="s">
        <v>1385</v>
      </c>
      <c r="K85" t="b">
        <v>1</v>
      </c>
      <c r="L85" t="b">
        <v>0</v>
      </c>
      <c r="M85" t="s">
        <v>1385</v>
      </c>
      <c r="N85" t="s">
        <v>1386</v>
      </c>
      <c r="O85" t="s">
        <v>1387</v>
      </c>
      <c r="P85" t="s">
        <v>1388</v>
      </c>
      <c r="Q85" t="s">
        <v>1596</v>
      </c>
    </row>
    <row r="86" spans="1:17" x14ac:dyDescent="0.25">
      <c r="A86" t="s">
        <v>39</v>
      </c>
      <c r="B86" t="s">
        <v>1597</v>
      </c>
      <c r="C86" t="s">
        <v>272</v>
      </c>
      <c r="D86" t="s">
        <v>1380</v>
      </c>
      <c r="E86">
        <v>0</v>
      </c>
      <c r="F86" t="s">
        <v>1464</v>
      </c>
      <c r="G86" t="s">
        <v>1598</v>
      </c>
      <c r="H86" t="s">
        <v>1383</v>
      </c>
      <c r="I86" t="s">
        <v>1385</v>
      </c>
      <c r="J86" t="s">
        <v>1385</v>
      </c>
      <c r="K86" t="b">
        <v>1</v>
      </c>
      <c r="L86" t="b">
        <v>0</v>
      </c>
      <c r="M86" t="s">
        <v>1385</v>
      </c>
      <c r="N86" t="s">
        <v>1386</v>
      </c>
      <c r="O86" t="s">
        <v>1387</v>
      </c>
      <c r="P86" t="s">
        <v>1388</v>
      </c>
      <c r="Q86" t="s">
        <v>1599</v>
      </c>
    </row>
    <row r="87" spans="1:17" x14ac:dyDescent="0.25">
      <c r="A87" t="s">
        <v>39</v>
      </c>
      <c r="B87" t="s">
        <v>1600</v>
      </c>
      <c r="C87" t="s">
        <v>272</v>
      </c>
      <c r="D87" t="s">
        <v>1391</v>
      </c>
      <c r="E87">
        <v>0</v>
      </c>
      <c r="F87" t="s">
        <v>1464</v>
      </c>
      <c r="G87" t="s">
        <v>1598</v>
      </c>
      <c r="H87" t="s">
        <v>1383</v>
      </c>
      <c r="I87" t="s">
        <v>1385</v>
      </c>
      <c r="J87" t="s">
        <v>1385</v>
      </c>
      <c r="K87" t="b">
        <v>1</v>
      </c>
      <c r="L87" t="b">
        <v>0</v>
      </c>
      <c r="M87" t="s">
        <v>1385</v>
      </c>
      <c r="N87" t="s">
        <v>1386</v>
      </c>
      <c r="O87" t="s">
        <v>1387</v>
      </c>
      <c r="P87" t="s">
        <v>1388</v>
      </c>
      <c r="Q87" t="s">
        <v>1599</v>
      </c>
    </row>
    <row r="88" spans="1:17" x14ac:dyDescent="0.25">
      <c r="A88" t="s">
        <v>39</v>
      </c>
      <c r="B88" t="s">
        <v>1601</v>
      </c>
      <c r="C88" t="s">
        <v>272</v>
      </c>
      <c r="D88" t="s">
        <v>1395</v>
      </c>
      <c r="E88">
        <v>0</v>
      </c>
      <c r="F88" t="s">
        <v>1464</v>
      </c>
      <c r="G88" t="s">
        <v>1598</v>
      </c>
      <c r="H88" t="s">
        <v>1383</v>
      </c>
      <c r="I88" t="s">
        <v>1385</v>
      </c>
      <c r="J88" t="s">
        <v>1385</v>
      </c>
      <c r="K88" t="b">
        <v>1</v>
      </c>
      <c r="L88" t="b">
        <v>0</v>
      </c>
      <c r="M88" t="s">
        <v>1385</v>
      </c>
      <c r="N88" t="s">
        <v>1386</v>
      </c>
      <c r="O88" t="s">
        <v>1387</v>
      </c>
      <c r="P88" t="s">
        <v>1388</v>
      </c>
      <c r="Q88" t="s">
        <v>1599</v>
      </c>
    </row>
    <row r="89" spans="1:17" x14ac:dyDescent="0.25">
      <c r="A89" t="s">
        <v>39</v>
      </c>
      <c r="B89" t="s">
        <v>1602</v>
      </c>
      <c r="C89" t="s">
        <v>272</v>
      </c>
      <c r="D89" t="s">
        <v>1399</v>
      </c>
      <c r="E89">
        <v>0</v>
      </c>
      <c r="F89" t="s">
        <v>1464</v>
      </c>
      <c r="G89" t="s">
        <v>1598</v>
      </c>
      <c r="H89" t="s">
        <v>1383</v>
      </c>
      <c r="I89" t="s">
        <v>1385</v>
      </c>
      <c r="J89" t="s">
        <v>1385</v>
      </c>
      <c r="K89" t="b">
        <v>1</v>
      </c>
      <c r="L89" t="b">
        <v>0</v>
      </c>
      <c r="M89" t="s">
        <v>1385</v>
      </c>
      <c r="N89" t="s">
        <v>1386</v>
      </c>
      <c r="O89" t="s">
        <v>1387</v>
      </c>
      <c r="P89" t="s">
        <v>1388</v>
      </c>
      <c r="Q89" t="s">
        <v>1599</v>
      </c>
    </row>
    <row r="90" spans="1:17" x14ac:dyDescent="0.25">
      <c r="A90" t="s">
        <v>39</v>
      </c>
      <c r="B90" t="s">
        <v>1603</v>
      </c>
      <c r="C90" t="s">
        <v>272</v>
      </c>
      <c r="D90" t="s">
        <v>1403</v>
      </c>
      <c r="E90">
        <v>0</v>
      </c>
      <c r="F90" t="s">
        <v>1464</v>
      </c>
      <c r="G90" t="s">
        <v>1598</v>
      </c>
      <c r="H90" t="s">
        <v>1383</v>
      </c>
      <c r="I90" t="s">
        <v>1385</v>
      </c>
      <c r="J90" t="s">
        <v>1385</v>
      </c>
      <c r="K90" t="b">
        <v>1</v>
      </c>
      <c r="L90" t="b">
        <v>0</v>
      </c>
      <c r="M90" t="s">
        <v>1385</v>
      </c>
      <c r="N90" t="s">
        <v>1386</v>
      </c>
      <c r="O90" t="s">
        <v>1387</v>
      </c>
      <c r="P90" t="s">
        <v>1388</v>
      </c>
      <c r="Q90" t="s">
        <v>1599</v>
      </c>
    </row>
    <row r="91" spans="1:17" x14ac:dyDescent="0.25">
      <c r="A91" t="s">
        <v>39</v>
      </c>
      <c r="B91" t="s">
        <v>1604</v>
      </c>
      <c r="C91" t="s">
        <v>272</v>
      </c>
      <c r="D91" t="s">
        <v>1407</v>
      </c>
      <c r="E91">
        <v>0</v>
      </c>
      <c r="F91" t="s">
        <v>1464</v>
      </c>
      <c r="G91" t="s">
        <v>1598</v>
      </c>
      <c r="H91" t="s">
        <v>1383</v>
      </c>
      <c r="I91" t="s">
        <v>1385</v>
      </c>
      <c r="J91" t="s">
        <v>1385</v>
      </c>
      <c r="K91" t="b">
        <v>1</v>
      </c>
      <c r="L91" t="b">
        <v>0</v>
      </c>
      <c r="M91" t="s">
        <v>1385</v>
      </c>
      <c r="N91" t="s">
        <v>1386</v>
      </c>
      <c r="O91" t="s">
        <v>1387</v>
      </c>
      <c r="P91" t="s">
        <v>1388</v>
      </c>
      <c r="Q91" t="s">
        <v>1599</v>
      </c>
    </row>
    <row r="92" spans="1:17" x14ac:dyDescent="0.25">
      <c r="A92" t="s">
        <v>39</v>
      </c>
      <c r="B92" t="s">
        <v>1605</v>
      </c>
      <c r="C92" t="s">
        <v>272</v>
      </c>
      <c r="D92" t="s">
        <v>1411</v>
      </c>
      <c r="E92">
        <v>0</v>
      </c>
      <c r="F92" t="s">
        <v>1464</v>
      </c>
      <c r="G92" t="s">
        <v>1598</v>
      </c>
      <c r="H92" t="s">
        <v>1383</v>
      </c>
      <c r="I92" t="s">
        <v>1385</v>
      </c>
      <c r="J92" t="s">
        <v>1385</v>
      </c>
      <c r="K92" t="b">
        <v>1</v>
      </c>
      <c r="L92" t="b">
        <v>0</v>
      </c>
      <c r="M92" t="s">
        <v>1385</v>
      </c>
      <c r="N92" t="s">
        <v>1386</v>
      </c>
      <c r="O92" t="s">
        <v>1387</v>
      </c>
      <c r="P92" t="s">
        <v>1388</v>
      </c>
      <c r="Q92" t="s">
        <v>1599</v>
      </c>
    </row>
    <row r="93" spans="1:17" x14ac:dyDescent="0.25">
      <c r="A93" t="s">
        <v>39</v>
      </c>
      <c r="B93" t="s">
        <v>1606</v>
      </c>
      <c r="C93" t="s">
        <v>272</v>
      </c>
      <c r="D93" t="s">
        <v>1415</v>
      </c>
      <c r="E93">
        <v>0</v>
      </c>
      <c r="F93" t="s">
        <v>1464</v>
      </c>
      <c r="G93" t="s">
        <v>1598</v>
      </c>
      <c r="H93" t="s">
        <v>1383</v>
      </c>
      <c r="I93" t="s">
        <v>1385</v>
      </c>
      <c r="J93" t="s">
        <v>1385</v>
      </c>
      <c r="K93" t="b">
        <v>1</v>
      </c>
      <c r="L93" t="b">
        <v>0</v>
      </c>
      <c r="M93" t="s">
        <v>1385</v>
      </c>
      <c r="N93" t="s">
        <v>1386</v>
      </c>
      <c r="O93" t="s">
        <v>1387</v>
      </c>
      <c r="P93" t="s">
        <v>1388</v>
      </c>
      <c r="Q93" t="s">
        <v>1599</v>
      </c>
    </row>
    <row r="94" spans="1:17" x14ac:dyDescent="0.25">
      <c r="A94" t="s">
        <v>39</v>
      </c>
      <c r="B94" t="s">
        <v>1607</v>
      </c>
      <c r="C94" t="s">
        <v>272</v>
      </c>
      <c r="D94" t="s">
        <v>1419</v>
      </c>
      <c r="E94">
        <v>0</v>
      </c>
      <c r="F94" t="s">
        <v>1464</v>
      </c>
      <c r="G94" t="s">
        <v>1608</v>
      </c>
      <c r="H94" t="s">
        <v>1383</v>
      </c>
      <c r="I94" t="s">
        <v>1609</v>
      </c>
      <c r="J94" t="s">
        <v>1385</v>
      </c>
      <c r="K94" t="b">
        <v>1</v>
      </c>
      <c r="L94" t="b">
        <v>0</v>
      </c>
      <c r="M94" t="s">
        <v>1385</v>
      </c>
      <c r="N94" t="s">
        <v>1386</v>
      </c>
      <c r="O94" t="s">
        <v>1387</v>
      </c>
      <c r="P94" t="s">
        <v>1388</v>
      </c>
      <c r="Q94" t="s">
        <v>1610</v>
      </c>
    </row>
    <row r="95" spans="1:17" x14ac:dyDescent="0.25">
      <c r="A95" t="s">
        <v>39</v>
      </c>
      <c r="B95" t="s">
        <v>1611</v>
      </c>
      <c r="C95" t="s">
        <v>272</v>
      </c>
      <c r="D95" t="s">
        <v>1423</v>
      </c>
      <c r="E95">
        <v>0</v>
      </c>
      <c r="F95" t="s">
        <v>1464</v>
      </c>
      <c r="G95" t="s">
        <v>1612</v>
      </c>
      <c r="H95" t="s">
        <v>1383</v>
      </c>
      <c r="I95" t="s">
        <v>1409</v>
      </c>
      <c r="J95" t="s">
        <v>1385</v>
      </c>
      <c r="K95" t="b">
        <v>1</v>
      </c>
      <c r="L95" t="b">
        <v>0</v>
      </c>
      <c r="M95" t="s">
        <v>1385</v>
      </c>
      <c r="N95" t="s">
        <v>1386</v>
      </c>
      <c r="O95" t="s">
        <v>1387</v>
      </c>
      <c r="P95" t="s">
        <v>1388</v>
      </c>
      <c r="Q95" t="s">
        <v>1610</v>
      </c>
    </row>
    <row r="96" spans="1:17" x14ac:dyDescent="0.25">
      <c r="A96" t="s">
        <v>39</v>
      </c>
      <c r="B96" t="s">
        <v>1613</v>
      </c>
      <c r="C96" t="s">
        <v>272</v>
      </c>
      <c r="D96" t="s">
        <v>1425</v>
      </c>
      <c r="E96">
        <v>0</v>
      </c>
      <c r="F96" t="s">
        <v>1464</v>
      </c>
      <c r="G96" t="s">
        <v>1614</v>
      </c>
      <c r="H96" t="s">
        <v>1383</v>
      </c>
      <c r="I96" t="s">
        <v>1413</v>
      </c>
      <c r="J96" t="s">
        <v>1385</v>
      </c>
      <c r="K96" t="b">
        <v>1</v>
      </c>
      <c r="L96" t="b">
        <v>0</v>
      </c>
      <c r="M96" t="s">
        <v>1385</v>
      </c>
      <c r="N96" t="s">
        <v>1386</v>
      </c>
      <c r="O96" t="s">
        <v>1387</v>
      </c>
      <c r="P96" t="s">
        <v>1388</v>
      </c>
      <c r="Q96" t="s">
        <v>1610</v>
      </c>
    </row>
    <row r="97" spans="1:17" x14ac:dyDescent="0.25">
      <c r="A97" t="s">
        <v>39</v>
      </c>
      <c r="B97" t="s">
        <v>1615</v>
      </c>
      <c r="C97" t="s">
        <v>272</v>
      </c>
      <c r="D97" t="s">
        <v>1428</v>
      </c>
      <c r="E97">
        <v>-4.734</v>
      </c>
      <c r="F97" t="s">
        <v>1464</v>
      </c>
      <c r="G97" t="s">
        <v>1616</v>
      </c>
      <c r="H97" t="s">
        <v>1383</v>
      </c>
      <c r="I97" t="s">
        <v>1385</v>
      </c>
      <c r="J97" t="s">
        <v>1385</v>
      </c>
      <c r="K97" t="b">
        <v>1</v>
      </c>
      <c r="L97" t="b">
        <v>0</v>
      </c>
      <c r="M97" t="s">
        <v>1385</v>
      </c>
      <c r="N97" t="s">
        <v>1386</v>
      </c>
      <c r="O97" t="s">
        <v>1387</v>
      </c>
      <c r="P97" t="s">
        <v>1388</v>
      </c>
      <c r="Q97" t="s">
        <v>1617</v>
      </c>
    </row>
    <row r="98" spans="1:17" x14ac:dyDescent="0.25">
      <c r="A98" t="s">
        <v>39</v>
      </c>
      <c r="B98" t="s">
        <v>1618</v>
      </c>
      <c r="C98" t="s">
        <v>273</v>
      </c>
      <c r="D98" t="s">
        <v>1380</v>
      </c>
      <c r="E98">
        <v>6.311</v>
      </c>
      <c r="F98" t="s">
        <v>1464</v>
      </c>
      <c r="G98" t="s">
        <v>1619</v>
      </c>
      <c r="H98" t="s">
        <v>1383</v>
      </c>
      <c r="I98" t="s">
        <v>1384</v>
      </c>
      <c r="J98" t="s">
        <v>1385</v>
      </c>
      <c r="K98" t="b">
        <v>1</v>
      </c>
      <c r="L98" t="b">
        <v>0</v>
      </c>
      <c r="M98" t="s">
        <v>1385</v>
      </c>
      <c r="N98" t="s">
        <v>1386</v>
      </c>
      <c r="O98" t="s">
        <v>1387</v>
      </c>
      <c r="P98" t="s">
        <v>1388</v>
      </c>
      <c r="Q98" t="s">
        <v>1620</v>
      </c>
    </row>
    <row r="99" spans="1:17" x14ac:dyDescent="0.25">
      <c r="A99" t="s">
        <v>39</v>
      </c>
      <c r="B99" t="s">
        <v>1621</v>
      </c>
      <c r="C99" t="s">
        <v>273</v>
      </c>
      <c r="D99" t="s">
        <v>1391</v>
      </c>
      <c r="E99">
        <v>3.711</v>
      </c>
      <c r="F99" t="s">
        <v>1464</v>
      </c>
      <c r="G99" t="s">
        <v>1622</v>
      </c>
      <c r="H99" t="s">
        <v>1383</v>
      </c>
      <c r="I99" t="s">
        <v>1393</v>
      </c>
      <c r="J99" t="s">
        <v>1385</v>
      </c>
      <c r="K99" t="b">
        <v>1</v>
      </c>
      <c r="L99" t="b">
        <v>0</v>
      </c>
      <c r="M99" t="s">
        <v>1385</v>
      </c>
      <c r="N99" t="s">
        <v>1386</v>
      </c>
      <c r="O99" t="s">
        <v>1387</v>
      </c>
      <c r="P99" t="s">
        <v>1388</v>
      </c>
      <c r="Q99" t="s">
        <v>1620</v>
      </c>
    </row>
    <row r="100" spans="1:17" x14ac:dyDescent="0.25">
      <c r="A100" t="s">
        <v>39</v>
      </c>
      <c r="B100" t="s">
        <v>1623</v>
      </c>
      <c r="C100" t="s">
        <v>273</v>
      </c>
      <c r="D100" t="s">
        <v>1395</v>
      </c>
      <c r="E100">
        <v>3.772</v>
      </c>
      <c r="F100" t="s">
        <v>1464</v>
      </c>
      <c r="G100" t="s">
        <v>1624</v>
      </c>
      <c r="H100" t="s">
        <v>1383</v>
      </c>
      <c r="I100" t="s">
        <v>1397</v>
      </c>
      <c r="J100" t="s">
        <v>1385</v>
      </c>
      <c r="K100" t="b">
        <v>1</v>
      </c>
      <c r="L100" t="b">
        <v>0</v>
      </c>
      <c r="M100" t="s">
        <v>1385</v>
      </c>
      <c r="N100" t="s">
        <v>1386</v>
      </c>
      <c r="O100" t="s">
        <v>1387</v>
      </c>
      <c r="P100" t="s">
        <v>1388</v>
      </c>
      <c r="Q100" t="s">
        <v>1620</v>
      </c>
    </row>
    <row r="101" spans="1:17" x14ac:dyDescent="0.25">
      <c r="A101" t="s">
        <v>39</v>
      </c>
      <c r="B101" t="s">
        <v>1625</v>
      </c>
      <c r="C101" t="s">
        <v>273</v>
      </c>
      <c r="D101" t="s">
        <v>1399</v>
      </c>
      <c r="E101">
        <v>1.506</v>
      </c>
      <c r="F101" t="s">
        <v>1464</v>
      </c>
      <c r="G101" t="s">
        <v>1626</v>
      </c>
      <c r="H101" t="s">
        <v>1383</v>
      </c>
      <c r="I101" t="s">
        <v>1385</v>
      </c>
      <c r="J101" t="s">
        <v>1385</v>
      </c>
      <c r="K101" t="b">
        <v>1</v>
      </c>
      <c r="L101" t="b">
        <v>0</v>
      </c>
      <c r="M101" t="s">
        <v>1385</v>
      </c>
      <c r="N101" t="s">
        <v>1386</v>
      </c>
      <c r="O101" t="s">
        <v>1387</v>
      </c>
      <c r="P101" t="s">
        <v>1388</v>
      </c>
      <c r="Q101" t="s">
        <v>1627</v>
      </c>
    </row>
    <row r="102" spans="1:17" x14ac:dyDescent="0.25">
      <c r="A102" t="s">
        <v>39</v>
      </c>
      <c r="B102" t="s">
        <v>1628</v>
      </c>
      <c r="C102" t="s">
        <v>273</v>
      </c>
      <c r="D102" t="s">
        <v>1403</v>
      </c>
      <c r="E102">
        <v>-0.453</v>
      </c>
      <c r="F102" t="s">
        <v>1464</v>
      </c>
      <c r="G102" t="s">
        <v>1629</v>
      </c>
      <c r="H102" t="s">
        <v>1383</v>
      </c>
      <c r="I102" t="s">
        <v>1405</v>
      </c>
      <c r="J102" t="s">
        <v>1385</v>
      </c>
      <c r="K102" t="b">
        <v>1</v>
      </c>
      <c r="L102" t="b">
        <v>0</v>
      </c>
      <c r="M102" t="s">
        <v>1385</v>
      </c>
      <c r="N102" t="s">
        <v>1386</v>
      </c>
      <c r="O102" t="s">
        <v>1387</v>
      </c>
      <c r="P102" t="s">
        <v>1388</v>
      </c>
      <c r="Q102" t="s">
        <v>1630</v>
      </c>
    </row>
    <row r="103" spans="1:17" x14ac:dyDescent="0.25">
      <c r="A103" t="s">
        <v>39</v>
      </c>
      <c r="B103" t="s">
        <v>1631</v>
      </c>
      <c r="C103" t="s">
        <v>273</v>
      </c>
      <c r="D103" t="s">
        <v>1407</v>
      </c>
      <c r="E103">
        <v>4.83</v>
      </c>
      <c r="F103" t="s">
        <v>1464</v>
      </c>
      <c r="G103" t="s">
        <v>1632</v>
      </c>
      <c r="H103" t="s">
        <v>1383</v>
      </c>
      <c r="I103" t="s">
        <v>1409</v>
      </c>
      <c r="J103" t="s">
        <v>1385</v>
      </c>
      <c r="K103" t="b">
        <v>1</v>
      </c>
      <c r="L103" t="b">
        <v>0</v>
      </c>
      <c r="M103" t="s">
        <v>1385</v>
      </c>
      <c r="N103" t="s">
        <v>1386</v>
      </c>
      <c r="O103" t="s">
        <v>1387</v>
      </c>
      <c r="P103" t="s">
        <v>1388</v>
      </c>
      <c r="Q103" t="s">
        <v>1630</v>
      </c>
    </row>
    <row r="104" spans="1:17" x14ac:dyDescent="0.25">
      <c r="A104" t="s">
        <v>39</v>
      </c>
      <c r="B104" t="s">
        <v>1633</v>
      </c>
      <c r="C104" t="s">
        <v>273</v>
      </c>
      <c r="D104" t="s">
        <v>1411</v>
      </c>
      <c r="E104">
        <v>13.237</v>
      </c>
      <c r="F104" t="s">
        <v>1464</v>
      </c>
      <c r="G104" t="s">
        <v>1634</v>
      </c>
      <c r="H104" t="s">
        <v>1383</v>
      </c>
      <c r="I104" t="s">
        <v>1413</v>
      </c>
      <c r="J104" t="s">
        <v>1385</v>
      </c>
      <c r="K104" t="b">
        <v>1</v>
      </c>
      <c r="L104" t="b">
        <v>0</v>
      </c>
      <c r="M104" t="s">
        <v>1385</v>
      </c>
      <c r="N104" t="s">
        <v>1386</v>
      </c>
      <c r="O104" t="s">
        <v>1387</v>
      </c>
      <c r="P104" t="s">
        <v>1388</v>
      </c>
      <c r="Q104" t="s">
        <v>1630</v>
      </c>
    </row>
    <row r="105" spans="1:17" x14ac:dyDescent="0.25">
      <c r="A105" t="s">
        <v>39</v>
      </c>
      <c r="B105" t="s">
        <v>1635</v>
      </c>
      <c r="C105" t="s">
        <v>273</v>
      </c>
      <c r="D105" t="s">
        <v>1415</v>
      </c>
      <c r="E105">
        <v>13.417</v>
      </c>
      <c r="F105" t="s">
        <v>1464</v>
      </c>
      <c r="G105" t="s">
        <v>1636</v>
      </c>
      <c r="H105" t="s">
        <v>1383</v>
      </c>
      <c r="I105" t="s">
        <v>1385</v>
      </c>
      <c r="J105" t="s">
        <v>1385</v>
      </c>
      <c r="K105" t="b">
        <v>1</v>
      </c>
      <c r="L105" t="b">
        <v>0</v>
      </c>
      <c r="M105" t="s">
        <v>1385</v>
      </c>
      <c r="N105" t="s">
        <v>1386</v>
      </c>
      <c r="O105" t="s">
        <v>1387</v>
      </c>
      <c r="P105" t="s">
        <v>1388</v>
      </c>
      <c r="Q105" t="s">
        <v>1637</v>
      </c>
    </row>
    <row r="106" spans="1:17" x14ac:dyDescent="0.25">
      <c r="A106" t="s">
        <v>39</v>
      </c>
      <c r="B106" t="s">
        <v>1638</v>
      </c>
      <c r="C106" t="s">
        <v>273</v>
      </c>
      <c r="D106" t="s">
        <v>1419</v>
      </c>
      <c r="E106">
        <v>6.983</v>
      </c>
      <c r="F106" t="s">
        <v>1464</v>
      </c>
      <c r="G106" t="s">
        <v>1639</v>
      </c>
      <c r="H106" t="s">
        <v>1383</v>
      </c>
      <c r="I106" t="s">
        <v>1421</v>
      </c>
      <c r="J106" t="s">
        <v>1385</v>
      </c>
      <c r="K106" t="b">
        <v>1</v>
      </c>
      <c r="L106" t="b">
        <v>0</v>
      </c>
      <c r="M106" t="s">
        <v>1385</v>
      </c>
      <c r="N106" t="s">
        <v>1386</v>
      </c>
      <c r="O106" t="s">
        <v>1387</v>
      </c>
      <c r="P106" t="s">
        <v>1388</v>
      </c>
      <c r="Q106" t="s">
        <v>1620</v>
      </c>
    </row>
    <row r="107" spans="1:17" x14ac:dyDescent="0.25">
      <c r="A107" t="s">
        <v>39</v>
      </c>
      <c r="B107" t="s">
        <v>1640</v>
      </c>
      <c r="C107" t="s">
        <v>273</v>
      </c>
      <c r="D107" t="s">
        <v>1423</v>
      </c>
      <c r="E107">
        <v>7.668</v>
      </c>
      <c r="F107" t="s">
        <v>1464</v>
      </c>
      <c r="G107" t="s">
        <v>1641</v>
      </c>
      <c r="H107" t="s">
        <v>1383</v>
      </c>
      <c r="I107" t="s">
        <v>1409</v>
      </c>
      <c r="J107" t="s">
        <v>1385</v>
      </c>
      <c r="K107" t="b">
        <v>1</v>
      </c>
      <c r="L107" t="b">
        <v>0</v>
      </c>
      <c r="M107" t="s">
        <v>1385</v>
      </c>
      <c r="N107" t="s">
        <v>1386</v>
      </c>
      <c r="O107" t="s">
        <v>1387</v>
      </c>
      <c r="P107" t="s">
        <v>1388</v>
      </c>
      <c r="Q107" t="s">
        <v>1620</v>
      </c>
    </row>
    <row r="108" spans="1:17" x14ac:dyDescent="0.25">
      <c r="A108" t="s">
        <v>39</v>
      </c>
      <c r="B108" t="s">
        <v>1642</v>
      </c>
      <c r="C108" t="s">
        <v>273</v>
      </c>
      <c r="D108" t="s">
        <v>1425</v>
      </c>
      <c r="E108">
        <v>10.041</v>
      </c>
      <c r="F108" t="s">
        <v>1464</v>
      </c>
      <c r="G108" t="s">
        <v>1643</v>
      </c>
      <c r="H108" t="s">
        <v>1383</v>
      </c>
      <c r="I108" t="s">
        <v>1413</v>
      </c>
      <c r="J108" t="s">
        <v>1385</v>
      </c>
      <c r="K108" t="b">
        <v>1</v>
      </c>
      <c r="L108" t="b">
        <v>0</v>
      </c>
      <c r="M108" t="s">
        <v>1385</v>
      </c>
      <c r="N108" t="s">
        <v>1386</v>
      </c>
      <c r="O108" t="s">
        <v>1387</v>
      </c>
      <c r="P108" t="s">
        <v>1388</v>
      </c>
      <c r="Q108" t="s">
        <v>1620</v>
      </c>
    </row>
    <row r="109" spans="1:17" x14ac:dyDescent="0.25">
      <c r="A109" t="s">
        <v>39</v>
      </c>
      <c r="B109" t="s">
        <v>1644</v>
      </c>
      <c r="C109" t="s">
        <v>273</v>
      </c>
      <c r="D109" t="s">
        <v>1428</v>
      </c>
      <c r="E109">
        <v>3.738</v>
      </c>
      <c r="F109" t="s">
        <v>1464</v>
      </c>
      <c r="G109" t="s">
        <v>1622</v>
      </c>
      <c r="H109" t="s">
        <v>1383</v>
      </c>
      <c r="I109" t="s">
        <v>1385</v>
      </c>
      <c r="J109" t="s">
        <v>1385</v>
      </c>
      <c r="K109" t="b">
        <v>1</v>
      </c>
      <c r="L109" t="b">
        <v>0</v>
      </c>
      <c r="M109" t="s">
        <v>1385</v>
      </c>
      <c r="N109" t="s">
        <v>1386</v>
      </c>
      <c r="O109" t="s">
        <v>1387</v>
      </c>
      <c r="P109" t="s">
        <v>1388</v>
      </c>
      <c r="Q109" t="s">
        <v>1645</v>
      </c>
    </row>
    <row r="110" spans="1:17" x14ac:dyDescent="0.25">
      <c r="A110" t="s">
        <v>39</v>
      </c>
      <c r="B110" t="s">
        <v>1646</v>
      </c>
      <c r="C110" t="s">
        <v>317</v>
      </c>
      <c r="D110" t="s">
        <v>1380</v>
      </c>
      <c r="E110">
        <v>7508.508</v>
      </c>
      <c r="F110" t="s">
        <v>1381</v>
      </c>
      <c r="G110" t="s">
        <v>1647</v>
      </c>
      <c r="H110" t="s">
        <v>1648</v>
      </c>
      <c r="I110" t="s">
        <v>1649</v>
      </c>
      <c r="J110" t="s">
        <v>1385</v>
      </c>
      <c r="K110" t="b">
        <v>1</v>
      </c>
      <c r="L110" t="b">
        <v>0</v>
      </c>
      <c r="M110" t="s">
        <v>1385</v>
      </c>
      <c r="N110" t="s">
        <v>1386</v>
      </c>
      <c r="O110" t="s">
        <v>1387</v>
      </c>
      <c r="P110" t="s">
        <v>1388</v>
      </c>
      <c r="Q110" t="s">
        <v>1650</v>
      </c>
    </row>
    <row r="111" spans="1:17" x14ac:dyDescent="0.25">
      <c r="A111" t="s">
        <v>39</v>
      </c>
      <c r="B111" t="s">
        <v>1651</v>
      </c>
      <c r="C111" t="s">
        <v>317</v>
      </c>
      <c r="D111" t="s">
        <v>1391</v>
      </c>
      <c r="E111">
        <v>8004.88</v>
      </c>
      <c r="F111" t="s">
        <v>1381</v>
      </c>
      <c r="G111" t="s">
        <v>1652</v>
      </c>
      <c r="H111" t="s">
        <v>1648</v>
      </c>
      <c r="I111" t="s">
        <v>1653</v>
      </c>
      <c r="J111" t="s">
        <v>1385</v>
      </c>
      <c r="K111" t="b">
        <v>1</v>
      </c>
      <c r="L111" t="b">
        <v>0</v>
      </c>
      <c r="M111" t="s">
        <v>1385</v>
      </c>
      <c r="N111" t="s">
        <v>1386</v>
      </c>
      <c r="O111" t="s">
        <v>1387</v>
      </c>
      <c r="P111" t="s">
        <v>1388</v>
      </c>
      <c r="Q111" t="s">
        <v>1650</v>
      </c>
    </row>
    <row r="112" spans="1:17" x14ac:dyDescent="0.25">
      <c r="A112" t="s">
        <v>39</v>
      </c>
      <c r="B112" t="s">
        <v>1654</v>
      </c>
      <c r="C112" t="s">
        <v>317</v>
      </c>
      <c r="D112" t="s">
        <v>1395</v>
      </c>
      <c r="E112">
        <v>8817.357</v>
      </c>
      <c r="F112" t="s">
        <v>1381</v>
      </c>
      <c r="G112" t="s">
        <v>1655</v>
      </c>
      <c r="H112" t="s">
        <v>1648</v>
      </c>
      <c r="I112" t="s">
        <v>1656</v>
      </c>
      <c r="J112" t="s">
        <v>1385</v>
      </c>
      <c r="K112" t="b">
        <v>1</v>
      </c>
      <c r="L112" t="b">
        <v>0</v>
      </c>
      <c r="M112" t="s">
        <v>1385</v>
      </c>
      <c r="N112" t="s">
        <v>1386</v>
      </c>
      <c r="O112" t="s">
        <v>1387</v>
      </c>
      <c r="P112" t="s">
        <v>1388</v>
      </c>
      <c r="Q112" t="s">
        <v>1650</v>
      </c>
    </row>
    <row r="113" spans="1:17" x14ac:dyDescent="0.25">
      <c r="A113" t="s">
        <v>39</v>
      </c>
      <c r="B113" t="s">
        <v>1657</v>
      </c>
      <c r="C113" t="s">
        <v>317</v>
      </c>
      <c r="D113" t="s">
        <v>1399</v>
      </c>
      <c r="E113">
        <v>8526.363</v>
      </c>
      <c r="F113" t="s">
        <v>1381</v>
      </c>
      <c r="G113" t="s">
        <v>1658</v>
      </c>
      <c r="H113" t="s">
        <v>1648</v>
      </c>
      <c r="I113" t="s">
        <v>1659</v>
      </c>
      <c r="J113" t="s">
        <v>1385</v>
      </c>
      <c r="K113" t="b">
        <v>1</v>
      </c>
      <c r="L113" t="b">
        <v>0</v>
      </c>
      <c r="M113" t="s">
        <v>1385</v>
      </c>
      <c r="N113" t="s">
        <v>1386</v>
      </c>
      <c r="O113" t="s">
        <v>1387</v>
      </c>
      <c r="P113" t="s">
        <v>1388</v>
      </c>
      <c r="Q113" t="s">
        <v>1650</v>
      </c>
    </row>
    <row r="114" spans="1:17" x14ac:dyDescent="0.25">
      <c r="A114" t="s">
        <v>39</v>
      </c>
      <c r="B114" t="s">
        <v>1660</v>
      </c>
      <c r="C114" t="s">
        <v>317</v>
      </c>
      <c r="D114" t="s">
        <v>1403</v>
      </c>
      <c r="E114">
        <v>7615.691</v>
      </c>
      <c r="F114" t="s">
        <v>1381</v>
      </c>
      <c r="G114" t="s">
        <v>1661</v>
      </c>
      <c r="H114" t="s">
        <v>1648</v>
      </c>
      <c r="I114" t="s">
        <v>1384</v>
      </c>
      <c r="J114" t="s">
        <v>1385</v>
      </c>
      <c r="K114" t="b">
        <v>1</v>
      </c>
      <c r="L114" t="b">
        <v>0</v>
      </c>
      <c r="M114" t="s">
        <v>1385</v>
      </c>
      <c r="N114" t="s">
        <v>1386</v>
      </c>
      <c r="O114" t="s">
        <v>1387</v>
      </c>
      <c r="P114" t="s">
        <v>1388</v>
      </c>
      <c r="Q114" t="s">
        <v>1650</v>
      </c>
    </row>
    <row r="115" spans="1:17" x14ac:dyDescent="0.25">
      <c r="A115" t="s">
        <v>39</v>
      </c>
      <c r="B115" t="s">
        <v>1662</v>
      </c>
      <c r="C115" t="s">
        <v>317</v>
      </c>
      <c r="D115" t="s">
        <v>1407</v>
      </c>
      <c r="E115">
        <v>10841.622</v>
      </c>
      <c r="F115" t="s">
        <v>1381</v>
      </c>
      <c r="G115" t="s">
        <v>1663</v>
      </c>
      <c r="H115" t="s">
        <v>1648</v>
      </c>
      <c r="I115" t="s">
        <v>1393</v>
      </c>
      <c r="J115" t="s">
        <v>1385</v>
      </c>
      <c r="K115" t="b">
        <v>1</v>
      </c>
      <c r="L115" t="b">
        <v>0</v>
      </c>
      <c r="M115" t="s">
        <v>1385</v>
      </c>
      <c r="N115" t="s">
        <v>1386</v>
      </c>
      <c r="O115" t="s">
        <v>1387</v>
      </c>
      <c r="P115" t="s">
        <v>1388</v>
      </c>
      <c r="Q115" t="s">
        <v>1650</v>
      </c>
    </row>
    <row r="116" spans="1:17" x14ac:dyDescent="0.25">
      <c r="A116" t="s">
        <v>39</v>
      </c>
      <c r="B116" t="s">
        <v>1664</v>
      </c>
      <c r="C116" t="s">
        <v>317</v>
      </c>
      <c r="D116" t="s">
        <v>1411</v>
      </c>
      <c r="E116">
        <v>10573.471</v>
      </c>
      <c r="F116" t="s">
        <v>1381</v>
      </c>
      <c r="G116" t="s">
        <v>1665</v>
      </c>
      <c r="H116" t="s">
        <v>1648</v>
      </c>
      <c r="I116" t="s">
        <v>1397</v>
      </c>
      <c r="J116" t="s">
        <v>1385</v>
      </c>
      <c r="K116" t="b">
        <v>1</v>
      </c>
      <c r="L116" t="b">
        <v>0</v>
      </c>
      <c r="M116" t="s">
        <v>1385</v>
      </c>
      <c r="N116" t="s">
        <v>1386</v>
      </c>
      <c r="O116" t="s">
        <v>1387</v>
      </c>
      <c r="P116" t="s">
        <v>1388</v>
      </c>
      <c r="Q116" t="s">
        <v>1650</v>
      </c>
    </row>
    <row r="117" spans="1:17" x14ac:dyDescent="0.25">
      <c r="A117" t="s">
        <v>39</v>
      </c>
      <c r="B117" t="s">
        <v>1666</v>
      </c>
      <c r="C117" t="s">
        <v>317</v>
      </c>
      <c r="D117" t="s">
        <v>1415</v>
      </c>
      <c r="E117">
        <v>12153.414</v>
      </c>
      <c r="F117" t="s">
        <v>1381</v>
      </c>
      <c r="G117" t="s">
        <v>1667</v>
      </c>
      <c r="H117" t="s">
        <v>1648</v>
      </c>
      <c r="I117" t="s">
        <v>1473</v>
      </c>
      <c r="J117" t="s">
        <v>1385</v>
      </c>
      <c r="K117" t="b">
        <v>1</v>
      </c>
      <c r="L117" t="b">
        <v>0</v>
      </c>
      <c r="M117" t="s">
        <v>1385</v>
      </c>
      <c r="N117" t="s">
        <v>1386</v>
      </c>
      <c r="O117" t="s">
        <v>1387</v>
      </c>
      <c r="P117" t="s">
        <v>1388</v>
      </c>
      <c r="Q117" t="s">
        <v>1650</v>
      </c>
    </row>
    <row r="118" spans="1:17" x14ac:dyDescent="0.25">
      <c r="A118" t="s">
        <v>39</v>
      </c>
      <c r="B118" t="s">
        <v>1668</v>
      </c>
      <c r="C118" t="s">
        <v>317</v>
      </c>
      <c r="D118" t="s">
        <v>1419</v>
      </c>
      <c r="E118">
        <v>11176.343</v>
      </c>
      <c r="F118" t="s">
        <v>1381</v>
      </c>
      <c r="G118" t="s">
        <v>1669</v>
      </c>
      <c r="H118" t="s">
        <v>1648</v>
      </c>
      <c r="I118" t="s">
        <v>1405</v>
      </c>
      <c r="J118" t="s">
        <v>1385</v>
      </c>
      <c r="K118" t="b">
        <v>1</v>
      </c>
      <c r="L118" t="b">
        <v>0</v>
      </c>
      <c r="M118" t="s">
        <v>1385</v>
      </c>
      <c r="N118" t="s">
        <v>1386</v>
      </c>
      <c r="O118" t="s">
        <v>1387</v>
      </c>
      <c r="P118" t="s">
        <v>1388</v>
      </c>
      <c r="Q118" t="s">
        <v>1650</v>
      </c>
    </row>
    <row r="119" spans="1:17" x14ac:dyDescent="0.25">
      <c r="A119" t="s">
        <v>39</v>
      </c>
      <c r="B119" t="s">
        <v>1670</v>
      </c>
      <c r="C119" t="s">
        <v>317</v>
      </c>
      <c r="D119" t="s">
        <v>1423</v>
      </c>
      <c r="E119">
        <v>11260.403</v>
      </c>
      <c r="F119" t="s">
        <v>1381</v>
      </c>
      <c r="G119" t="s">
        <v>1671</v>
      </c>
      <c r="H119" t="s">
        <v>1648</v>
      </c>
      <c r="I119" t="s">
        <v>1409</v>
      </c>
      <c r="J119" t="s">
        <v>1385</v>
      </c>
      <c r="K119" t="b">
        <v>1</v>
      </c>
      <c r="L119" t="b">
        <v>0</v>
      </c>
      <c r="M119" t="s">
        <v>1385</v>
      </c>
      <c r="N119" t="s">
        <v>1386</v>
      </c>
      <c r="O119" t="s">
        <v>1387</v>
      </c>
      <c r="P119" t="s">
        <v>1388</v>
      </c>
      <c r="Q119" t="s">
        <v>1650</v>
      </c>
    </row>
    <row r="120" spans="1:17" x14ac:dyDescent="0.25">
      <c r="A120" t="s">
        <v>39</v>
      </c>
      <c r="B120" t="s">
        <v>1672</v>
      </c>
      <c r="C120" t="s">
        <v>317</v>
      </c>
      <c r="D120" t="s">
        <v>1425</v>
      </c>
      <c r="E120">
        <v>11458.472</v>
      </c>
      <c r="F120" t="s">
        <v>1381</v>
      </c>
      <c r="G120" t="s">
        <v>1673</v>
      </c>
      <c r="H120" t="s">
        <v>1648</v>
      </c>
      <c r="I120" t="s">
        <v>1413</v>
      </c>
      <c r="J120" t="s">
        <v>1385</v>
      </c>
      <c r="K120" t="b">
        <v>1</v>
      </c>
      <c r="L120" t="b">
        <v>0</v>
      </c>
      <c r="M120" t="s">
        <v>1385</v>
      </c>
      <c r="N120" t="s">
        <v>1386</v>
      </c>
      <c r="O120" t="s">
        <v>1387</v>
      </c>
      <c r="P120" t="s">
        <v>1388</v>
      </c>
      <c r="Q120" t="s">
        <v>1650</v>
      </c>
    </row>
    <row r="121" spans="1:17" x14ac:dyDescent="0.25">
      <c r="A121" t="s">
        <v>39</v>
      </c>
      <c r="B121" t="s">
        <v>1674</v>
      </c>
      <c r="C121" t="s">
        <v>317</v>
      </c>
      <c r="D121" t="s">
        <v>1428</v>
      </c>
      <c r="E121">
        <v>14043.889</v>
      </c>
      <c r="F121" t="s">
        <v>1381</v>
      </c>
      <c r="G121" t="s">
        <v>1675</v>
      </c>
      <c r="H121" t="s">
        <v>1648</v>
      </c>
      <c r="I121" t="s">
        <v>1473</v>
      </c>
      <c r="J121" t="s">
        <v>1385</v>
      </c>
      <c r="K121" t="b">
        <v>1</v>
      </c>
      <c r="L121" t="b">
        <v>0</v>
      </c>
      <c r="M121" t="s">
        <v>1385</v>
      </c>
      <c r="N121" t="s">
        <v>1386</v>
      </c>
      <c r="O121" t="s">
        <v>1387</v>
      </c>
      <c r="P121" t="s">
        <v>1388</v>
      </c>
      <c r="Q121" t="s">
        <v>1650</v>
      </c>
    </row>
    <row r="122" spans="1:17" x14ac:dyDescent="0.25">
      <c r="A122" t="s">
        <v>39</v>
      </c>
      <c r="B122" t="s">
        <v>1676</v>
      </c>
      <c r="C122" t="s">
        <v>318</v>
      </c>
      <c r="D122" t="s">
        <v>1380</v>
      </c>
      <c r="E122">
        <v>3747.893</v>
      </c>
      <c r="F122" t="s">
        <v>1464</v>
      </c>
      <c r="G122" t="s">
        <v>1677</v>
      </c>
      <c r="H122" t="s">
        <v>1648</v>
      </c>
      <c r="I122" t="s">
        <v>1649</v>
      </c>
      <c r="J122" t="s">
        <v>1385</v>
      </c>
      <c r="K122" t="b">
        <v>1</v>
      </c>
      <c r="L122" t="b">
        <v>0</v>
      </c>
      <c r="M122" t="s">
        <v>1385</v>
      </c>
      <c r="N122" t="s">
        <v>1386</v>
      </c>
      <c r="O122" t="s">
        <v>1387</v>
      </c>
      <c r="P122" t="s">
        <v>1388</v>
      </c>
      <c r="Q122" t="s">
        <v>1678</v>
      </c>
    </row>
    <row r="123" spans="1:17" x14ac:dyDescent="0.25">
      <c r="A123" t="s">
        <v>39</v>
      </c>
      <c r="B123" t="s">
        <v>1679</v>
      </c>
      <c r="C123" t="s">
        <v>318</v>
      </c>
      <c r="D123" t="s">
        <v>1391</v>
      </c>
      <c r="E123">
        <v>3372.051</v>
      </c>
      <c r="F123" t="s">
        <v>1464</v>
      </c>
      <c r="G123" t="s">
        <v>1680</v>
      </c>
      <c r="H123" t="s">
        <v>1648</v>
      </c>
      <c r="I123" t="s">
        <v>1653</v>
      </c>
      <c r="J123" t="s">
        <v>1385</v>
      </c>
      <c r="K123" t="b">
        <v>1</v>
      </c>
      <c r="L123" t="b">
        <v>0</v>
      </c>
      <c r="M123" t="s">
        <v>1385</v>
      </c>
      <c r="N123" t="s">
        <v>1386</v>
      </c>
      <c r="O123" t="s">
        <v>1387</v>
      </c>
      <c r="P123" t="s">
        <v>1388</v>
      </c>
      <c r="Q123" t="s">
        <v>1678</v>
      </c>
    </row>
    <row r="124" spans="1:17" x14ac:dyDescent="0.25">
      <c r="A124" t="s">
        <v>39</v>
      </c>
      <c r="B124" t="s">
        <v>1681</v>
      </c>
      <c r="C124" t="s">
        <v>318</v>
      </c>
      <c r="D124" t="s">
        <v>1395</v>
      </c>
      <c r="E124">
        <v>3916.626</v>
      </c>
      <c r="F124" t="s">
        <v>1464</v>
      </c>
      <c r="G124" t="s">
        <v>1682</v>
      </c>
      <c r="H124" t="s">
        <v>1648</v>
      </c>
      <c r="I124" t="s">
        <v>1656</v>
      </c>
      <c r="J124" t="s">
        <v>1385</v>
      </c>
      <c r="K124" t="b">
        <v>1</v>
      </c>
      <c r="L124" t="b">
        <v>0</v>
      </c>
      <c r="M124" t="s">
        <v>1385</v>
      </c>
      <c r="N124" t="s">
        <v>1386</v>
      </c>
      <c r="O124" t="s">
        <v>1387</v>
      </c>
      <c r="P124" t="s">
        <v>1388</v>
      </c>
      <c r="Q124" t="s">
        <v>1678</v>
      </c>
    </row>
    <row r="125" spans="1:17" x14ac:dyDescent="0.25">
      <c r="A125" t="s">
        <v>39</v>
      </c>
      <c r="B125" t="s">
        <v>1683</v>
      </c>
      <c r="C125" t="s">
        <v>318</v>
      </c>
      <c r="D125" t="s">
        <v>1399</v>
      </c>
      <c r="E125">
        <v>4716.299</v>
      </c>
      <c r="F125" t="s">
        <v>1464</v>
      </c>
      <c r="G125" t="s">
        <v>1684</v>
      </c>
      <c r="H125" t="s">
        <v>1648</v>
      </c>
      <c r="I125" t="s">
        <v>1659</v>
      </c>
      <c r="J125" t="s">
        <v>1385</v>
      </c>
      <c r="K125" t="b">
        <v>1</v>
      </c>
      <c r="L125" t="b">
        <v>0</v>
      </c>
      <c r="M125" t="s">
        <v>1385</v>
      </c>
      <c r="N125" t="s">
        <v>1386</v>
      </c>
      <c r="O125" t="s">
        <v>1387</v>
      </c>
      <c r="P125" t="s">
        <v>1388</v>
      </c>
      <c r="Q125" t="s">
        <v>1678</v>
      </c>
    </row>
    <row r="126" spans="1:17" x14ac:dyDescent="0.25">
      <c r="A126" t="s">
        <v>39</v>
      </c>
      <c r="B126" t="s">
        <v>1685</v>
      </c>
      <c r="C126" t="s">
        <v>318</v>
      </c>
      <c r="D126" t="s">
        <v>1403</v>
      </c>
      <c r="E126">
        <v>5480.747</v>
      </c>
      <c r="F126" t="s">
        <v>1464</v>
      </c>
      <c r="G126" t="s">
        <v>1686</v>
      </c>
      <c r="H126" t="s">
        <v>1648</v>
      </c>
      <c r="I126" t="s">
        <v>1384</v>
      </c>
      <c r="J126" t="s">
        <v>1385</v>
      </c>
      <c r="K126" t="b">
        <v>1</v>
      </c>
      <c r="L126" t="b">
        <v>0</v>
      </c>
      <c r="M126" t="s">
        <v>1385</v>
      </c>
      <c r="N126" t="s">
        <v>1386</v>
      </c>
      <c r="O126" t="s">
        <v>1387</v>
      </c>
      <c r="P126" t="s">
        <v>1388</v>
      </c>
      <c r="Q126" t="s">
        <v>1678</v>
      </c>
    </row>
    <row r="127" spans="1:17" x14ac:dyDescent="0.25">
      <c r="A127" t="s">
        <v>39</v>
      </c>
      <c r="B127" t="s">
        <v>1687</v>
      </c>
      <c r="C127" t="s">
        <v>318</v>
      </c>
      <c r="D127" t="s">
        <v>1407</v>
      </c>
      <c r="E127">
        <v>6114.367</v>
      </c>
      <c r="F127" t="s">
        <v>1464</v>
      </c>
      <c r="G127" t="s">
        <v>1688</v>
      </c>
      <c r="H127" t="s">
        <v>1648</v>
      </c>
      <c r="I127" t="s">
        <v>1393</v>
      </c>
      <c r="J127" t="s">
        <v>1385</v>
      </c>
      <c r="K127" t="b">
        <v>1</v>
      </c>
      <c r="L127" t="b">
        <v>0</v>
      </c>
      <c r="M127" t="s">
        <v>1385</v>
      </c>
      <c r="N127" t="s">
        <v>1386</v>
      </c>
      <c r="O127" t="s">
        <v>1387</v>
      </c>
      <c r="P127" t="s">
        <v>1388</v>
      </c>
      <c r="Q127" t="s">
        <v>1678</v>
      </c>
    </row>
    <row r="128" spans="1:17" x14ac:dyDescent="0.25">
      <c r="A128" t="s">
        <v>39</v>
      </c>
      <c r="B128" t="s">
        <v>1689</v>
      </c>
      <c r="C128" t="s">
        <v>318</v>
      </c>
      <c r="D128" t="s">
        <v>1411</v>
      </c>
      <c r="E128">
        <v>5305.207</v>
      </c>
      <c r="F128" t="s">
        <v>1464</v>
      </c>
      <c r="G128" t="s">
        <v>1690</v>
      </c>
      <c r="H128" t="s">
        <v>1648</v>
      </c>
      <c r="I128" t="s">
        <v>1397</v>
      </c>
      <c r="J128" t="s">
        <v>1385</v>
      </c>
      <c r="K128" t="b">
        <v>1</v>
      </c>
      <c r="L128" t="b">
        <v>0</v>
      </c>
      <c r="M128" t="s">
        <v>1385</v>
      </c>
      <c r="N128" t="s">
        <v>1386</v>
      </c>
      <c r="O128" t="s">
        <v>1387</v>
      </c>
      <c r="P128" t="s">
        <v>1388</v>
      </c>
      <c r="Q128" t="s">
        <v>1678</v>
      </c>
    </row>
    <row r="129" spans="1:17" x14ac:dyDescent="0.25">
      <c r="A129" t="s">
        <v>39</v>
      </c>
      <c r="B129" t="s">
        <v>1691</v>
      </c>
      <c r="C129" t="s">
        <v>318</v>
      </c>
      <c r="D129" t="s">
        <v>1415</v>
      </c>
      <c r="E129">
        <v>5824.844</v>
      </c>
      <c r="F129" t="s">
        <v>1464</v>
      </c>
      <c r="G129" t="s">
        <v>1692</v>
      </c>
      <c r="H129" t="s">
        <v>1648</v>
      </c>
      <c r="I129" t="s">
        <v>1473</v>
      </c>
      <c r="J129" t="s">
        <v>1385</v>
      </c>
      <c r="K129" t="b">
        <v>1</v>
      </c>
      <c r="L129" t="b">
        <v>0</v>
      </c>
      <c r="M129" t="s">
        <v>1385</v>
      </c>
      <c r="N129" t="s">
        <v>1386</v>
      </c>
      <c r="O129" t="s">
        <v>1387</v>
      </c>
      <c r="P129" t="s">
        <v>1388</v>
      </c>
      <c r="Q129" t="s">
        <v>1678</v>
      </c>
    </row>
    <row r="130" spans="1:17" x14ac:dyDescent="0.25">
      <c r="A130" t="s">
        <v>39</v>
      </c>
      <c r="B130" t="s">
        <v>1693</v>
      </c>
      <c r="C130" t="s">
        <v>318</v>
      </c>
      <c r="D130" t="s">
        <v>1419</v>
      </c>
      <c r="E130">
        <v>6703.258</v>
      </c>
      <c r="F130" t="s">
        <v>1464</v>
      </c>
      <c r="G130" t="s">
        <v>1694</v>
      </c>
      <c r="H130" t="s">
        <v>1648</v>
      </c>
      <c r="I130" t="s">
        <v>1405</v>
      </c>
      <c r="J130" t="s">
        <v>1385</v>
      </c>
      <c r="K130" t="b">
        <v>1</v>
      </c>
      <c r="L130" t="b">
        <v>0</v>
      </c>
      <c r="M130" t="s">
        <v>1385</v>
      </c>
      <c r="N130" t="s">
        <v>1386</v>
      </c>
      <c r="O130" t="s">
        <v>1387</v>
      </c>
      <c r="P130" t="s">
        <v>1388</v>
      </c>
      <c r="Q130" t="s">
        <v>1678</v>
      </c>
    </row>
    <row r="131" spans="1:17" x14ac:dyDescent="0.25">
      <c r="A131" t="s">
        <v>39</v>
      </c>
      <c r="B131" t="s">
        <v>1695</v>
      </c>
      <c r="C131" t="s">
        <v>318</v>
      </c>
      <c r="D131" t="s">
        <v>1423</v>
      </c>
      <c r="E131">
        <v>6225.189</v>
      </c>
      <c r="F131" t="s">
        <v>1464</v>
      </c>
      <c r="G131" t="s">
        <v>1696</v>
      </c>
      <c r="H131" t="s">
        <v>1648</v>
      </c>
      <c r="I131" t="s">
        <v>1409</v>
      </c>
      <c r="J131" t="s">
        <v>1385</v>
      </c>
      <c r="K131" t="b">
        <v>1</v>
      </c>
      <c r="L131" t="b">
        <v>0</v>
      </c>
      <c r="M131" t="s">
        <v>1385</v>
      </c>
      <c r="N131" t="s">
        <v>1386</v>
      </c>
      <c r="O131" t="s">
        <v>1387</v>
      </c>
      <c r="P131" t="s">
        <v>1388</v>
      </c>
      <c r="Q131" t="s">
        <v>1678</v>
      </c>
    </row>
    <row r="132" spans="1:17" x14ac:dyDescent="0.25">
      <c r="A132" t="s">
        <v>39</v>
      </c>
      <c r="B132" t="s">
        <v>1697</v>
      </c>
      <c r="C132" t="s">
        <v>318</v>
      </c>
      <c r="D132" t="s">
        <v>1425</v>
      </c>
      <c r="E132">
        <v>6627.64</v>
      </c>
      <c r="F132" t="s">
        <v>1464</v>
      </c>
      <c r="G132" t="s">
        <v>1698</v>
      </c>
      <c r="H132" t="s">
        <v>1648</v>
      </c>
      <c r="I132" t="s">
        <v>1413</v>
      </c>
      <c r="J132" t="s">
        <v>1385</v>
      </c>
      <c r="K132" t="b">
        <v>1</v>
      </c>
      <c r="L132" t="b">
        <v>0</v>
      </c>
      <c r="M132" t="s">
        <v>1385</v>
      </c>
      <c r="N132" t="s">
        <v>1386</v>
      </c>
      <c r="O132" t="s">
        <v>1387</v>
      </c>
      <c r="P132" t="s">
        <v>1388</v>
      </c>
      <c r="Q132" t="s">
        <v>1678</v>
      </c>
    </row>
    <row r="133" spans="1:17" x14ac:dyDescent="0.25">
      <c r="A133" t="s">
        <v>39</v>
      </c>
      <c r="B133" t="s">
        <v>1699</v>
      </c>
      <c r="C133" t="s">
        <v>318</v>
      </c>
      <c r="D133" t="s">
        <v>1428</v>
      </c>
      <c r="E133">
        <v>8556.388</v>
      </c>
      <c r="F133" t="s">
        <v>1464</v>
      </c>
      <c r="G133" t="s">
        <v>1700</v>
      </c>
      <c r="H133" t="s">
        <v>1648</v>
      </c>
      <c r="I133" t="s">
        <v>1473</v>
      </c>
      <c r="J133" t="s">
        <v>1385</v>
      </c>
      <c r="K133" t="b">
        <v>1</v>
      </c>
      <c r="L133" t="b">
        <v>0</v>
      </c>
      <c r="M133" t="s">
        <v>1385</v>
      </c>
      <c r="N133" t="s">
        <v>1386</v>
      </c>
      <c r="O133" t="s">
        <v>1387</v>
      </c>
      <c r="P133" t="s">
        <v>1388</v>
      </c>
      <c r="Q133" t="s">
        <v>1701</v>
      </c>
    </row>
    <row r="134" spans="1:17" x14ac:dyDescent="0.25">
      <c r="A134" t="s">
        <v>39</v>
      </c>
      <c r="B134" t="s">
        <v>1702</v>
      </c>
      <c r="C134" t="s">
        <v>320</v>
      </c>
      <c r="D134" t="s">
        <v>1380</v>
      </c>
      <c r="E134">
        <v>34534.191</v>
      </c>
      <c r="F134" t="s">
        <v>1464</v>
      </c>
      <c r="G134" t="s">
        <v>1703</v>
      </c>
      <c r="H134" t="s">
        <v>1648</v>
      </c>
      <c r="I134" t="s">
        <v>1649</v>
      </c>
      <c r="J134" t="s">
        <v>1385</v>
      </c>
      <c r="K134" t="b">
        <v>1</v>
      </c>
      <c r="L134" t="b">
        <v>0</v>
      </c>
      <c r="M134" t="s">
        <v>1385</v>
      </c>
      <c r="N134" t="s">
        <v>1386</v>
      </c>
      <c r="O134" t="s">
        <v>1387</v>
      </c>
      <c r="P134" t="s">
        <v>1388</v>
      </c>
      <c r="Q134" t="s">
        <v>1704</v>
      </c>
    </row>
    <row r="135" spans="1:17" x14ac:dyDescent="0.25">
      <c r="A135" t="s">
        <v>39</v>
      </c>
      <c r="B135" t="s">
        <v>1705</v>
      </c>
      <c r="C135" t="s">
        <v>320</v>
      </c>
      <c r="D135" t="s">
        <v>1391</v>
      </c>
      <c r="E135">
        <v>36089.956</v>
      </c>
      <c r="F135" t="s">
        <v>1464</v>
      </c>
      <c r="G135" t="s">
        <v>1706</v>
      </c>
      <c r="H135" t="s">
        <v>1648</v>
      </c>
      <c r="I135" t="s">
        <v>1653</v>
      </c>
      <c r="J135" t="s">
        <v>1385</v>
      </c>
      <c r="K135" t="b">
        <v>1</v>
      </c>
      <c r="L135" t="b">
        <v>0</v>
      </c>
      <c r="M135" t="s">
        <v>1385</v>
      </c>
      <c r="N135" t="s">
        <v>1386</v>
      </c>
      <c r="O135" t="s">
        <v>1387</v>
      </c>
      <c r="P135" t="s">
        <v>1388</v>
      </c>
      <c r="Q135" t="s">
        <v>1704</v>
      </c>
    </row>
    <row r="136" spans="1:17" x14ac:dyDescent="0.25">
      <c r="A136" t="s">
        <v>39</v>
      </c>
      <c r="B136" t="s">
        <v>1707</v>
      </c>
      <c r="C136" t="s">
        <v>320</v>
      </c>
      <c r="D136" t="s">
        <v>1395</v>
      </c>
      <c r="E136">
        <v>37089.349</v>
      </c>
      <c r="F136" t="s">
        <v>1464</v>
      </c>
      <c r="G136" t="s">
        <v>1708</v>
      </c>
      <c r="H136" t="s">
        <v>1648</v>
      </c>
      <c r="I136" t="s">
        <v>1656</v>
      </c>
      <c r="J136" t="s">
        <v>1385</v>
      </c>
      <c r="K136" t="b">
        <v>1</v>
      </c>
      <c r="L136" t="b">
        <v>0</v>
      </c>
      <c r="M136" t="s">
        <v>1385</v>
      </c>
      <c r="N136" t="s">
        <v>1386</v>
      </c>
      <c r="O136" t="s">
        <v>1387</v>
      </c>
      <c r="P136" t="s">
        <v>1388</v>
      </c>
      <c r="Q136" t="s">
        <v>1704</v>
      </c>
    </row>
    <row r="137" spans="1:17" x14ac:dyDescent="0.25">
      <c r="A137" t="s">
        <v>39</v>
      </c>
      <c r="B137" t="s">
        <v>1709</v>
      </c>
      <c r="C137" t="s">
        <v>320</v>
      </c>
      <c r="D137" t="s">
        <v>1399</v>
      </c>
      <c r="E137">
        <v>37552.851</v>
      </c>
      <c r="F137" t="s">
        <v>1464</v>
      </c>
      <c r="G137" t="s">
        <v>1710</v>
      </c>
      <c r="H137" t="s">
        <v>1648</v>
      </c>
      <c r="I137" t="s">
        <v>1659</v>
      </c>
      <c r="J137" t="s">
        <v>1385</v>
      </c>
      <c r="K137" t="b">
        <v>1</v>
      </c>
      <c r="L137" t="b">
        <v>0</v>
      </c>
      <c r="M137" t="s">
        <v>1385</v>
      </c>
      <c r="N137" t="s">
        <v>1386</v>
      </c>
      <c r="O137" t="s">
        <v>1387</v>
      </c>
      <c r="P137" t="s">
        <v>1388</v>
      </c>
      <c r="Q137" t="s">
        <v>1711</v>
      </c>
    </row>
    <row r="138" spans="1:17" x14ac:dyDescent="0.25">
      <c r="A138" t="s">
        <v>39</v>
      </c>
      <c r="B138" t="s">
        <v>1712</v>
      </c>
      <c r="C138" t="s">
        <v>320</v>
      </c>
      <c r="D138" t="s">
        <v>1403</v>
      </c>
      <c r="E138">
        <v>40121.199</v>
      </c>
      <c r="F138" t="s">
        <v>1464</v>
      </c>
      <c r="G138" t="s">
        <v>1713</v>
      </c>
      <c r="H138" t="s">
        <v>1648</v>
      </c>
      <c r="I138" t="s">
        <v>1384</v>
      </c>
      <c r="J138" t="s">
        <v>1385</v>
      </c>
      <c r="K138" t="b">
        <v>1</v>
      </c>
      <c r="L138" t="b">
        <v>0</v>
      </c>
      <c r="M138" t="s">
        <v>1385</v>
      </c>
      <c r="N138" t="s">
        <v>1386</v>
      </c>
      <c r="O138" t="s">
        <v>1387</v>
      </c>
      <c r="P138" t="s">
        <v>1388</v>
      </c>
      <c r="Q138" t="s">
        <v>1711</v>
      </c>
    </row>
    <row r="139" spans="1:17" x14ac:dyDescent="0.25">
      <c r="A139" t="s">
        <v>39</v>
      </c>
      <c r="B139" t="s">
        <v>1714</v>
      </c>
      <c r="C139" t="s">
        <v>320</v>
      </c>
      <c r="D139" t="s">
        <v>1407</v>
      </c>
      <c r="E139">
        <v>39184.116</v>
      </c>
      <c r="F139" t="s">
        <v>1464</v>
      </c>
      <c r="G139" t="s">
        <v>1715</v>
      </c>
      <c r="H139" t="s">
        <v>1648</v>
      </c>
      <c r="I139" t="s">
        <v>1393</v>
      </c>
      <c r="J139" t="s">
        <v>1385</v>
      </c>
      <c r="K139" t="b">
        <v>1</v>
      </c>
      <c r="L139" t="b">
        <v>0</v>
      </c>
      <c r="M139" t="s">
        <v>1385</v>
      </c>
      <c r="N139" t="s">
        <v>1386</v>
      </c>
      <c r="O139" t="s">
        <v>1387</v>
      </c>
      <c r="P139" t="s">
        <v>1388</v>
      </c>
      <c r="Q139" t="s">
        <v>1711</v>
      </c>
    </row>
    <row r="140" spans="1:17" x14ac:dyDescent="0.25">
      <c r="A140" t="s">
        <v>39</v>
      </c>
      <c r="B140" t="s">
        <v>1716</v>
      </c>
      <c r="C140" t="s">
        <v>320</v>
      </c>
      <c r="D140" t="s">
        <v>1411</v>
      </c>
      <c r="E140">
        <v>41070.805</v>
      </c>
      <c r="F140" t="s">
        <v>1464</v>
      </c>
      <c r="G140" t="s">
        <v>1717</v>
      </c>
      <c r="H140" t="s">
        <v>1648</v>
      </c>
      <c r="I140" t="s">
        <v>1397</v>
      </c>
      <c r="J140" t="s">
        <v>1385</v>
      </c>
      <c r="K140" t="b">
        <v>1</v>
      </c>
      <c r="L140" t="b">
        <v>0</v>
      </c>
      <c r="M140" t="s">
        <v>1385</v>
      </c>
      <c r="N140" t="s">
        <v>1386</v>
      </c>
      <c r="O140" t="s">
        <v>1387</v>
      </c>
      <c r="P140" t="s">
        <v>1388</v>
      </c>
      <c r="Q140" t="s">
        <v>1711</v>
      </c>
    </row>
    <row r="141" spans="1:17" x14ac:dyDescent="0.25">
      <c r="A141" t="s">
        <v>39</v>
      </c>
      <c r="B141" t="s">
        <v>1718</v>
      </c>
      <c r="C141" t="s">
        <v>320</v>
      </c>
      <c r="D141" t="s">
        <v>1415</v>
      </c>
      <c r="E141">
        <v>40235.206</v>
      </c>
      <c r="F141" t="s">
        <v>1464</v>
      </c>
      <c r="G141" t="s">
        <v>1719</v>
      </c>
      <c r="H141" t="s">
        <v>1648</v>
      </c>
      <c r="I141" t="s">
        <v>1473</v>
      </c>
      <c r="J141" t="s">
        <v>1385</v>
      </c>
      <c r="K141" t="b">
        <v>1</v>
      </c>
      <c r="L141" t="b">
        <v>0</v>
      </c>
      <c r="M141" t="s">
        <v>1385</v>
      </c>
      <c r="N141" t="s">
        <v>1386</v>
      </c>
      <c r="O141" t="s">
        <v>1387</v>
      </c>
      <c r="P141" t="s">
        <v>1388</v>
      </c>
      <c r="Q141" t="s">
        <v>1711</v>
      </c>
    </row>
    <row r="142" spans="1:17" x14ac:dyDescent="0.25">
      <c r="A142" t="s">
        <v>39</v>
      </c>
      <c r="B142" t="s">
        <v>1720</v>
      </c>
      <c r="C142" t="s">
        <v>320</v>
      </c>
      <c r="D142" t="s">
        <v>1419</v>
      </c>
      <c r="E142">
        <v>45950.985</v>
      </c>
      <c r="F142" t="s">
        <v>1464</v>
      </c>
      <c r="G142" t="s">
        <v>1721</v>
      </c>
      <c r="H142" t="s">
        <v>1648</v>
      </c>
      <c r="I142" t="s">
        <v>1405</v>
      </c>
      <c r="J142" t="s">
        <v>1385</v>
      </c>
      <c r="K142" t="b">
        <v>1</v>
      </c>
      <c r="L142" t="b">
        <v>0</v>
      </c>
      <c r="M142" t="s">
        <v>1385</v>
      </c>
      <c r="N142" t="s">
        <v>1386</v>
      </c>
      <c r="O142" t="s">
        <v>1387</v>
      </c>
      <c r="P142" t="s">
        <v>1388</v>
      </c>
      <c r="Q142" t="s">
        <v>1711</v>
      </c>
    </row>
    <row r="143" spans="1:17" x14ac:dyDescent="0.25">
      <c r="A143" t="s">
        <v>39</v>
      </c>
      <c r="B143" t="s">
        <v>1722</v>
      </c>
      <c r="C143" t="s">
        <v>320</v>
      </c>
      <c r="D143" t="s">
        <v>1423</v>
      </c>
      <c r="E143">
        <v>43438.891</v>
      </c>
      <c r="F143" t="s">
        <v>1464</v>
      </c>
      <c r="G143" t="s">
        <v>1723</v>
      </c>
      <c r="H143" t="s">
        <v>1648</v>
      </c>
      <c r="I143" t="s">
        <v>1409</v>
      </c>
      <c r="J143" t="s">
        <v>1385</v>
      </c>
      <c r="K143" t="b">
        <v>1</v>
      </c>
      <c r="L143" t="b">
        <v>0</v>
      </c>
      <c r="M143" t="s">
        <v>1385</v>
      </c>
      <c r="N143" t="s">
        <v>1386</v>
      </c>
      <c r="O143" t="s">
        <v>1387</v>
      </c>
      <c r="P143" t="s">
        <v>1388</v>
      </c>
      <c r="Q143" t="s">
        <v>1711</v>
      </c>
    </row>
    <row r="144" spans="1:17" x14ac:dyDescent="0.25">
      <c r="A144" t="s">
        <v>39</v>
      </c>
      <c r="B144" t="s">
        <v>1724</v>
      </c>
      <c r="C144" t="s">
        <v>320</v>
      </c>
      <c r="D144" t="s">
        <v>1425</v>
      </c>
      <c r="E144">
        <v>44833.717</v>
      </c>
      <c r="F144" t="s">
        <v>1464</v>
      </c>
      <c r="G144" t="s">
        <v>1725</v>
      </c>
      <c r="H144" t="s">
        <v>1648</v>
      </c>
      <c r="I144" t="s">
        <v>1413</v>
      </c>
      <c r="J144" t="s">
        <v>1385</v>
      </c>
      <c r="K144" t="b">
        <v>1</v>
      </c>
      <c r="L144" t="b">
        <v>0</v>
      </c>
      <c r="M144" t="s">
        <v>1385</v>
      </c>
      <c r="N144" t="s">
        <v>1386</v>
      </c>
      <c r="O144" t="s">
        <v>1387</v>
      </c>
      <c r="P144" t="s">
        <v>1388</v>
      </c>
      <c r="Q144" t="s">
        <v>1711</v>
      </c>
    </row>
    <row r="145" spans="1:17" x14ac:dyDescent="0.25">
      <c r="A145" t="s">
        <v>39</v>
      </c>
      <c r="B145" t="s">
        <v>1726</v>
      </c>
      <c r="C145" t="s">
        <v>320</v>
      </c>
      <c r="D145" t="s">
        <v>1428</v>
      </c>
      <c r="E145">
        <v>47081.324</v>
      </c>
      <c r="F145" t="s">
        <v>1464</v>
      </c>
      <c r="G145" t="s">
        <v>1727</v>
      </c>
      <c r="H145" t="s">
        <v>1648</v>
      </c>
      <c r="I145" t="s">
        <v>1473</v>
      </c>
      <c r="J145" t="s">
        <v>1385</v>
      </c>
      <c r="K145" t="b">
        <v>1</v>
      </c>
      <c r="L145" t="b">
        <v>0</v>
      </c>
      <c r="M145" t="s">
        <v>1385</v>
      </c>
      <c r="N145" t="s">
        <v>1386</v>
      </c>
      <c r="O145" t="s">
        <v>1387</v>
      </c>
      <c r="P145" t="s">
        <v>1388</v>
      </c>
      <c r="Q145" t="s">
        <v>1728</v>
      </c>
    </row>
    <row r="146" spans="1:17" x14ac:dyDescent="0.25">
      <c r="A146" t="s">
        <v>39</v>
      </c>
      <c r="B146" t="s">
        <v>1729</v>
      </c>
      <c r="C146" t="s">
        <v>322</v>
      </c>
      <c r="D146" t="s">
        <v>1380</v>
      </c>
      <c r="E146">
        <v>904.064</v>
      </c>
      <c r="F146" t="s">
        <v>1464</v>
      </c>
      <c r="G146" t="s">
        <v>1730</v>
      </c>
      <c r="H146" t="s">
        <v>1648</v>
      </c>
      <c r="I146" t="s">
        <v>1649</v>
      </c>
      <c r="J146" t="s">
        <v>1385</v>
      </c>
      <c r="K146" t="b">
        <v>1</v>
      </c>
      <c r="L146" t="b">
        <v>0</v>
      </c>
      <c r="M146" t="s">
        <v>1385</v>
      </c>
      <c r="N146" t="s">
        <v>1386</v>
      </c>
      <c r="O146" t="s">
        <v>1387</v>
      </c>
      <c r="P146" t="s">
        <v>1388</v>
      </c>
      <c r="Q146" t="s">
        <v>1731</v>
      </c>
    </row>
    <row r="147" spans="1:17" x14ac:dyDescent="0.25">
      <c r="A147" t="s">
        <v>39</v>
      </c>
      <c r="B147" t="s">
        <v>1732</v>
      </c>
      <c r="C147" t="s">
        <v>322</v>
      </c>
      <c r="D147" t="s">
        <v>1391</v>
      </c>
      <c r="E147">
        <v>907.234</v>
      </c>
      <c r="F147" t="s">
        <v>1464</v>
      </c>
      <c r="G147" t="s">
        <v>1733</v>
      </c>
      <c r="H147" t="s">
        <v>1648</v>
      </c>
      <c r="I147" t="s">
        <v>1653</v>
      </c>
      <c r="J147" t="s">
        <v>1385</v>
      </c>
      <c r="K147" t="b">
        <v>1</v>
      </c>
      <c r="L147" t="b">
        <v>0</v>
      </c>
      <c r="M147" t="s">
        <v>1385</v>
      </c>
      <c r="N147" t="s">
        <v>1386</v>
      </c>
      <c r="O147" t="s">
        <v>1387</v>
      </c>
      <c r="P147" t="s">
        <v>1388</v>
      </c>
      <c r="Q147" t="s">
        <v>1731</v>
      </c>
    </row>
    <row r="148" spans="1:17" x14ac:dyDescent="0.25">
      <c r="A148" t="s">
        <v>39</v>
      </c>
      <c r="B148" t="s">
        <v>1734</v>
      </c>
      <c r="C148" t="s">
        <v>322</v>
      </c>
      <c r="D148" t="s">
        <v>1395</v>
      </c>
      <c r="E148">
        <v>929.903</v>
      </c>
      <c r="F148" t="s">
        <v>1464</v>
      </c>
      <c r="G148" t="s">
        <v>1735</v>
      </c>
      <c r="H148" t="s">
        <v>1648</v>
      </c>
      <c r="I148" t="s">
        <v>1656</v>
      </c>
      <c r="J148" t="s">
        <v>1385</v>
      </c>
      <c r="K148" t="b">
        <v>1</v>
      </c>
      <c r="L148" t="b">
        <v>0</v>
      </c>
      <c r="M148" t="s">
        <v>1385</v>
      </c>
      <c r="N148" t="s">
        <v>1386</v>
      </c>
      <c r="O148" t="s">
        <v>1387</v>
      </c>
      <c r="P148" t="s">
        <v>1388</v>
      </c>
      <c r="Q148" t="s">
        <v>1731</v>
      </c>
    </row>
    <row r="149" spans="1:17" x14ac:dyDescent="0.25">
      <c r="A149" t="s">
        <v>39</v>
      </c>
      <c r="B149" t="s">
        <v>1736</v>
      </c>
      <c r="C149" t="s">
        <v>322</v>
      </c>
      <c r="D149" t="s">
        <v>1399</v>
      </c>
      <c r="E149">
        <v>1065.68</v>
      </c>
      <c r="F149" t="s">
        <v>1464</v>
      </c>
      <c r="G149" t="s">
        <v>1737</v>
      </c>
      <c r="H149" t="s">
        <v>1648</v>
      </c>
      <c r="I149" t="s">
        <v>1659</v>
      </c>
      <c r="J149" t="s">
        <v>1385</v>
      </c>
      <c r="K149" t="b">
        <v>1</v>
      </c>
      <c r="L149" t="b">
        <v>0</v>
      </c>
      <c r="M149" t="s">
        <v>1385</v>
      </c>
      <c r="N149" t="s">
        <v>1386</v>
      </c>
      <c r="O149" t="s">
        <v>1387</v>
      </c>
      <c r="P149" t="s">
        <v>1388</v>
      </c>
      <c r="Q149" t="s">
        <v>1731</v>
      </c>
    </row>
    <row r="150" spans="1:17" x14ac:dyDescent="0.25">
      <c r="A150" t="s">
        <v>39</v>
      </c>
      <c r="B150" t="s">
        <v>1738</v>
      </c>
      <c r="C150" t="s">
        <v>322</v>
      </c>
      <c r="D150" t="s">
        <v>1403</v>
      </c>
      <c r="E150">
        <v>1103.49</v>
      </c>
      <c r="F150" t="s">
        <v>1464</v>
      </c>
      <c r="G150" t="s">
        <v>1739</v>
      </c>
      <c r="H150" t="s">
        <v>1648</v>
      </c>
      <c r="I150" t="s">
        <v>1384</v>
      </c>
      <c r="J150" t="s">
        <v>1385</v>
      </c>
      <c r="K150" t="b">
        <v>1</v>
      </c>
      <c r="L150" t="b">
        <v>0</v>
      </c>
      <c r="M150" t="s">
        <v>1385</v>
      </c>
      <c r="N150" t="s">
        <v>1386</v>
      </c>
      <c r="O150" t="s">
        <v>1387</v>
      </c>
      <c r="P150" t="s">
        <v>1388</v>
      </c>
      <c r="Q150" t="s">
        <v>1731</v>
      </c>
    </row>
    <row r="151" spans="1:17" x14ac:dyDescent="0.25">
      <c r="A151" t="s">
        <v>39</v>
      </c>
      <c r="B151" t="s">
        <v>1740</v>
      </c>
      <c r="C151" t="s">
        <v>322</v>
      </c>
      <c r="D151" t="s">
        <v>1407</v>
      </c>
      <c r="E151">
        <v>1206.489</v>
      </c>
      <c r="F151" t="s">
        <v>1464</v>
      </c>
      <c r="G151" t="s">
        <v>1741</v>
      </c>
      <c r="H151" t="s">
        <v>1648</v>
      </c>
      <c r="I151" t="s">
        <v>1393</v>
      </c>
      <c r="J151" t="s">
        <v>1385</v>
      </c>
      <c r="K151" t="b">
        <v>1</v>
      </c>
      <c r="L151" t="b">
        <v>0</v>
      </c>
      <c r="M151" t="s">
        <v>1385</v>
      </c>
      <c r="N151" t="s">
        <v>1386</v>
      </c>
      <c r="O151" t="s">
        <v>1387</v>
      </c>
      <c r="P151" t="s">
        <v>1388</v>
      </c>
      <c r="Q151" t="s">
        <v>1731</v>
      </c>
    </row>
    <row r="152" spans="1:17" x14ac:dyDescent="0.25">
      <c r="A152" t="s">
        <v>39</v>
      </c>
      <c r="B152" t="s">
        <v>1742</v>
      </c>
      <c r="C152" t="s">
        <v>322</v>
      </c>
      <c r="D152" t="s">
        <v>1411</v>
      </c>
      <c r="E152">
        <v>1229.028</v>
      </c>
      <c r="F152" t="s">
        <v>1464</v>
      </c>
      <c r="G152" t="s">
        <v>1743</v>
      </c>
      <c r="H152" t="s">
        <v>1648</v>
      </c>
      <c r="I152" t="s">
        <v>1397</v>
      </c>
      <c r="J152" t="s">
        <v>1385</v>
      </c>
      <c r="K152" t="b">
        <v>1</v>
      </c>
      <c r="L152" t="b">
        <v>0</v>
      </c>
      <c r="M152" t="s">
        <v>1385</v>
      </c>
      <c r="N152" t="s">
        <v>1386</v>
      </c>
      <c r="O152" t="s">
        <v>1387</v>
      </c>
      <c r="P152" t="s">
        <v>1388</v>
      </c>
      <c r="Q152" t="s">
        <v>1731</v>
      </c>
    </row>
    <row r="153" spans="1:17" x14ac:dyDescent="0.25">
      <c r="A153" t="s">
        <v>39</v>
      </c>
      <c r="B153" t="s">
        <v>1744</v>
      </c>
      <c r="C153" t="s">
        <v>322</v>
      </c>
      <c r="D153" t="s">
        <v>1415</v>
      </c>
      <c r="E153">
        <v>1194.72</v>
      </c>
      <c r="F153" t="s">
        <v>1464</v>
      </c>
      <c r="G153" t="s">
        <v>1745</v>
      </c>
      <c r="H153" t="s">
        <v>1648</v>
      </c>
      <c r="I153" t="s">
        <v>1473</v>
      </c>
      <c r="J153" t="s">
        <v>1385</v>
      </c>
      <c r="K153" t="b">
        <v>1</v>
      </c>
      <c r="L153" t="b">
        <v>0</v>
      </c>
      <c r="M153" t="s">
        <v>1385</v>
      </c>
      <c r="N153" t="s">
        <v>1386</v>
      </c>
      <c r="O153" t="s">
        <v>1387</v>
      </c>
      <c r="P153" t="s">
        <v>1388</v>
      </c>
      <c r="Q153" t="s">
        <v>1731</v>
      </c>
    </row>
    <row r="154" spans="1:17" x14ac:dyDescent="0.25">
      <c r="A154" t="s">
        <v>39</v>
      </c>
      <c r="B154" t="s">
        <v>1746</v>
      </c>
      <c r="C154" t="s">
        <v>322</v>
      </c>
      <c r="D154" t="s">
        <v>1419</v>
      </c>
      <c r="E154">
        <v>1217.202</v>
      </c>
      <c r="F154" t="s">
        <v>1464</v>
      </c>
      <c r="G154" t="s">
        <v>1747</v>
      </c>
      <c r="H154" t="s">
        <v>1648</v>
      </c>
      <c r="I154" t="s">
        <v>1405</v>
      </c>
      <c r="J154" t="s">
        <v>1385</v>
      </c>
      <c r="K154" t="b">
        <v>1</v>
      </c>
      <c r="L154" t="b">
        <v>0</v>
      </c>
      <c r="M154" t="s">
        <v>1385</v>
      </c>
      <c r="N154" t="s">
        <v>1386</v>
      </c>
      <c r="O154" t="s">
        <v>1387</v>
      </c>
      <c r="P154" t="s">
        <v>1388</v>
      </c>
      <c r="Q154" t="s">
        <v>1731</v>
      </c>
    </row>
    <row r="155" spans="1:17" x14ac:dyDescent="0.25">
      <c r="A155" t="s">
        <v>39</v>
      </c>
      <c r="B155" t="s">
        <v>1748</v>
      </c>
      <c r="C155" t="s">
        <v>322</v>
      </c>
      <c r="D155" t="s">
        <v>1423</v>
      </c>
      <c r="E155">
        <v>1235.343</v>
      </c>
      <c r="F155" t="s">
        <v>1464</v>
      </c>
      <c r="G155" t="s">
        <v>1749</v>
      </c>
      <c r="H155" t="s">
        <v>1648</v>
      </c>
      <c r="I155" t="s">
        <v>1409</v>
      </c>
      <c r="J155" t="s">
        <v>1385</v>
      </c>
      <c r="K155" t="b">
        <v>1</v>
      </c>
      <c r="L155" t="b">
        <v>0</v>
      </c>
      <c r="M155" t="s">
        <v>1385</v>
      </c>
      <c r="N155" t="s">
        <v>1386</v>
      </c>
      <c r="O155" t="s">
        <v>1387</v>
      </c>
      <c r="P155" t="s">
        <v>1388</v>
      </c>
      <c r="Q155" t="s">
        <v>1731</v>
      </c>
    </row>
    <row r="156" spans="1:17" x14ac:dyDescent="0.25">
      <c r="A156" t="s">
        <v>39</v>
      </c>
      <c r="B156" t="s">
        <v>1750</v>
      </c>
      <c r="C156" t="s">
        <v>322</v>
      </c>
      <c r="D156" t="s">
        <v>1425</v>
      </c>
      <c r="E156">
        <v>1255</v>
      </c>
      <c r="F156" t="s">
        <v>1464</v>
      </c>
      <c r="G156" t="s">
        <v>1751</v>
      </c>
      <c r="H156" t="s">
        <v>1648</v>
      </c>
      <c r="I156" t="s">
        <v>1413</v>
      </c>
      <c r="J156" t="s">
        <v>1385</v>
      </c>
      <c r="K156" t="b">
        <v>1</v>
      </c>
      <c r="L156" t="b">
        <v>0</v>
      </c>
      <c r="M156" t="s">
        <v>1385</v>
      </c>
      <c r="N156" t="s">
        <v>1386</v>
      </c>
      <c r="O156" t="s">
        <v>1387</v>
      </c>
      <c r="P156" t="s">
        <v>1388</v>
      </c>
      <c r="Q156" t="s">
        <v>1731</v>
      </c>
    </row>
    <row r="157" spans="1:17" x14ac:dyDescent="0.25">
      <c r="A157" t="s">
        <v>39</v>
      </c>
      <c r="B157" t="s">
        <v>1752</v>
      </c>
      <c r="C157" t="s">
        <v>322</v>
      </c>
      <c r="D157" t="s">
        <v>1428</v>
      </c>
      <c r="E157">
        <v>1246.47</v>
      </c>
      <c r="F157" t="s">
        <v>1464</v>
      </c>
      <c r="G157" t="s">
        <v>1753</v>
      </c>
      <c r="H157" t="s">
        <v>1648</v>
      </c>
      <c r="I157" t="s">
        <v>1473</v>
      </c>
      <c r="J157" t="s">
        <v>1385</v>
      </c>
      <c r="K157" t="b">
        <v>1</v>
      </c>
      <c r="L157" t="b">
        <v>0</v>
      </c>
      <c r="M157" t="s">
        <v>1385</v>
      </c>
      <c r="N157" t="s">
        <v>1386</v>
      </c>
      <c r="O157" t="s">
        <v>1387</v>
      </c>
      <c r="P157" t="s">
        <v>1388</v>
      </c>
      <c r="Q157" t="s">
        <v>1731</v>
      </c>
    </row>
    <row r="158" spans="1:17" x14ac:dyDescent="0.25">
      <c r="A158" t="s">
        <v>39</v>
      </c>
      <c r="B158" t="s">
        <v>1754</v>
      </c>
      <c r="C158" t="s">
        <v>323</v>
      </c>
      <c r="D158" t="s">
        <v>1380</v>
      </c>
      <c r="E158">
        <v>0</v>
      </c>
      <c r="F158" t="s">
        <v>1464</v>
      </c>
      <c r="G158" t="s">
        <v>1755</v>
      </c>
      <c r="H158" t="s">
        <v>1648</v>
      </c>
      <c r="I158" t="s">
        <v>1385</v>
      </c>
      <c r="J158" t="s">
        <v>1385</v>
      </c>
      <c r="K158" t="b">
        <v>1</v>
      </c>
      <c r="L158" t="b">
        <v>0</v>
      </c>
      <c r="M158" t="s">
        <v>1385</v>
      </c>
      <c r="N158" t="s">
        <v>1386</v>
      </c>
      <c r="O158" t="s">
        <v>1387</v>
      </c>
      <c r="P158" t="s">
        <v>1388</v>
      </c>
      <c r="Q158" t="s">
        <v>1756</v>
      </c>
    </row>
    <row r="159" spans="1:17" x14ac:dyDescent="0.25">
      <c r="A159" t="s">
        <v>39</v>
      </c>
      <c r="B159" t="s">
        <v>1757</v>
      </c>
      <c r="C159" t="s">
        <v>323</v>
      </c>
      <c r="D159" t="s">
        <v>1391</v>
      </c>
      <c r="E159">
        <v>0</v>
      </c>
      <c r="F159" t="s">
        <v>1464</v>
      </c>
      <c r="G159" t="s">
        <v>1755</v>
      </c>
      <c r="H159" t="s">
        <v>1648</v>
      </c>
      <c r="I159" t="s">
        <v>1385</v>
      </c>
      <c r="J159" t="s">
        <v>1385</v>
      </c>
      <c r="K159" t="b">
        <v>1</v>
      </c>
      <c r="L159" t="b">
        <v>0</v>
      </c>
      <c r="M159" t="s">
        <v>1385</v>
      </c>
      <c r="N159" t="s">
        <v>1386</v>
      </c>
      <c r="O159" t="s">
        <v>1387</v>
      </c>
      <c r="P159" t="s">
        <v>1388</v>
      </c>
      <c r="Q159" t="s">
        <v>1756</v>
      </c>
    </row>
    <row r="160" spans="1:17" x14ac:dyDescent="0.25">
      <c r="A160" t="s">
        <v>39</v>
      </c>
      <c r="B160" t="s">
        <v>1758</v>
      </c>
      <c r="C160" t="s">
        <v>323</v>
      </c>
      <c r="D160" t="s">
        <v>1395</v>
      </c>
      <c r="E160">
        <v>0</v>
      </c>
      <c r="F160" t="s">
        <v>1464</v>
      </c>
      <c r="G160" t="s">
        <v>1755</v>
      </c>
      <c r="H160" t="s">
        <v>1648</v>
      </c>
      <c r="I160" t="s">
        <v>1385</v>
      </c>
      <c r="J160" t="s">
        <v>1385</v>
      </c>
      <c r="K160" t="b">
        <v>1</v>
      </c>
      <c r="L160" t="b">
        <v>0</v>
      </c>
      <c r="M160" t="s">
        <v>1385</v>
      </c>
      <c r="N160" t="s">
        <v>1386</v>
      </c>
      <c r="O160" t="s">
        <v>1387</v>
      </c>
      <c r="P160" t="s">
        <v>1388</v>
      </c>
      <c r="Q160" t="s">
        <v>1756</v>
      </c>
    </row>
    <row r="161" spans="1:17" x14ac:dyDescent="0.25">
      <c r="A161" t="s">
        <v>39</v>
      </c>
      <c r="B161" t="s">
        <v>1759</v>
      </c>
      <c r="C161" t="s">
        <v>323</v>
      </c>
      <c r="D161" t="s">
        <v>1399</v>
      </c>
      <c r="E161">
        <v>0</v>
      </c>
      <c r="F161" t="s">
        <v>1464</v>
      </c>
      <c r="G161" t="s">
        <v>1755</v>
      </c>
      <c r="H161" t="s">
        <v>1648</v>
      </c>
      <c r="I161" t="s">
        <v>1385</v>
      </c>
      <c r="J161" t="s">
        <v>1385</v>
      </c>
      <c r="K161" t="b">
        <v>1</v>
      </c>
      <c r="L161" t="b">
        <v>0</v>
      </c>
      <c r="M161" t="s">
        <v>1385</v>
      </c>
      <c r="N161" t="s">
        <v>1386</v>
      </c>
      <c r="O161" t="s">
        <v>1387</v>
      </c>
      <c r="P161" t="s">
        <v>1388</v>
      </c>
      <c r="Q161" t="s">
        <v>1756</v>
      </c>
    </row>
    <row r="162" spans="1:17" x14ac:dyDescent="0.25">
      <c r="A162" t="s">
        <v>39</v>
      </c>
      <c r="B162" t="s">
        <v>1760</v>
      </c>
      <c r="C162" t="s">
        <v>323</v>
      </c>
      <c r="D162" t="s">
        <v>1403</v>
      </c>
      <c r="E162">
        <v>0</v>
      </c>
      <c r="F162" t="s">
        <v>1464</v>
      </c>
      <c r="G162" t="s">
        <v>1755</v>
      </c>
      <c r="H162" t="s">
        <v>1648</v>
      </c>
      <c r="I162" t="s">
        <v>1385</v>
      </c>
      <c r="J162" t="s">
        <v>1385</v>
      </c>
      <c r="K162" t="b">
        <v>1</v>
      </c>
      <c r="L162" t="b">
        <v>0</v>
      </c>
      <c r="M162" t="s">
        <v>1385</v>
      </c>
      <c r="N162" t="s">
        <v>1386</v>
      </c>
      <c r="O162" t="s">
        <v>1387</v>
      </c>
      <c r="P162" t="s">
        <v>1388</v>
      </c>
      <c r="Q162" t="s">
        <v>1756</v>
      </c>
    </row>
    <row r="163" spans="1:17" x14ac:dyDescent="0.25">
      <c r="A163" t="s">
        <v>39</v>
      </c>
      <c r="B163" t="s">
        <v>1761</v>
      </c>
      <c r="C163" t="s">
        <v>323</v>
      </c>
      <c r="D163" t="s">
        <v>1407</v>
      </c>
      <c r="E163">
        <v>0</v>
      </c>
      <c r="F163" t="s">
        <v>1464</v>
      </c>
      <c r="G163" t="s">
        <v>1755</v>
      </c>
      <c r="H163" t="s">
        <v>1648</v>
      </c>
      <c r="I163" t="s">
        <v>1385</v>
      </c>
      <c r="J163" t="s">
        <v>1385</v>
      </c>
      <c r="K163" t="b">
        <v>1</v>
      </c>
      <c r="L163" t="b">
        <v>0</v>
      </c>
      <c r="M163" t="s">
        <v>1385</v>
      </c>
      <c r="N163" t="s">
        <v>1386</v>
      </c>
      <c r="O163" t="s">
        <v>1387</v>
      </c>
      <c r="P163" t="s">
        <v>1388</v>
      </c>
      <c r="Q163" t="s">
        <v>1756</v>
      </c>
    </row>
    <row r="164" spans="1:17" x14ac:dyDescent="0.25">
      <c r="A164" t="s">
        <v>39</v>
      </c>
      <c r="B164" t="s">
        <v>1762</v>
      </c>
      <c r="C164" t="s">
        <v>323</v>
      </c>
      <c r="D164" t="s">
        <v>1411</v>
      </c>
      <c r="E164">
        <v>0</v>
      </c>
      <c r="F164" t="s">
        <v>1464</v>
      </c>
      <c r="G164" t="s">
        <v>1755</v>
      </c>
      <c r="H164" t="s">
        <v>1648</v>
      </c>
      <c r="I164" t="s">
        <v>1385</v>
      </c>
      <c r="J164" t="s">
        <v>1385</v>
      </c>
      <c r="K164" t="b">
        <v>1</v>
      </c>
      <c r="L164" t="b">
        <v>0</v>
      </c>
      <c r="M164" t="s">
        <v>1385</v>
      </c>
      <c r="N164" t="s">
        <v>1386</v>
      </c>
      <c r="O164" t="s">
        <v>1387</v>
      </c>
      <c r="P164" t="s">
        <v>1388</v>
      </c>
      <c r="Q164" t="s">
        <v>1756</v>
      </c>
    </row>
    <row r="165" spans="1:17" x14ac:dyDescent="0.25">
      <c r="A165" t="s">
        <v>39</v>
      </c>
      <c r="B165" t="s">
        <v>1763</v>
      </c>
      <c r="C165" t="s">
        <v>323</v>
      </c>
      <c r="D165" t="s">
        <v>1415</v>
      </c>
      <c r="E165">
        <v>0</v>
      </c>
      <c r="F165" t="s">
        <v>1464</v>
      </c>
      <c r="G165" t="s">
        <v>1755</v>
      </c>
      <c r="H165" t="s">
        <v>1648</v>
      </c>
      <c r="I165" t="s">
        <v>1385</v>
      </c>
      <c r="J165" t="s">
        <v>1385</v>
      </c>
      <c r="K165" t="b">
        <v>1</v>
      </c>
      <c r="L165" t="b">
        <v>0</v>
      </c>
      <c r="M165" t="s">
        <v>1385</v>
      </c>
      <c r="N165" t="s">
        <v>1386</v>
      </c>
      <c r="O165" t="s">
        <v>1387</v>
      </c>
      <c r="P165" t="s">
        <v>1388</v>
      </c>
      <c r="Q165" t="s">
        <v>1756</v>
      </c>
    </row>
    <row r="166" spans="1:17" x14ac:dyDescent="0.25">
      <c r="A166" t="s">
        <v>39</v>
      </c>
      <c r="B166" t="s">
        <v>1764</v>
      </c>
      <c r="C166" t="s">
        <v>323</v>
      </c>
      <c r="D166" t="s">
        <v>1419</v>
      </c>
      <c r="E166">
        <v>0</v>
      </c>
      <c r="F166" t="s">
        <v>1464</v>
      </c>
      <c r="G166" t="s">
        <v>1755</v>
      </c>
      <c r="H166" t="s">
        <v>1648</v>
      </c>
      <c r="I166" t="s">
        <v>1385</v>
      </c>
      <c r="J166" t="s">
        <v>1385</v>
      </c>
      <c r="K166" t="b">
        <v>1</v>
      </c>
      <c r="L166" t="b">
        <v>0</v>
      </c>
      <c r="M166" t="s">
        <v>1385</v>
      </c>
      <c r="N166" t="s">
        <v>1386</v>
      </c>
      <c r="O166" t="s">
        <v>1387</v>
      </c>
      <c r="P166" t="s">
        <v>1388</v>
      </c>
      <c r="Q166" t="s">
        <v>1756</v>
      </c>
    </row>
    <row r="167" spans="1:17" x14ac:dyDescent="0.25">
      <c r="A167" t="s">
        <v>39</v>
      </c>
      <c r="B167" t="s">
        <v>1765</v>
      </c>
      <c r="C167" t="s">
        <v>323</v>
      </c>
      <c r="D167" t="s">
        <v>1423</v>
      </c>
      <c r="E167">
        <v>0</v>
      </c>
      <c r="F167" t="s">
        <v>1464</v>
      </c>
      <c r="G167" t="s">
        <v>1755</v>
      </c>
      <c r="H167" t="s">
        <v>1648</v>
      </c>
      <c r="I167" t="s">
        <v>1385</v>
      </c>
      <c r="J167" t="s">
        <v>1385</v>
      </c>
      <c r="K167" t="b">
        <v>1</v>
      </c>
      <c r="L167" t="b">
        <v>0</v>
      </c>
      <c r="M167" t="s">
        <v>1385</v>
      </c>
      <c r="N167" t="s">
        <v>1386</v>
      </c>
      <c r="O167" t="s">
        <v>1387</v>
      </c>
      <c r="P167" t="s">
        <v>1388</v>
      </c>
      <c r="Q167" t="s">
        <v>1756</v>
      </c>
    </row>
    <row r="168" spans="1:17" x14ac:dyDescent="0.25">
      <c r="A168" t="s">
        <v>39</v>
      </c>
      <c r="B168" t="s">
        <v>1766</v>
      </c>
      <c r="C168" t="s">
        <v>323</v>
      </c>
      <c r="D168" t="s">
        <v>1425</v>
      </c>
      <c r="E168">
        <v>0</v>
      </c>
      <c r="F168" t="s">
        <v>1464</v>
      </c>
      <c r="G168" t="s">
        <v>1755</v>
      </c>
      <c r="H168" t="s">
        <v>1648</v>
      </c>
      <c r="I168" t="s">
        <v>1385</v>
      </c>
      <c r="J168" t="s">
        <v>1385</v>
      </c>
      <c r="K168" t="b">
        <v>1</v>
      </c>
      <c r="L168" t="b">
        <v>0</v>
      </c>
      <c r="M168" t="s">
        <v>1385</v>
      </c>
      <c r="N168" t="s">
        <v>1386</v>
      </c>
      <c r="O168" t="s">
        <v>1387</v>
      </c>
      <c r="P168" t="s">
        <v>1388</v>
      </c>
      <c r="Q168" t="s">
        <v>1756</v>
      </c>
    </row>
    <row r="169" spans="1:17" x14ac:dyDescent="0.25">
      <c r="A169" t="s">
        <v>39</v>
      </c>
      <c r="B169" t="s">
        <v>1767</v>
      </c>
      <c r="C169" t="s">
        <v>323</v>
      </c>
      <c r="D169" t="s">
        <v>1428</v>
      </c>
      <c r="E169">
        <v>0</v>
      </c>
      <c r="F169" t="s">
        <v>1464</v>
      </c>
      <c r="G169" t="s">
        <v>1755</v>
      </c>
      <c r="H169" t="s">
        <v>1648</v>
      </c>
      <c r="I169" t="s">
        <v>1385</v>
      </c>
      <c r="J169" t="s">
        <v>1385</v>
      </c>
      <c r="K169" t="b">
        <v>1</v>
      </c>
      <c r="L169" t="b">
        <v>0</v>
      </c>
      <c r="M169" t="s">
        <v>1385</v>
      </c>
      <c r="N169" t="s">
        <v>1386</v>
      </c>
      <c r="O169" t="s">
        <v>1387</v>
      </c>
      <c r="P169" t="s">
        <v>1388</v>
      </c>
      <c r="Q169" t="s">
        <v>1756</v>
      </c>
    </row>
    <row r="170" spans="1:17" x14ac:dyDescent="0.25">
      <c r="A170" t="s">
        <v>39</v>
      </c>
      <c r="B170" t="s">
        <v>1768</v>
      </c>
      <c r="C170" t="s">
        <v>324</v>
      </c>
      <c r="D170" t="s">
        <v>1380</v>
      </c>
      <c r="E170">
        <v>1735.865</v>
      </c>
      <c r="F170" t="s">
        <v>1381</v>
      </c>
      <c r="G170" t="s">
        <v>1769</v>
      </c>
      <c r="H170" t="s">
        <v>1648</v>
      </c>
      <c r="I170" t="s">
        <v>1384</v>
      </c>
      <c r="J170" t="s">
        <v>1385</v>
      </c>
      <c r="K170" t="b">
        <v>1</v>
      </c>
      <c r="L170" t="b">
        <v>0</v>
      </c>
      <c r="M170" t="s">
        <v>1385</v>
      </c>
      <c r="N170" t="s">
        <v>1386</v>
      </c>
      <c r="O170" t="s">
        <v>1387</v>
      </c>
      <c r="P170" t="s">
        <v>1388</v>
      </c>
      <c r="Q170" t="s">
        <v>1385</v>
      </c>
    </row>
    <row r="171" spans="1:17" x14ac:dyDescent="0.25">
      <c r="A171" t="s">
        <v>39</v>
      </c>
      <c r="B171" t="s">
        <v>1770</v>
      </c>
      <c r="C171" t="s">
        <v>324</v>
      </c>
      <c r="D171" t="s">
        <v>1391</v>
      </c>
      <c r="E171">
        <v>1738.19</v>
      </c>
      <c r="F171" t="s">
        <v>1381</v>
      </c>
      <c r="G171" t="s">
        <v>1771</v>
      </c>
      <c r="H171" t="s">
        <v>1648</v>
      </c>
      <c r="I171" t="s">
        <v>1393</v>
      </c>
      <c r="J171" t="s">
        <v>1385</v>
      </c>
      <c r="K171" t="b">
        <v>1</v>
      </c>
      <c r="L171" t="b">
        <v>0</v>
      </c>
      <c r="M171" t="s">
        <v>1385</v>
      </c>
      <c r="N171" t="s">
        <v>1386</v>
      </c>
      <c r="O171" t="s">
        <v>1387</v>
      </c>
      <c r="P171" t="s">
        <v>1388</v>
      </c>
      <c r="Q171" t="s">
        <v>1385</v>
      </c>
    </row>
    <row r="172" spans="1:17" x14ac:dyDescent="0.25">
      <c r="A172" t="s">
        <v>39</v>
      </c>
      <c r="B172" t="s">
        <v>1772</v>
      </c>
      <c r="C172" t="s">
        <v>324</v>
      </c>
      <c r="D172" t="s">
        <v>1395</v>
      </c>
      <c r="E172">
        <v>1739.468</v>
      </c>
      <c r="F172" t="s">
        <v>1381</v>
      </c>
      <c r="G172" t="s">
        <v>1773</v>
      </c>
      <c r="H172" t="s">
        <v>1648</v>
      </c>
      <c r="I172" t="s">
        <v>1397</v>
      </c>
      <c r="J172" t="s">
        <v>1385</v>
      </c>
      <c r="K172" t="b">
        <v>1</v>
      </c>
      <c r="L172" t="b">
        <v>0</v>
      </c>
      <c r="M172" t="s">
        <v>1385</v>
      </c>
      <c r="N172" t="s">
        <v>1386</v>
      </c>
      <c r="O172" t="s">
        <v>1387</v>
      </c>
      <c r="P172" t="s">
        <v>1388</v>
      </c>
      <c r="Q172" t="s">
        <v>1385</v>
      </c>
    </row>
    <row r="173" spans="1:17" x14ac:dyDescent="0.25">
      <c r="A173" t="s">
        <v>39</v>
      </c>
      <c r="B173" t="s">
        <v>1774</v>
      </c>
      <c r="C173" t="s">
        <v>324</v>
      </c>
      <c r="D173" t="s">
        <v>1399</v>
      </c>
      <c r="E173">
        <v>1847.856</v>
      </c>
      <c r="F173" t="s">
        <v>1381</v>
      </c>
      <c r="G173" t="s">
        <v>1775</v>
      </c>
      <c r="H173" t="s">
        <v>1648</v>
      </c>
      <c r="I173" t="s">
        <v>1473</v>
      </c>
      <c r="J173" t="s">
        <v>1385</v>
      </c>
      <c r="K173" t="b">
        <v>1</v>
      </c>
      <c r="L173" t="b">
        <v>0</v>
      </c>
      <c r="M173" t="s">
        <v>1385</v>
      </c>
      <c r="N173" t="s">
        <v>1386</v>
      </c>
      <c r="O173" t="s">
        <v>1387</v>
      </c>
      <c r="P173" t="s">
        <v>1388</v>
      </c>
      <c r="Q173" t="s">
        <v>1385</v>
      </c>
    </row>
    <row r="174" spans="1:17" x14ac:dyDescent="0.25">
      <c r="A174" t="s">
        <v>39</v>
      </c>
      <c r="B174" t="s">
        <v>1776</v>
      </c>
      <c r="C174" t="s">
        <v>324</v>
      </c>
      <c r="D174" t="s">
        <v>1403</v>
      </c>
      <c r="E174">
        <v>1824.037</v>
      </c>
      <c r="F174" t="s">
        <v>1381</v>
      </c>
      <c r="G174" t="s">
        <v>1777</v>
      </c>
      <c r="H174" t="s">
        <v>1648</v>
      </c>
      <c r="I174" t="s">
        <v>1405</v>
      </c>
      <c r="J174" t="s">
        <v>1385</v>
      </c>
      <c r="K174" t="b">
        <v>1</v>
      </c>
      <c r="L174" t="b">
        <v>0</v>
      </c>
      <c r="M174" t="s">
        <v>1385</v>
      </c>
      <c r="N174" t="s">
        <v>1386</v>
      </c>
      <c r="O174" t="s">
        <v>1387</v>
      </c>
      <c r="P174" t="s">
        <v>1388</v>
      </c>
      <c r="Q174" t="s">
        <v>1385</v>
      </c>
    </row>
    <row r="175" spans="1:17" x14ac:dyDescent="0.25">
      <c r="A175" t="s">
        <v>39</v>
      </c>
      <c r="B175" t="s">
        <v>1778</v>
      </c>
      <c r="C175" t="s">
        <v>324</v>
      </c>
      <c r="D175" t="s">
        <v>1407</v>
      </c>
      <c r="E175">
        <v>1822.809</v>
      </c>
      <c r="F175" t="s">
        <v>1381</v>
      </c>
      <c r="G175" t="s">
        <v>1779</v>
      </c>
      <c r="H175" t="s">
        <v>1648</v>
      </c>
      <c r="I175" t="s">
        <v>1409</v>
      </c>
      <c r="J175" t="s">
        <v>1385</v>
      </c>
      <c r="K175" t="b">
        <v>1</v>
      </c>
      <c r="L175" t="b">
        <v>0</v>
      </c>
      <c r="M175" t="s">
        <v>1385</v>
      </c>
      <c r="N175" t="s">
        <v>1386</v>
      </c>
      <c r="O175" t="s">
        <v>1387</v>
      </c>
      <c r="P175" t="s">
        <v>1388</v>
      </c>
      <c r="Q175" t="s">
        <v>1385</v>
      </c>
    </row>
    <row r="176" spans="1:17" x14ac:dyDescent="0.25">
      <c r="A176" t="s">
        <v>39</v>
      </c>
      <c r="B176" t="s">
        <v>1780</v>
      </c>
      <c r="C176" t="s">
        <v>324</v>
      </c>
      <c r="D176" t="s">
        <v>1411</v>
      </c>
      <c r="E176">
        <v>1832.958</v>
      </c>
      <c r="F176" t="s">
        <v>1381</v>
      </c>
      <c r="G176" t="s">
        <v>1781</v>
      </c>
      <c r="H176" t="s">
        <v>1648</v>
      </c>
      <c r="I176" t="s">
        <v>1413</v>
      </c>
      <c r="J176" t="s">
        <v>1385</v>
      </c>
      <c r="K176" t="b">
        <v>1</v>
      </c>
      <c r="L176" t="b">
        <v>0</v>
      </c>
      <c r="M176" t="s">
        <v>1385</v>
      </c>
      <c r="N176" t="s">
        <v>1386</v>
      </c>
      <c r="O176" t="s">
        <v>1387</v>
      </c>
      <c r="P176" t="s">
        <v>1388</v>
      </c>
      <c r="Q176" t="s">
        <v>1385</v>
      </c>
    </row>
    <row r="177" spans="1:17" x14ac:dyDescent="0.25">
      <c r="A177" t="s">
        <v>39</v>
      </c>
      <c r="B177" t="s">
        <v>1782</v>
      </c>
      <c r="C177" t="s">
        <v>324</v>
      </c>
      <c r="D177" t="s">
        <v>1415</v>
      </c>
      <c r="E177">
        <v>1827.938</v>
      </c>
      <c r="F177" t="s">
        <v>1381</v>
      </c>
      <c r="G177" t="s">
        <v>1783</v>
      </c>
      <c r="H177" t="s">
        <v>1648</v>
      </c>
      <c r="I177" t="s">
        <v>1473</v>
      </c>
      <c r="J177" t="s">
        <v>1385</v>
      </c>
      <c r="K177" t="b">
        <v>1</v>
      </c>
      <c r="L177" t="b">
        <v>0</v>
      </c>
      <c r="M177" t="s">
        <v>1385</v>
      </c>
      <c r="N177" t="s">
        <v>1386</v>
      </c>
      <c r="O177" t="s">
        <v>1387</v>
      </c>
      <c r="P177" t="s">
        <v>1388</v>
      </c>
      <c r="Q177" t="s">
        <v>1385</v>
      </c>
    </row>
    <row r="178" spans="1:17" x14ac:dyDescent="0.25">
      <c r="A178" t="s">
        <v>39</v>
      </c>
      <c r="B178" t="s">
        <v>1784</v>
      </c>
      <c r="C178" t="s">
        <v>324</v>
      </c>
      <c r="D178" t="s">
        <v>1419</v>
      </c>
      <c r="E178">
        <v>1824.647</v>
      </c>
      <c r="F178" t="s">
        <v>1381</v>
      </c>
      <c r="G178" t="s">
        <v>1785</v>
      </c>
      <c r="H178" t="s">
        <v>1648</v>
      </c>
      <c r="I178" t="s">
        <v>1421</v>
      </c>
      <c r="J178" t="s">
        <v>1385</v>
      </c>
      <c r="K178" t="b">
        <v>1</v>
      </c>
      <c r="L178" t="b">
        <v>0</v>
      </c>
      <c r="M178" t="s">
        <v>1385</v>
      </c>
      <c r="N178" t="s">
        <v>1386</v>
      </c>
      <c r="O178" t="s">
        <v>1387</v>
      </c>
      <c r="P178" t="s">
        <v>1388</v>
      </c>
      <c r="Q178" t="s">
        <v>1385</v>
      </c>
    </row>
    <row r="179" spans="1:17" x14ac:dyDescent="0.25">
      <c r="A179" t="s">
        <v>39</v>
      </c>
      <c r="B179" t="s">
        <v>1786</v>
      </c>
      <c r="C179" t="s">
        <v>324</v>
      </c>
      <c r="D179" t="s">
        <v>1423</v>
      </c>
      <c r="E179">
        <v>1842.114</v>
      </c>
      <c r="F179" t="s">
        <v>1381</v>
      </c>
      <c r="G179" t="s">
        <v>1787</v>
      </c>
      <c r="H179" t="s">
        <v>1648</v>
      </c>
      <c r="I179" t="s">
        <v>1409</v>
      </c>
      <c r="J179" t="s">
        <v>1385</v>
      </c>
      <c r="K179" t="b">
        <v>1</v>
      </c>
      <c r="L179" t="b">
        <v>0</v>
      </c>
      <c r="M179" t="s">
        <v>1385</v>
      </c>
      <c r="N179" t="s">
        <v>1386</v>
      </c>
      <c r="O179" t="s">
        <v>1387</v>
      </c>
      <c r="P179" t="s">
        <v>1388</v>
      </c>
      <c r="Q179" t="s">
        <v>1385</v>
      </c>
    </row>
    <row r="180" spans="1:17" x14ac:dyDescent="0.25">
      <c r="A180" t="s">
        <v>39</v>
      </c>
      <c r="B180" t="s">
        <v>1788</v>
      </c>
      <c r="C180" t="s">
        <v>324</v>
      </c>
      <c r="D180" t="s">
        <v>1425</v>
      </c>
      <c r="E180">
        <v>1840.432</v>
      </c>
      <c r="F180" t="s">
        <v>1381</v>
      </c>
      <c r="G180" t="s">
        <v>1789</v>
      </c>
      <c r="H180" t="s">
        <v>1648</v>
      </c>
      <c r="I180" t="s">
        <v>1413</v>
      </c>
      <c r="J180" t="s">
        <v>1385</v>
      </c>
      <c r="K180" t="b">
        <v>1</v>
      </c>
      <c r="L180" t="b">
        <v>0</v>
      </c>
      <c r="M180" t="s">
        <v>1385</v>
      </c>
      <c r="N180" t="s">
        <v>1386</v>
      </c>
      <c r="O180" t="s">
        <v>1387</v>
      </c>
      <c r="P180" t="s">
        <v>1388</v>
      </c>
      <c r="Q180" t="s">
        <v>1385</v>
      </c>
    </row>
    <row r="181" spans="1:17" x14ac:dyDescent="0.25">
      <c r="A181" t="s">
        <v>39</v>
      </c>
      <c r="B181" t="s">
        <v>1790</v>
      </c>
      <c r="C181" t="s">
        <v>324</v>
      </c>
      <c r="D181" t="s">
        <v>1428</v>
      </c>
      <c r="E181">
        <v>1837.57</v>
      </c>
      <c r="F181" t="s">
        <v>1381</v>
      </c>
      <c r="G181" t="s">
        <v>1791</v>
      </c>
      <c r="H181" t="s">
        <v>1648</v>
      </c>
      <c r="I181" t="s">
        <v>1473</v>
      </c>
      <c r="J181" t="s">
        <v>1385</v>
      </c>
      <c r="K181" t="b">
        <v>1</v>
      </c>
      <c r="L181" t="b">
        <v>0</v>
      </c>
      <c r="M181" t="s">
        <v>1385</v>
      </c>
      <c r="N181" t="s">
        <v>1386</v>
      </c>
      <c r="O181" t="s">
        <v>1387</v>
      </c>
      <c r="P181" t="s">
        <v>1388</v>
      </c>
      <c r="Q181" t="s">
        <v>1385</v>
      </c>
    </row>
    <row r="182" spans="1:17" x14ac:dyDescent="0.25">
      <c r="A182" t="s">
        <v>39</v>
      </c>
      <c r="B182" t="s">
        <v>1792</v>
      </c>
      <c r="C182" t="s">
        <v>325</v>
      </c>
      <c r="D182" t="s">
        <v>1380</v>
      </c>
      <c r="E182">
        <v>3602.422</v>
      </c>
      <c r="F182" t="s">
        <v>1464</v>
      </c>
      <c r="G182" t="s">
        <v>1793</v>
      </c>
      <c r="H182" t="s">
        <v>1648</v>
      </c>
      <c r="I182" t="s">
        <v>1794</v>
      </c>
      <c r="J182" t="s">
        <v>1385</v>
      </c>
      <c r="K182" t="b">
        <v>1</v>
      </c>
      <c r="L182" t="b">
        <v>0</v>
      </c>
      <c r="M182" t="s">
        <v>1385</v>
      </c>
      <c r="N182" t="s">
        <v>1386</v>
      </c>
      <c r="O182" t="s">
        <v>1387</v>
      </c>
      <c r="P182" t="s">
        <v>1388</v>
      </c>
      <c r="Q182" t="s">
        <v>1795</v>
      </c>
    </row>
    <row r="183" spans="1:17" x14ac:dyDescent="0.25">
      <c r="A183" t="s">
        <v>39</v>
      </c>
      <c r="B183" t="s">
        <v>1796</v>
      </c>
      <c r="C183" t="s">
        <v>325</v>
      </c>
      <c r="D183" t="s">
        <v>1391</v>
      </c>
      <c r="E183">
        <v>3627.699</v>
      </c>
      <c r="F183" t="s">
        <v>1464</v>
      </c>
      <c r="G183" t="s">
        <v>1797</v>
      </c>
      <c r="H183" t="s">
        <v>1648</v>
      </c>
      <c r="I183" t="s">
        <v>1798</v>
      </c>
      <c r="J183" t="s">
        <v>1385</v>
      </c>
      <c r="K183" t="b">
        <v>1</v>
      </c>
      <c r="L183" t="b">
        <v>0</v>
      </c>
      <c r="M183" t="s">
        <v>1385</v>
      </c>
      <c r="N183" t="s">
        <v>1386</v>
      </c>
      <c r="O183" t="s">
        <v>1387</v>
      </c>
      <c r="P183" t="s">
        <v>1388</v>
      </c>
      <c r="Q183" t="s">
        <v>1795</v>
      </c>
    </row>
    <row r="184" spans="1:17" x14ac:dyDescent="0.25">
      <c r="A184" t="s">
        <v>39</v>
      </c>
      <c r="B184" t="s">
        <v>1799</v>
      </c>
      <c r="C184" t="s">
        <v>325</v>
      </c>
      <c r="D184" t="s">
        <v>1395</v>
      </c>
      <c r="E184">
        <v>3551.856</v>
      </c>
      <c r="F184" t="s">
        <v>1464</v>
      </c>
      <c r="G184" t="s">
        <v>1800</v>
      </c>
      <c r="H184" t="s">
        <v>1648</v>
      </c>
      <c r="I184" t="s">
        <v>1801</v>
      </c>
      <c r="J184" t="s">
        <v>1385</v>
      </c>
      <c r="K184" t="b">
        <v>1</v>
      </c>
      <c r="L184" t="b">
        <v>0</v>
      </c>
      <c r="M184" t="s">
        <v>1385</v>
      </c>
      <c r="N184" t="s">
        <v>1386</v>
      </c>
      <c r="O184" t="s">
        <v>1387</v>
      </c>
      <c r="P184" t="s">
        <v>1388</v>
      </c>
      <c r="Q184" t="s">
        <v>1795</v>
      </c>
    </row>
    <row r="185" spans="1:17" x14ac:dyDescent="0.25">
      <c r="A185" t="s">
        <v>39</v>
      </c>
      <c r="B185" t="s">
        <v>1802</v>
      </c>
      <c r="C185" t="s">
        <v>325</v>
      </c>
      <c r="D185" t="s">
        <v>1399</v>
      </c>
      <c r="E185">
        <v>4196.112</v>
      </c>
      <c r="F185" t="s">
        <v>1464</v>
      </c>
      <c r="G185" t="s">
        <v>1803</v>
      </c>
      <c r="H185" t="s">
        <v>1648</v>
      </c>
      <c r="I185" t="s">
        <v>1804</v>
      </c>
      <c r="J185" t="s">
        <v>1385</v>
      </c>
      <c r="K185" t="b">
        <v>1</v>
      </c>
      <c r="L185" t="b">
        <v>0</v>
      </c>
      <c r="M185" t="s">
        <v>1385</v>
      </c>
      <c r="N185" t="s">
        <v>1386</v>
      </c>
      <c r="O185" t="s">
        <v>1387</v>
      </c>
      <c r="P185" t="s">
        <v>1388</v>
      </c>
      <c r="Q185" t="s">
        <v>1805</v>
      </c>
    </row>
    <row r="186" spans="1:17" x14ac:dyDescent="0.25">
      <c r="A186" t="s">
        <v>39</v>
      </c>
      <c r="B186" t="s">
        <v>1806</v>
      </c>
      <c r="C186" t="s">
        <v>325</v>
      </c>
      <c r="D186" t="s">
        <v>1403</v>
      </c>
      <c r="E186">
        <v>4787.836</v>
      </c>
      <c r="F186" t="s">
        <v>1464</v>
      </c>
      <c r="G186" t="s">
        <v>1807</v>
      </c>
      <c r="H186" t="s">
        <v>1648</v>
      </c>
      <c r="I186" t="s">
        <v>1808</v>
      </c>
      <c r="J186" t="s">
        <v>1385</v>
      </c>
      <c r="K186" t="b">
        <v>1</v>
      </c>
      <c r="L186" t="b">
        <v>0</v>
      </c>
      <c r="M186" t="s">
        <v>1385</v>
      </c>
      <c r="N186" t="s">
        <v>1386</v>
      </c>
      <c r="O186" t="s">
        <v>1387</v>
      </c>
      <c r="P186" t="s">
        <v>1388</v>
      </c>
      <c r="Q186" t="s">
        <v>1805</v>
      </c>
    </row>
    <row r="187" spans="1:17" x14ac:dyDescent="0.25">
      <c r="A187" t="s">
        <v>39</v>
      </c>
      <c r="B187" t="s">
        <v>1809</v>
      </c>
      <c r="C187" t="s">
        <v>325</v>
      </c>
      <c r="D187" t="s">
        <v>1407</v>
      </c>
      <c r="E187">
        <v>3831.127</v>
      </c>
      <c r="F187" t="s">
        <v>1464</v>
      </c>
      <c r="G187" t="s">
        <v>1810</v>
      </c>
      <c r="H187" t="s">
        <v>1648</v>
      </c>
      <c r="I187" t="s">
        <v>1811</v>
      </c>
      <c r="J187" t="s">
        <v>1385</v>
      </c>
      <c r="K187" t="b">
        <v>1</v>
      </c>
      <c r="L187" t="b">
        <v>0</v>
      </c>
      <c r="M187" t="s">
        <v>1385</v>
      </c>
      <c r="N187" t="s">
        <v>1386</v>
      </c>
      <c r="O187" t="s">
        <v>1387</v>
      </c>
      <c r="P187" t="s">
        <v>1388</v>
      </c>
      <c r="Q187" t="s">
        <v>1805</v>
      </c>
    </row>
    <row r="188" spans="1:17" x14ac:dyDescent="0.25">
      <c r="A188" t="s">
        <v>39</v>
      </c>
      <c r="B188" t="s">
        <v>1812</v>
      </c>
      <c r="C188" t="s">
        <v>325</v>
      </c>
      <c r="D188" t="s">
        <v>1411</v>
      </c>
      <c r="E188">
        <v>3263.629</v>
      </c>
      <c r="F188" t="s">
        <v>1464</v>
      </c>
      <c r="G188" t="s">
        <v>1813</v>
      </c>
      <c r="H188" t="s">
        <v>1648</v>
      </c>
      <c r="I188" t="s">
        <v>1814</v>
      </c>
      <c r="J188" t="s">
        <v>1385</v>
      </c>
      <c r="K188" t="b">
        <v>1</v>
      </c>
      <c r="L188" t="b">
        <v>0</v>
      </c>
      <c r="M188" t="s">
        <v>1385</v>
      </c>
      <c r="N188" t="s">
        <v>1386</v>
      </c>
      <c r="O188" t="s">
        <v>1387</v>
      </c>
      <c r="P188" t="s">
        <v>1388</v>
      </c>
      <c r="Q188" t="s">
        <v>1805</v>
      </c>
    </row>
    <row r="189" spans="1:17" x14ac:dyDescent="0.25">
      <c r="A189" t="s">
        <v>39</v>
      </c>
      <c r="B189" t="s">
        <v>1815</v>
      </c>
      <c r="C189" t="s">
        <v>325</v>
      </c>
      <c r="D189" t="s">
        <v>1415</v>
      </c>
      <c r="E189">
        <v>3124.187</v>
      </c>
      <c r="F189" t="s">
        <v>1464</v>
      </c>
      <c r="G189" t="s">
        <v>1816</v>
      </c>
      <c r="H189" t="s">
        <v>1648</v>
      </c>
      <c r="I189" t="s">
        <v>1473</v>
      </c>
      <c r="J189" t="s">
        <v>1385</v>
      </c>
      <c r="K189" t="b">
        <v>1</v>
      </c>
      <c r="L189" t="b">
        <v>0</v>
      </c>
      <c r="M189" t="s">
        <v>1385</v>
      </c>
      <c r="N189" t="s">
        <v>1386</v>
      </c>
      <c r="O189" t="s">
        <v>1387</v>
      </c>
      <c r="P189" t="s">
        <v>1388</v>
      </c>
      <c r="Q189" t="s">
        <v>1805</v>
      </c>
    </row>
    <row r="190" spans="1:17" x14ac:dyDescent="0.25">
      <c r="A190" t="s">
        <v>39</v>
      </c>
      <c r="B190" t="s">
        <v>1817</v>
      </c>
      <c r="C190" t="s">
        <v>325</v>
      </c>
      <c r="D190" t="s">
        <v>1419</v>
      </c>
      <c r="E190">
        <v>3346.456</v>
      </c>
      <c r="F190" t="s">
        <v>1464</v>
      </c>
      <c r="G190" t="s">
        <v>1818</v>
      </c>
      <c r="H190" t="s">
        <v>1648</v>
      </c>
      <c r="I190" t="s">
        <v>1609</v>
      </c>
      <c r="J190" t="s">
        <v>1385</v>
      </c>
      <c r="K190" t="b">
        <v>1</v>
      </c>
      <c r="L190" t="b">
        <v>0</v>
      </c>
      <c r="M190" t="s">
        <v>1385</v>
      </c>
      <c r="N190" t="s">
        <v>1386</v>
      </c>
      <c r="O190" t="s">
        <v>1387</v>
      </c>
      <c r="P190" t="s">
        <v>1388</v>
      </c>
      <c r="Q190" t="s">
        <v>1805</v>
      </c>
    </row>
    <row r="191" spans="1:17" x14ac:dyDescent="0.25">
      <c r="A191" t="s">
        <v>39</v>
      </c>
      <c r="B191" t="s">
        <v>1819</v>
      </c>
      <c r="C191" t="s">
        <v>325</v>
      </c>
      <c r="D191" t="s">
        <v>1423</v>
      </c>
      <c r="E191">
        <v>3283.404</v>
      </c>
      <c r="F191" t="s">
        <v>1464</v>
      </c>
      <c r="G191" t="s">
        <v>1820</v>
      </c>
      <c r="H191" t="s">
        <v>1648</v>
      </c>
      <c r="I191" t="s">
        <v>1409</v>
      </c>
      <c r="J191" t="s">
        <v>1385</v>
      </c>
      <c r="K191" t="b">
        <v>1</v>
      </c>
      <c r="L191" t="b">
        <v>0</v>
      </c>
      <c r="M191" t="s">
        <v>1385</v>
      </c>
      <c r="N191" t="s">
        <v>1386</v>
      </c>
      <c r="O191" t="s">
        <v>1387</v>
      </c>
      <c r="P191" t="s">
        <v>1388</v>
      </c>
      <c r="Q191" t="s">
        <v>1805</v>
      </c>
    </row>
    <row r="192" spans="1:17" x14ac:dyDescent="0.25">
      <c r="A192" t="s">
        <v>39</v>
      </c>
      <c r="B192" t="s">
        <v>1821</v>
      </c>
      <c r="C192" t="s">
        <v>325</v>
      </c>
      <c r="D192" t="s">
        <v>1425</v>
      </c>
      <c r="E192">
        <v>3304.448</v>
      </c>
      <c r="F192" t="s">
        <v>1464</v>
      </c>
      <c r="G192" t="s">
        <v>1822</v>
      </c>
      <c r="H192" t="s">
        <v>1648</v>
      </c>
      <c r="I192" t="s">
        <v>1413</v>
      </c>
      <c r="J192" t="s">
        <v>1385</v>
      </c>
      <c r="K192" t="b">
        <v>1</v>
      </c>
      <c r="L192" t="b">
        <v>0</v>
      </c>
      <c r="M192" t="s">
        <v>1385</v>
      </c>
      <c r="N192" t="s">
        <v>1386</v>
      </c>
      <c r="O192" t="s">
        <v>1387</v>
      </c>
      <c r="P192" t="s">
        <v>1388</v>
      </c>
      <c r="Q192" t="s">
        <v>1805</v>
      </c>
    </row>
    <row r="193" spans="1:17" x14ac:dyDescent="0.25">
      <c r="A193" t="s">
        <v>39</v>
      </c>
      <c r="B193" t="s">
        <v>1823</v>
      </c>
      <c r="C193" t="s">
        <v>325</v>
      </c>
      <c r="D193" t="s">
        <v>1428</v>
      </c>
      <c r="E193">
        <v>3246.706</v>
      </c>
      <c r="F193" t="s">
        <v>1464</v>
      </c>
      <c r="G193" t="s">
        <v>1824</v>
      </c>
      <c r="H193" t="s">
        <v>1648</v>
      </c>
      <c r="I193" t="s">
        <v>1473</v>
      </c>
      <c r="J193" t="s">
        <v>1385</v>
      </c>
      <c r="K193" t="b">
        <v>1</v>
      </c>
      <c r="L193" t="b">
        <v>0</v>
      </c>
      <c r="M193" t="s">
        <v>1385</v>
      </c>
      <c r="N193" t="s">
        <v>1386</v>
      </c>
      <c r="O193" t="s">
        <v>1387</v>
      </c>
      <c r="P193" t="s">
        <v>1388</v>
      </c>
      <c r="Q193" t="s">
        <v>1825</v>
      </c>
    </row>
    <row r="194" spans="1:17" x14ac:dyDescent="0.25">
      <c r="A194" t="s">
        <v>39</v>
      </c>
      <c r="B194" t="s">
        <v>1826</v>
      </c>
      <c r="C194" t="s">
        <v>328</v>
      </c>
      <c r="D194" t="s">
        <v>1380</v>
      </c>
      <c r="E194">
        <v>477.764</v>
      </c>
      <c r="F194" t="s">
        <v>1381</v>
      </c>
      <c r="G194" t="s">
        <v>1827</v>
      </c>
      <c r="H194" t="s">
        <v>1648</v>
      </c>
      <c r="I194" t="s">
        <v>1649</v>
      </c>
      <c r="J194" t="s">
        <v>1385</v>
      </c>
      <c r="K194" t="b">
        <v>1</v>
      </c>
      <c r="L194" t="b">
        <v>0</v>
      </c>
      <c r="M194" t="s">
        <v>1385</v>
      </c>
      <c r="N194" t="s">
        <v>1386</v>
      </c>
      <c r="O194" t="s">
        <v>1387</v>
      </c>
      <c r="P194" t="s">
        <v>1388</v>
      </c>
      <c r="Q194" t="s">
        <v>1385</v>
      </c>
    </row>
    <row r="195" spans="1:17" x14ac:dyDescent="0.25">
      <c r="A195" t="s">
        <v>39</v>
      </c>
      <c r="B195" t="s">
        <v>1828</v>
      </c>
      <c r="C195" t="s">
        <v>328</v>
      </c>
      <c r="D195" t="s">
        <v>1391</v>
      </c>
      <c r="E195">
        <v>846.9</v>
      </c>
      <c r="F195" t="s">
        <v>1381</v>
      </c>
      <c r="G195" t="s">
        <v>1829</v>
      </c>
      <c r="H195" t="s">
        <v>1648</v>
      </c>
      <c r="I195" t="s">
        <v>1653</v>
      </c>
      <c r="J195" t="s">
        <v>1385</v>
      </c>
      <c r="K195" t="b">
        <v>1</v>
      </c>
      <c r="L195" t="b">
        <v>0</v>
      </c>
      <c r="M195" t="s">
        <v>1385</v>
      </c>
      <c r="N195" t="s">
        <v>1386</v>
      </c>
      <c r="O195" t="s">
        <v>1387</v>
      </c>
      <c r="P195" t="s">
        <v>1388</v>
      </c>
      <c r="Q195" t="s">
        <v>1385</v>
      </c>
    </row>
    <row r="196" spans="1:17" x14ac:dyDescent="0.25">
      <c r="A196" t="s">
        <v>39</v>
      </c>
      <c r="B196" t="s">
        <v>1830</v>
      </c>
      <c r="C196" t="s">
        <v>328</v>
      </c>
      <c r="D196" t="s">
        <v>1395</v>
      </c>
      <c r="E196">
        <v>924.892</v>
      </c>
      <c r="F196" t="s">
        <v>1381</v>
      </c>
      <c r="G196" t="s">
        <v>1831</v>
      </c>
      <c r="H196" t="s">
        <v>1648</v>
      </c>
      <c r="I196" t="s">
        <v>1656</v>
      </c>
      <c r="J196" t="s">
        <v>1385</v>
      </c>
      <c r="K196" t="b">
        <v>1</v>
      </c>
      <c r="L196" t="b">
        <v>0</v>
      </c>
      <c r="M196" t="s">
        <v>1385</v>
      </c>
      <c r="N196" t="s">
        <v>1386</v>
      </c>
      <c r="O196" t="s">
        <v>1387</v>
      </c>
      <c r="P196" t="s">
        <v>1388</v>
      </c>
      <c r="Q196" t="s">
        <v>1385</v>
      </c>
    </row>
    <row r="197" spans="1:17" x14ac:dyDescent="0.25">
      <c r="A197" t="s">
        <v>39</v>
      </c>
      <c r="B197" t="s">
        <v>1832</v>
      </c>
      <c r="C197" t="s">
        <v>328</v>
      </c>
      <c r="D197" t="s">
        <v>1399</v>
      </c>
      <c r="E197">
        <v>989.715</v>
      </c>
      <c r="F197" t="s">
        <v>1381</v>
      </c>
      <c r="G197" t="s">
        <v>1833</v>
      </c>
      <c r="H197" t="s">
        <v>1648</v>
      </c>
      <c r="I197" t="s">
        <v>1659</v>
      </c>
      <c r="J197" t="s">
        <v>1385</v>
      </c>
      <c r="K197" t="b">
        <v>1</v>
      </c>
      <c r="L197" t="b">
        <v>0</v>
      </c>
      <c r="M197" t="s">
        <v>1385</v>
      </c>
      <c r="N197" t="s">
        <v>1386</v>
      </c>
      <c r="O197" t="s">
        <v>1387</v>
      </c>
      <c r="P197" t="s">
        <v>1388</v>
      </c>
      <c r="Q197" t="s">
        <v>1385</v>
      </c>
    </row>
    <row r="198" spans="1:17" x14ac:dyDescent="0.25">
      <c r="A198" t="s">
        <v>39</v>
      </c>
      <c r="B198" t="s">
        <v>1834</v>
      </c>
      <c r="C198" t="s">
        <v>328</v>
      </c>
      <c r="D198" t="s">
        <v>1403</v>
      </c>
      <c r="E198">
        <v>1254.31</v>
      </c>
      <c r="F198" t="s">
        <v>1381</v>
      </c>
      <c r="G198" t="s">
        <v>1835</v>
      </c>
      <c r="H198" t="s">
        <v>1648</v>
      </c>
      <c r="I198" t="s">
        <v>1384</v>
      </c>
      <c r="J198" t="s">
        <v>1385</v>
      </c>
      <c r="K198" t="b">
        <v>1</v>
      </c>
      <c r="L198" t="b">
        <v>0</v>
      </c>
      <c r="M198" t="s">
        <v>1385</v>
      </c>
      <c r="N198" t="s">
        <v>1386</v>
      </c>
      <c r="O198" t="s">
        <v>1387</v>
      </c>
      <c r="P198" t="s">
        <v>1388</v>
      </c>
      <c r="Q198" t="s">
        <v>1385</v>
      </c>
    </row>
    <row r="199" spans="1:17" x14ac:dyDescent="0.25">
      <c r="A199" t="s">
        <v>39</v>
      </c>
      <c r="B199" t="s">
        <v>1836</v>
      </c>
      <c r="C199" t="s">
        <v>328</v>
      </c>
      <c r="D199" t="s">
        <v>1407</v>
      </c>
      <c r="E199">
        <v>1625.31</v>
      </c>
      <c r="F199" t="s">
        <v>1381</v>
      </c>
      <c r="G199" t="s">
        <v>1837</v>
      </c>
      <c r="H199" t="s">
        <v>1648</v>
      </c>
      <c r="I199" t="s">
        <v>1393</v>
      </c>
      <c r="J199" t="s">
        <v>1385</v>
      </c>
      <c r="K199" t="b">
        <v>1</v>
      </c>
      <c r="L199" t="b">
        <v>0</v>
      </c>
      <c r="M199" t="s">
        <v>1385</v>
      </c>
      <c r="N199" t="s">
        <v>1386</v>
      </c>
      <c r="O199" t="s">
        <v>1387</v>
      </c>
      <c r="P199" t="s">
        <v>1388</v>
      </c>
      <c r="Q199" t="s">
        <v>1385</v>
      </c>
    </row>
    <row r="200" spans="1:17" x14ac:dyDescent="0.25">
      <c r="A200" t="s">
        <v>39</v>
      </c>
      <c r="B200" t="s">
        <v>1838</v>
      </c>
      <c r="C200" t="s">
        <v>328</v>
      </c>
      <c r="D200" t="s">
        <v>1411</v>
      </c>
      <c r="E200">
        <v>1725.864</v>
      </c>
      <c r="F200" t="s">
        <v>1381</v>
      </c>
      <c r="G200" t="s">
        <v>1839</v>
      </c>
      <c r="H200" t="s">
        <v>1648</v>
      </c>
      <c r="I200" t="s">
        <v>1397</v>
      </c>
      <c r="J200" t="s">
        <v>1385</v>
      </c>
      <c r="K200" t="b">
        <v>1</v>
      </c>
      <c r="L200" t="b">
        <v>0</v>
      </c>
      <c r="M200" t="s">
        <v>1385</v>
      </c>
      <c r="N200" t="s">
        <v>1386</v>
      </c>
      <c r="O200" t="s">
        <v>1387</v>
      </c>
      <c r="P200" t="s">
        <v>1388</v>
      </c>
      <c r="Q200" t="s">
        <v>1385</v>
      </c>
    </row>
    <row r="201" spans="1:17" x14ac:dyDescent="0.25">
      <c r="A201" t="s">
        <v>39</v>
      </c>
      <c r="B201" t="s">
        <v>1840</v>
      </c>
      <c r="C201" t="s">
        <v>328</v>
      </c>
      <c r="D201" t="s">
        <v>1415</v>
      </c>
      <c r="E201">
        <v>443.16</v>
      </c>
      <c r="F201" t="s">
        <v>1381</v>
      </c>
      <c r="G201" t="s">
        <v>1841</v>
      </c>
      <c r="H201" t="s">
        <v>1648</v>
      </c>
      <c r="I201" t="s">
        <v>1473</v>
      </c>
      <c r="J201" t="s">
        <v>1385</v>
      </c>
      <c r="K201" t="b">
        <v>1</v>
      </c>
      <c r="L201" t="b">
        <v>0</v>
      </c>
      <c r="M201" t="s">
        <v>1385</v>
      </c>
      <c r="N201" t="s">
        <v>1386</v>
      </c>
      <c r="O201" t="s">
        <v>1387</v>
      </c>
      <c r="P201" t="s">
        <v>1388</v>
      </c>
      <c r="Q201" t="s">
        <v>1385</v>
      </c>
    </row>
    <row r="202" spans="1:17" x14ac:dyDescent="0.25">
      <c r="A202" t="s">
        <v>39</v>
      </c>
      <c r="B202" t="s">
        <v>1842</v>
      </c>
      <c r="C202" t="s">
        <v>328</v>
      </c>
      <c r="D202" t="s">
        <v>1419</v>
      </c>
      <c r="E202">
        <v>1172.806</v>
      </c>
      <c r="F202" t="s">
        <v>1381</v>
      </c>
      <c r="G202" t="s">
        <v>1843</v>
      </c>
      <c r="H202" t="s">
        <v>1648</v>
      </c>
      <c r="I202" t="s">
        <v>1405</v>
      </c>
      <c r="J202" t="s">
        <v>1385</v>
      </c>
      <c r="K202" t="b">
        <v>1</v>
      </c>
      <c r="L202" t="b">
        <v>0</v>
      </c>
      <c r="M202" t="s">
        <v>1385</v>
      </c>
      <c r="N202" t="s">
        <v>1386</v>
      </c>
      <c r="O202" t="s">
        <v>1387</v>
      </c>
      <c r="P202" t="s">
        <v>1388</v>
      </c>
      <c r="Q202" t="s">
        <v>1385</v>
      </c>
    </row>
    <row r="203" spans="1:17" x14ac:dyDescent="0.25">
      <c r="A203" t="s">
        <v>39</v>
      </c>
      <c r="B203" t="s">
        <v>1844</v>
      </c>
      <c r="C203" t="s">
        <v>328</v>
      </c>
      <c r="D203" t="s">
        <v>1423</v>
      </c>
      <c r="E203">
        <v>1315.103</v>
      </c>
      <c r="F203" t="s">
        <v>1381</v>
      </c>
      <c r="G203" t="s">
        <v>1845</v>
      </c>
      <c r="H203" t="s">
        <v>1648</v>
      </c>
      <c r="I203" t="s">
        <v>1409</v>
      </c>
      <c r="J203" t="s">
        <v>1385</v>
      </c>
      <c r="K203" t="b">
        <v>1</v>
      </c>
      <c r="L203" t="b">
        <v>0</v>
      </c>
      <c r="M203" t="s">
        <v>1385</v>
      </c>
      <c r="N203" t="s">
        <v>1386</v>
      </c>
      <c r="O203" t="s">
        <v>1387</v>
      </c>
      <c r="P203" t="s">
        <v>1388</v>
      </c>
      <c r="Q203" t="s">
        <v>1385</v>
      </c>
    </row>
    <row r="204" spans="1:17" x14ac:dyDescent="0.25">
      <c r="A204" t="s">
        <v>39</v>
      </c>
      <c r="B204" t="s">
        <v>1846</v>
      </c>
      <c r="C204" t="s">
        <v>328</v>
      </c>
      <c r="D204" t="s">
        <v>1425</v>
      </c>
      <c r="E204">
        <v>1231.328</v>
      </c>
      <c r="F204" t="s">
        <v>1381</v>
      </c>
      <c r="G204" t="s">
        <v>1847</v>
      </c>
      <c r="H204" t="s">
        <v>1648</v>
      </c>
      <c r="I204" t="s">
        <v>1413</v>
      </c>
      <c r="J204" t="s">
        <v>1385</v>
      </c>
      <c r="K204" t="b">
        <v>1</v>
      </c>
      <c r="L204" t="b">
        <v>0</v>
      </c>
      <c r="M204" t="s">
        <v>1385</v>
      </c>
      <c r="N204" t="s">
        <v>1386</v>
      </c>
      <c r="O204" t="s">
        <v>1387</v>
      </c>
      <c r="P204" t="s">
        <v>1388</v>
      </c>
      <c r="Q204" t="s">
        <v>1385</v>
      </c>
    </row>
    <row r="205" spans="1:17" x14ac:dyDescent="0.25">
      <c r="A205" t="s">
        <v>39</v>
      </c>
      <c r="B205" t="s">
        <v>1848</v>
      </c>
      <c r="C205" t="s">
        <v>328</v>
      </c>
      <c r="D205" t="s">
        <v>1428</v>
      </c>
      <c r="E205">
        <v>1767.206</v>
      </c>
      <c r="F205" t="s">
        <v>1381</v>
      </c>
      <c r="G205" t="s">
        <v>1849</v>
      </c>
      <c r="H205" t="s">
        <v>1648</v>
      </c>
      <c r="I205" t="s">
        <v>1473</v>
      </c>
      <c r="J205" t="s">
        <v>1385</v>
      </c>
      <c r="K205" t="b">
        <v>1</v>
      </c>
      <c r="L205" t="b">
        <v>0</v>
      </c>
      <c r="M205" t="s">
        <v>1385</v>
      </c>
      <c r="N205" t="s">
        <v>1386</v>
      </c>
      <c r="O205" t="s">
        <v>1387</v>
      </c>
      <c r="P205" t="s">
        <v>1388</v>
      </c>
      <c r="Q205" t="s">
        <v>1385</v>
      </c>
    </row>
    <row r="206" spans="1:17" x14ac:dyDescent="0.25">
      <c r="A206" t="s">
        <v>39</v>
      </c>
      <c r="B206" t="s">
        <v>1850</v>
      </c>
      <c r="C206" t="s">
        <v>329</v>
      </c>
      <c r="D206" t="s">
        <v>1380</v>
      </c>
      <c r="E206">
        <v>7207.89</v>
      </c>
      <c r="F206" t="s">
        <v>1464</v>
      </c>
      <c r="G206" t="s">
        <v>1851</v>
      </c>
      <c r="H206" t="s">
        <v>1648</v>
      </c>
      <c r="I206" t="s">
        <v>1649</v>
      </c>
      <c r="J206" t="s">
        <v>1385</v>
      </c>
      <c r="K206" t="b">
        <v>1</v>
      </c>
      <c r="L206" t="b">
        <v>0</v>
      </c>
      <c r="M206" t="s">
        <v>1385</v>
      </c>
      <c r="N206" t="s">
        <v>1386</v>
      </c>
      <c r="O206" t="s">
        <v>1387</v>
      </c>
      <c r="P206" t="s">
        <v>1388</v>
      </c>
      <c r="Q206" t="s">
        <v>1852</v>
      </c>
    </row>
    <row r="207" spans="1:17" x14ac:dyDescent="0.25">
      <c r="A207" t="s">
        <v>39</v>
      </c>
      <c r="B207" t="s">
        <v>1853</v>
      </c>
      <c r="C207" t="s">
        <v>329</v>
      </c>
      <c r="D207" t="s">
        <v>1391</v>
      </c>
      <c r="E207">
        <v>7553.79</v>
      </c>
      <c r="F207" t="s">
        <v>1464</v>
      </c>
      <c r="G207" t="s">
        <v>1854</v>
      </c>
      <c r="H207" t="s">
        <v>1648</v>
      </c>
      <c r="I207" t="s">
        <v>1653</v>
      </c>
      <c r="J207" t="s">
        <v>1385</v>
      </c>
      <c r="K207" t="b">
        <v>1</v>
      </c>
      <c r="L207" t="b">
        <v>0</v>
      </c>
      <c r="M207" t="s">
        <v>1385</v>
      </c>
      <c r="N207" t="s">
        <v>1386</v>
      </c>
      <c r="O207" t="s">
        <v>1387</v>
      </c>
      <c r="P207" t="s">
        <v>1388</v>
      </c>
      <c r="Q207" t="s">
        <v>1852</v>
      </c>
    </row>
    <row r="208" spans="1:17" x14ac:dyDescent="0.25">
      <c r="A208" t="s">
        <v>39</v>
      </c>
      <c r="B208" t="s">
        <v>1855</v>
      </c>
      <c r="C208" t="s">
        <v>329</v>
      </c>
      <c r="D208" t="s">
        <v>1395</v>
      </c>
      <c r="E208">
        <v>7171.936</v>
      </c>
      <c r="F208" t="s">
        <v>1464</v>
      </c>
      <c r="G208" t="s">
        <v>1856</v>
      </c>
      <c r="H208" t="s">
        <v>1648</v>
      </c>
      <c r="I208" t="s">
        <v>1656</v>
      </c>
      <c r="J208" t="s">
        <v>1385</v>
      </c>
      <c r="K208" t="b">
        <v>1</v>
      </c>
      <c r="L208" t="b">
        <v>0</v>
      </c>
      <c r="M208" t="s">
        <v>1385</v>
      </c>
      <c r="N208" t="s">
        <v>1386</v>
      </c>
      <c r="O208" t="s">
        <v>1387</v>
      </c>
      <c r="P208" t="s">
        <v>1388</v>
      </c>
      <c r="Q208" t="s">
        <v>1852</v>
      </c>
    </row>
    <row r="209" spans="1:17" x14ac:dyDescent="0.25">
      <c r="A209" t="s">
        <v>39</v>
      </c>
      <c r="B209" t="s">
        <v>1857</v>
      </c>
      <c r="C209" t="s">
        <v>329</v>
      </c>
      <c r="D209" t="s">
        <v>1399</v>
      </c>
      <c r="E209">
        <v>7698.367</v>
      </c>
      <c r="F209" t="s">
        <v>1464</v>
      </c>
      <c r="G209" t="s">
        <v>1858</v>
      </c>
      <c r="H209" t="s">
        <v>1648</v>
      </c>
      <c r="I209" t="s">
        <v>1659</v>
      </c>
      <c r="J209" t="s">
        <v>1385</v>
      </c>
      <c r="K209" t="b">
        <v>1</v>
      </c>
      <c r="L209" t="b">
        <v>0</v>
      </c>
      <c r="M209" t="s">
        <v>1385</v>
      </c>
      <c r="N209" t="s">
        <v>1386</v>
      </c>
      <c r="O209" t="s">
        <v>1387</v>
      </c>
      <c r="P209" t="s">
        <v>1388</v>
      </c>
      <c r="Q209" t="s">
        <v>1852</v>
      </c>
    </row>
    <row r="210" spans="1:17" x14ac:dyDescent="0.25">
      <c r="A210" t="s">
        <v>39</v>
      </c>
      <c r="B210" t="s">
        <v>1859</v>
      </c>
      <c r="C210" t="s">
        <v>329</v>
      </c>
      <c r="D210" t="s">
        <v>1403</v>
      </c>
      <c r="E210">
        <v>8149.941</v>
      </c>
      <c r="F210" t="s">
        <v>1464</v>
      </c>
      <c r="G210" t="s">
        <v>1860</v>
      </c>
      <c r="H210" t="s">
        <v>1648</v>
      </c>
      <c r="I210" t="s">
        <v>1384</v>
      </c>
      <c r="J210" t="s">
        <v>1385</v>
      </c>
      <c r="K210" t="b">
        <v>1</v>
      </c>
      <c r="L210" t="b">
        <v>0</v>
      </c>
      <c r="M210" t="s">
        <v>1385</v>
      </c>
      <c r="N210" t="s">
        <v>1386</v>
      </c>
      <c r="O210" t="s">
        <v>1387</v>
      </c>
      <c r="P210" t="s">
        <v>1388</v>
      </c>
      <c r="Q210" t="s">
        <v>1852</v>
      </c>
    </row>
    <row r="211" spans="1:17" x14ac:dyDescent="0.25">
      <c r="A211" t="s">
        <v>39</v>
      </c>
      <c r="B211" t="s">
        <v>1861</v>
      </c>
      <c r="C211" t="s">
        <v>329</v>
      </c>
      <c r="D211" t="s">
        <v>1407</v>
      </c>
      <c r="E211">
        <v>8178.388</v>
      </c>
      <c r="F211" t="s">
        <v>1464</v>
      </c>
      <c r="G211" t="s">
        <v>1862</v>
      </c>
      <c r="H211" t="s">
        <v>1648</v>
      </c>
      <c r="I211" t="s">
        <v>1393</v>
      </c>
      <c r="J211" t="s">
        <v>1385</v>
      </c>
      <c r="K211" t="b">
        <v>1</v>
      </c>
      <c r="L211" t="b">
        <v>0</v>
      </c>
      <c r="M211" t="s">
        <v>1385</v>
      </c>
      <c r="N211" t="s">
        <v>1386</v>
      </c>
      <c r="O211" t="s">
        <v>1387</v>
      </c>
      <c r="P211" t="s">
        <v>1388</v>
      </c>
      <c r="Q211" t="s">
        <v>1852</v>
      </c>
    </row>
    <row r="212" spans="1:17" x14ac:dyDescent="0.25">
      <c r="A212" t="s">
        <v>39</v>
      </c>
      <c r="B212" t="s">
        <v>1863</v>
      </c>
      <c r="C212" t="s">
        <v>329</v>
      </c>
      <c r="D212" t="s">
        <v>1411</v>
      </c>
      <c r="E212">
        <v>8319.522</v>
      </c>
      <c r="F212" t="s">
        <v>1464</v>
      </c>
      <c r="G212" t="s">
        <v>1864</v>
      </c>
      <c r="H212" t="s">
        <v>1648</v>
      </c>
      <c r="I212" t="s">
        <v>1397</v>
      </c>
      <c r="J212" t="s">
        <v>1385</v>
      </c>
      <c r="K212" t="b">
        <v>1</v>
      </c>
      <c r="L212" t="b">
        <v>0</v>
      </c>
      <c r="M212" t="s">
        <v>1385</v>
      </c>
      <c r="N212" t="s">
        <v>1386</v>
      </c>
      <c r="O212" t="s">
        <v>1387</v>
      </c>
      <c r="P212" t="s">
        <v>1388</v>
      </c>
      <c r="Q212" t="s">
        <v>1852</v>
      </c>
    </row>
    <row r="213" spans="1:17" x14ac:dyDescent="0.25">
      <c r="A213" t="s">
        <v>39</v>
      </c>
      <c r="B213" t="s">
        <v>1865</v>
      </c>
      <c r="C213" t="s">
        <v>329</v>
      </c>
      <c r="D213" t="s">
        <v>1415</v>
      </c>
      <c r="E213">
        <v>7760.342</v>
      </c>
      <c r="F213" t="s">
        <v>1464</v>
      </c>
      <c r="G213" t="s">
        <v>1866</v>
      </c>
      <c r="H213" t="s">
        <v>1648</v>
      </c>
      <c r="I213" t="s">
        <v>1473</v>
      </c>
      <c r="J213" t="s">
        <v>1385</v>
      </c>
      <c r="K213" t="b">
        <v>1</v>
      </c>
      <c r="L213" t="b">
        <v>0</v>
      </c>
      <c r="M213" t="s">
        <v>1385</v>
      </c>
      <c r="N213" t="s">
        <v>1386</v>
      </c>
      <c r="O213" t="s">
        <v>1387</v>
      </c>
      <c r="P213" t="s">
        <v>1388</v>
      </c>
      <c r="Q213" t="s">
        <v>1852</v>
      </c>
    </row>
    <row r="214" spans="1:17" x14ac:dyDescent="0.25">
      <c r="A214" t="s">
        <v>39</v>
      </c>
      <c r="B214" t="s">
        <v>1867</v>
      </c>
      <c r="C214" t="s">
        <v>329</v>
      </c>
      <c r="D214" t="s">
        <v>1419</v>
      </c>
      <c r="E214">
        <v>8344.09</v>
      </c>
      <c r="F214" t="s">
        <v>1464</v>
      </c>
      <c r="G214" t="s">
        <v>1868</v>
      </c>
      <c r="H214" t="s">
        <v>1648</v>
      </c>
      <c r="I214" t="s">
        <v>1405</v>
      </c>
      <c r="J214" t="s">
        <v>1385</v>
      </c>
      <c r="K214" t="b">
        <v>1</v>
      </c>
      <c r="L214" t="b">
        <v>0</v>
      </c>
      <c r="M214" t="s">
        <v>1385</v>
      </c>
      <c r="N214" t="s">
        <v>1386</v>
      </c>
      <c r="O214" t="s">
        <v>1387</v>
      </c>
      <c r="P214" t="s">
        <v>1388</v>
      </c>
      <c r="Q214" t="s">
        <v>1852</v>
      </c>
    </row>
    <row r="215" spans="1:17" x14ac:dyDescent="0.25">
      <c r="A215" t="s">
        <v>39</v>
      </c>
      <c r="B215" t="s">
        <v>1869</v>
      </c>
      <c r="C215" t="s">
        <v>329</v>
      </c>
      <c r="D215" t="s">
        <v>1423</v>
      </c>
      <c r="E215">
        <v>8076.672</v>
      </c>
      <c r="F215" t="s">
        <v>1464</v>
      </c>
      <c r="G215" t="s">
        <v>1870</v>
      </c>
      <c r="H215" t="s">
        <v>1648</v>
      </c>
      <c r="I215" t="s">
        <v>1409</v>
      </c>
      <c r="J215" t="s">
        <v>1385</v>
      </c>
      <c r="K215" t="b">
        <v>1</v>
      </c>
      <c r="L215" t="b">
        <v>0</v>
      </c>
      <c r="M215" t="s">
        <v>1385</v>
      </c>
      <c r="N215" t="s">
        <v>1386</v>
      </c>
      <c r="O215" t="s">
        <v>1387</v>
      </c>
      <c r="P215" t="s">
        <v>1388</v>
      </c>
      <c r="Q215" t="s">
        <v>1852</v>
      </c>
    </row>
    <row r="216" spans="1:17" x14ac:dyDescent="0.25">
      <c r="A216" t="s">
        <v>39</v>
      </c>
      <c r="B216" t="s">
        <v>1871</v>
      </c>
      <c r="C216" t="s">
        <v>329</v>
      </c>
      <c r="D216" t="s">
        <v>1425</v>
      </c>
      <c r="E216">
        <v>8128.541</v>
      </c>
      <c r="F216" t="s">
        <v>1464</v>
      </c>
      <c r="G216" t="s">
        <v>1872</v>
      </c>
      <c r="H216" t="s">
        <v>1648</v>
      </c>
      <c r="I216" t="s">
        <v>1413</v>
      </c>
      <c r="J216" t="s">
        <v>1385</v>
      </c>
      <c r="K216" t="b">
        <v>1</v>
      </c>
      <c r="L216" t="b">
        <v>0</v>
      </c>
      <c r="M216" t="s">
        <v>1385</v>
      </c>
      <c r="N216" t="s">
        <v>1386</v>
      </c>
      <c r="O216" t="s">
        <v>1387</v>
      </c>
      <c r="P216" t="s">
        <v>1388</v>
      </c>
      <c r="Q216" t="s">
        <v>1852</v>
      </c>
    </row>
    <row r="217" spans="1:17" x14ac:dyDescent="0.25">
      <c r="A217" t="s">
        <v>39</v>
      </c>
      <c r="B217" t="s">
        <v>1873</v>
      </c>
      <c r="C217" t="s">
        <v>329</v>
      </c>
      <c r="D217" t="s">
        <v>1428</v>
      </c>
      <c r="E217">
        <v>12171.814</v>
      </c>
      <c r="F217" t="s">
        <v>1464</v>
      </c>
      <c r="G217" t="s">
        <v>1874</v>
      </c>
      <c r="H217" t="s">
        <v>1648</v>
      </c>
      <c r="I217" t="s">
        <v>1473</v>
      </c>
      <c r="J217" t="s">
        <v>1385</v>
      </c>
      <c r="K217" t="b">
        <v>1</v>
      </c>
      <c r="L217" t="b">
        <v>0</v>
      </c>
      <c r="M217" t="s">
        <v>1385</v>
      </c>
      <c r="N217" t="s">
        <v>1386</v>
      </c>
      <c r="O217" t="s">
        <v>1387</v>
      </c>
      <c r="P217" t="s">
        <v>1388</v>
      </c>
      <c r="Q217" t="s">
        <v>1875</v>
      </c>
    </row>
    <row r="218" spans="1:17" x14ac:dyDescent="0.25">
      <c r="A218" t="s">
        <v>39</v>
      </c>
      <c r="B218" t="s">
        <v>1876</v>
      </c>
      <c r="C218" t="s">
        <v>330</v>
      </c>
      <c r="D218" t="s">
        <v>1380</v>
      </c>
      <c r="E218">
        <v>1551.147</v>
      </c>
      <c r="F218" t="s">
        <v>1381</v>
      </c>
      <c r="G218" t="s">
        <v>1877</v>
      </c>
      <c r="H218" t="s">
        <v>1648</v>
      </c>
      <c r="I218" t="s">
        <v>1649</v>
      </c>
      <c r="J218" t="s">
        <v>1385</v>
      </c>
      <c r="K218" t="b">
        <v>1</v>
      </c>
      <c r="L218" t="b">
        <v>0</v>
      </c>
      <c r="M218" t="s">
        <v>1385</v>
      </c>
      <c r="N218" t="s">
        <v>1386</v>
      </c>
      <c r="O218" t="s">
        <v>1387</v>
      </c>
      <c r="P218" t="s">
        <v>1388</v>
      </c>
      <c r="Q218" t="s">
        <v>1385</v>
      </c>
    </row>
    <row r="219" spans="1:17" x14ac:dyDescent="0.25">
      <c r="A219" t="s">
        <v>39</v>
      </c>
      <c r="B219" t="s">
        <v>1878</v>
      </c>
      <c r="C219" t="s">
        <v>330</v>
      </c>
      <c r="D219" t="s">
        <v>1391</v>
      </c>
      <c r="E219">
        <v>1221.523</v>
      </c>
      <c r="F219" t="s">
        <v>1381</v>
      </c>
      <c r="G219" t="s">
        <v>1879</v>
      </c>
      <c r="H219" t="s">
        <v>1648</v>
      </c>
      <c r="I219" t="s">
        <v>1653</v>
      </c>
      <c r="J219" t="s">
        <v>1385</v>
      </c>
      <c r="K219" t="b">
        <v>1</v>
      </c>
      <c r="L219" t="b">
        <v>0</v>
      </c>
      <c r="M219" t="s">
        <v>1385</v>
      </c>
      <c r="N219" t="s">
        <v>1386</v>
      </c>
      <c r="O219" t="s">
        <v>1387</v>
      </c>
      <c r="P219" t="s">
        <v>1388</v>
      </c>
      <c r="Q219" t="s">
        <v>1385</v>
      </c>
    </row>
    <row r="220" spans="1:17" x14ac:dyDescent="0.25">
      <c r="A220" t="s">
        <v>39</v>
      </c>
      <c r="B220" t="s">
        <v>1880</v>
      </c>
      <c r="C220" t="s">
        <v>330</v>
      </c>
      <c r="D220" t="s">
        <v>1395</v>
      </c>
      <c r="E220">
        <v>1416.483</v>
      </c>
      <c r="F220" t="s">
        <v>1381</v>
      </c>
      <c r="G220" t="s">
        <v>1881</v>
      </c>
      <c r="H220" t="s">
        <v>1648</v>
      </c>
      <c r="I220" t="s">
        <v>1656</v>
      </c>
      <c r="J220" t="s">
        <v>1385</v>
      </c>
      <c r="K220" t="b">
        <v>1</v>
      </c>
      <c r="L220" t="b">
        <v>0</v>
      </c>
      <c r="M220" t="s">
        <v>1385</v>
      </c>
      <c r="N220" t="s">
        <v>1386</v>
      </c>
      <c r="O220" t="s">
        <v>1387</v>
      </c>
      <c r="P220" t="s">
        <v>1388</v>
      </c>
      <c r="Q220" t="s">
        <v>1385</v>
      </c>
    </row>
    <row r="221" spans="1:17" x14ac:dyDescent="0.25">
      <c r="A221" t="s">
        <v>39</v>
      </c>
      <c r="B221" t="s">
        <v>1882</v>
      </c>
      <c r="C221" t="s">
        <v>330</v>
      </c>
      <c r="D221" t="s">
        <v>1399</v>
      </c>
      <c r="E221">
        <v>1840.518</v>
      </c>
      <c r="F221" t="s">
        <v>1381</v>
      </c>
      <c r="G221" t="s">
        <v>1883</v>
      </c>
      <c r="H221" t="s">
        <v>1648</v>
      </c>
      <c r="I221" t="s">
        <v>1659</v>
      </c>
      <c r="J221" t="s">
        <v>1385</v>
      </c>
      <c r="K221" t="b">
        <v>1</v>
      </c>
      <c r="L221" t="b">
        <v>0</v>
      </c>
      <c r="M221" t="s">
        <v>1385</v>
      </c>
      <c r="N221" t="s">
        <v>1386</v>
      </c>
      <c r="O221" t="s">
        <v>1387</v>
      </c>
      <c r="P221" t="s">
        <v>1388</v>
      </c>
      <c r="Q221" t="s">
        <v>1385</v>
      </c>
    </row>
    <row r="222" spans="1:17" x14ac:dyDescent="0.25">
      <c r="A222" t="s">
        <v>39</v>
      </c>
      <c r="B222" t="s">
        <v>1884</v>
      </c>
      <c r="C222" t="s">
        <v>330</v>
      </c>
      <c r="D222" t="s">
        <v>1403</v>
      </c>
      <c r="E222">
        <v>2709.17</v>
      </c>
      <c r="F222" t="s">
        <v>1381</v>
      </c>
      <c r="G222" t="s">
        <v>1885</v>
      </c>
      <c r="H222" t="s">
        <v>1648</v>
      </c>
      <c r="I222" t="s">
        <v>1384</v>
      </c>
      <c r="J222" t="s">
        <v>1385</v>
      </c>
      <c r="K222" t="b">
        <v>1</v>
      </c>
      <c r="L222" t="b">
        <v>0</v>
      </c>
      <c r="M222" t="s">
        <v>1385</v>
      </c>
      <c r="N222" t="s">
        <v>1386</v>
      </c>
      <c r="O222" t="s">
        <v>1387</v>
      </c>
      <c r="P222" t="s">
        <v>1388</v>
      </c>
      <c r="Q222" t="s">
        <v>1385</v>
      </c>
    </row>
    <row r="223" spans="1:17" x14ac:dyDescent="0.25">
      <c r="A223" t="s">
        <v>39</v>
      </c>
      <c r="B223" t="s">
        <v>1886</v>
      </c>
      <c r="C223" t="s">
        <v>330</v>
      </c>
      <c r="D223" t="s">
        <v>1407</v>
      </c>
      <c r="E223">
        <v>2244.127</v>
      </c>
      <c r="F223" t="s">
        <v>1381</v>
      </c>
      <c r="G223" t="s">
        <v>1887</v>
      </c>
      <c r="H223" t="s">
        <v>1648</v>
      </c>
      <c r="I223" t="s">
        <v>1393</v>
      </c>
      <c r="J223" t="s">
        <v>1385</v>
      </c>
      <c r="K223" t="b">
        <v>1</v>
      </c>
      <c r="L223" t="b">
        <v>0</v>
      </c>
      <c r="M223" t="s">
        <v>1385</v>
      </c>
      <c r="N223" t="s">
        <v>1386</v>
      </c>
      <c r="O223" t="s">
        <v>1387</v>
      </c>
      <c r="P223" t="s">
        <v>1388</v>
      </c>
      <c r="Q223" t="s">
        <v>1385</v>
      </c>
    </row>
    <row r="224" spans="1:17" x14ac:dyDescent="0.25">
      <c r="A224" t="s">
        <v>39</v>
      </c>
      <c r="B224" t="s">
        <v>1888</v>
      </c>
      <c r="C224" t="s">
        <v>330</v>
      </c>
      <c r="D224" t="s">
        <v>1411</v>
      </c>
      <c r="E224">
        <v>2550.101</v>
      </c>
      <c r="F224" t="s">
        <v>1381</v>
      </c>
      <c r="G224" t="s">
        <v>1889</v>
      </c>
      <c r="H224" t="s">
        <v>1648</v>
      </c>
      <c r="I224" t="s">
        <v>1397</v>
      </c>
      <c r="J224" t="s">
        <v>1385</v>
      </c>
      <c r="K224" t="b">
        <v>1</v>
      </c>
      <c r="L224" t="b">
        <v>0</v>
      </c>
      <c r="M224" t="s">
        <v>1385</v>
      </c>
      <c r="N224" t="s">
        <v>1386</v>
      </c>
      <c r="O224" t="s">
        <v>1387</v>
      </c>
      <c r="P224" t="s">
        <v>1388</v>
      </c>
      <c r="Q224" t="s">
        <v>1385</v>
      </c>
    </row>
    <row r="225" spans="1:17" x14ac:dyDescent="0.25">
      <c r="A225" t="s">
        <v>39</v>
      </c>
      <c r="B225" t="s">
        <v>1890</v>
      </c>
      <c r="C225" t="s">
        <v>330</v>
      </c>
      <c r="D225" t="s">
        <v>1415</v>
      </c>
      <c r="E225">
        <v>2540.861</v>
      </c>
      <c r="F225" t="s">
        <v>1381</v>
      </c>
      <c r="G225" t="s">
        <v>1891</v>
      </c>
      <c r="H225" t="s">
        <v>1648</v>
      </c>
      <c r="I225" t="s">
        <v>1473</v>
      </c>
      <c r="J225" t="s">
        <v>1385</v>
      </c>
      <c r="K225" t="b">
        <v>1</v>
      </c>
      <c r="L225" t="b">
        <v>0</v>
      </c>
      <c r="M225" t="s">
        <v>1385</v>
      </c>
      <c r="N225" t="s">
        <v>1386</v>
      </c>
      <c r="O225" t="s">
        <v>1387</v>
      </c>
      <c r="P225" t="s">
        <v>1388</v>
      </c>
      <c r="Q225" t="s">
        <v>1385</v>
      </c>
    </row>
    <row r="226" spans="1:17" x14ac:dyDescent="0.25">
      <c r="A226" t="s">
        <v>39</v>
      </c>
      <c r="B226" t="s">
        <v>1892</v>
      </c>
      <c r="C226" t="s">
        <v>330</v>
      </c>
      <c r="D226" t="s">
        <v>1419</v>
      </c>
      <c r="E226">
        <v>2501.643</v>
      </c>
      <c r="F226" t="s">
        <v>1381</v>
      </c>
      <c r="G226" t="s">
        <v>1893</v>
      </c>
      <c r="H226" t="s">
        <v>1648</v>
      </c>
      <c r="I226" t="s">
        <v>1405</v>
      </c>
      <c r="J226" t="s">
        <v>1385</v>
      </c>
      <c r="K226" t="b">
        <v>1</v>
      </c>
      <c r="L226" t="b">
        <v>0</v>
      </c>
      <c r="M226" t="s">
        <v>1385</v>
      </c>
      <c r="N226" t="s">
        <v>1386</v>
      </c>
      <c r="O226" t="s">
        <v>1387</v>
      </c>
      <c r="P226" t="s">
        <v>1388</v>
      </c>
      <c r="Q226" t="s">
        <v>1385</v>
      </c>
    </row>
    <row r="227" spans="1:17" x14ac:dyDescent="0.25">
      <c r="A227" t="s">
        <v>39</v>
      </c>
      <c r="B227" t="s">
        <v>1894</v>
      </c>
      <c r="C227" t="s">
        <v>330</v>
      </c>
      <c r="D227" t="s">
        <v>1423</v>
      </c>
      <c r="E227">
        <v>2041.795</v>
      </c>
      <c r="F227" t="s">
        <v>1381</v>
      </c>
      <c r="G227" t="s">
        <v>1895</v>
      </c>
      <c r="H227" t="s">
        <v>1648</v>
      </c>
      <c r="I227" t="s">
        <v>1409</v>
      </c>
      <c r="J227" t="s">
        <v>1385</v>
      </c>
      <c r="K227" t="b">
        <v>1</v>
      </c>
      <c r="L227" t="b">
        <v>0</v>
      </c>
      <c r="M227" t="s">
        <v>1385</v>
      </c>
      <c r="N227" t="s">
        <v>1386</v>
      </c>
      <c r="O227" t="s">
        <v>1387</v>
      </c>
      <c r="P227" t="s">
        <v>1388</v>
      </c>
      <c r="Q227" t="s">
        <v>1385</v>
      </c>
    </row>
    <row r="228" spans="1:17" x14ac:dyDescent="0.25">
      <c r="A228" t="s">
        <v>39</v>
      </c>
      <c r="B228" t="s">
        <v>1896</v>
      </c>
      <c r="C228" t="s">
        <v>330</v>
      </c>
      <c r="D228" t="s">
        <v>1425</v>
      </c>
      <c r="E228">
        <v>2498.013</v>
      </c>
      <c r="F228" t="s">
        <v>1381</v>
      </c>
      <c r="G228" t="s">
        <v>1897</v>
      </c>
      <c r="H228" t="s">
        <v>1648</v>
      </c>
      <c r="I228" t="s">
        <v>1413</v>
      </c>
      <c r="J228" t="s">
        <v>1385</v>
      </c>
      <c r="K228" t="b">
        <v>1</v>
      </c>
      <c r="L228" t="b">
        <v>0</v>
      </c>
      <c r="M228" t="s">
        <v>1385</v>
      </c>
      <c r="N228" t="s">
        <v>1386</v>
      </c>
      <c r="O228" t="s">
        <v>1387</v>
      </c>
      <c r="P228" t="s">
        <v>1388</v>
      </c>
      <c r="Q228" t="s">
        <v>1385</v>
      </c>
    </row>
    <row r="229" spans="1:17" x14ac:dyDescent="0.25">
      <c r="A229" t="s">
        <v>39</v>
      </c>
      <c r="B229" t="s">
        <v>1898</v>
      </c>
      <c r="C229" t="s">
        <v>330</v>
      </c>
      <c r="D229" t="s">
        <v>1428</v>
      </c>
      <c r="E229">
        <v>2540.759</v>
      </c>
      <c r="F229" t="s">
        <v>1381</v>
      </c>
      <c r="G229" t="s">
        <v>1899</v>
      </c>
      <c r="H229" t="s">
        <v>1648</v>
      </c>
      <c r="I229" t="s">
        <v>1473</v>
      </c>
      <c r="J229" t="s">
        <v>1385</v>
      </c>
      <c r="K229" t="b">
        <v>1</v>
      </c>
      <c r="L229" t="b">
        <v>0</v>
      </c>
      <c r="M229" t="s">
        <v>1385</v>
      </c>
      <c r="N229" t="s">
        <v>1386</v>
      </c>
      <c r="O229" t="s">
        <v>1387</v>
      </c>
      <c r="P229" t="s">
        <v>1388</v>
      </c>
      <c r="Q229" t="s">
        <v>1385</v>
      </c>
    </row>
    <row r="230" spans="1:17" x14ac:dyDescent="0.25">
      <c r="A230" t="s">
        <v>39</v>
      </c>
      <c r="B230" t="s">
        <v>1900</v>
      </c>
      <c r="C230" t="s">
        <v>331</v>
      </c>
      <c r="D230" t="s">
        <v>1380</v>
      </c>
      <c r="E230">
        <v>24357.359</v>
      </c>
      <c r="F230" t="s">
        <v>1464</v>
      </c>
      <c r="G230" t="s">
        <v>1901</v>
      </c>
      <c r="H230" t="s">
        <v>1648</v>
      </c>
      <c r="I230" t="s">
        <v>1649</v>
      </c>
      <c r="J230" t="s">
        <v>1385</v>
      </c>
      <c r="K230" t="b">
        <v>1</v>
      </c>
      <c r="L230" t="b">
        <v>0</v>
      </c>
      <c r="M230" t="s">
        <v>1385</v>
      </c>
      <c r="N230" t="s">
        <v>1386</v>
      </c>
      <c r="O230" t="s">
        <v>1387</v>
      </c>
      <c r="P230" t="s">
        <v>1388</v>
      </c>
      <c r="Q230" t="s">
        <v>1902</v>
      </c>
    </row>
    <row r="231" spans="1:17" x14ac:dyDescent="0.25">
      <c r="A231" t="s">
        <v>39</v>
      </c>
      <c r="B231" t="s">
        <v>1903</v>
      </c>
      <c r="C231" t="s">
        <v>331</v>
      </c>
      <c r="D231" t="s">
        <v>1391</v>
      </c>
      <c r="E231">
        <v>25566.601</v>
      </c>
      <c r="F231" t="s">
        <v>1464</v>
      </c>
      <c r="G231" t="s">
        <v>1904</v>
      </c>
      <c r="H231" t="s">
        <v>1648</v>
      </c>
      <c r="I231" t="s">
        <v>1653</v>
      </c>
      <c r="J231" t="s">
        <v>1385</v>
      </c>
      <c r="K231" t="b">
        <v>1</v>
      </c>
      <c r="L231" t="b">
        <v>0</v>
      </c>
      <c r="M231" t="s">
        <v>1385</v>
      </c>
      <c r="N231" t="s">
        <v>1386</v>
      </c>
      <c r="O231" t="s">
        <v>1387</v>
      </c>
      <c r="P231" t="s">
        <v>1388</v>
      </c>
      <c r="Q231" t="s">
        <v>1902</v>
      </c>
    </row>
    <row r="232" spans="1:17" x14ac:dyDescent="0.25">
      <c r="A232" t="s">
        <v>39</v>
      </c>
      <c r="B232" t="s">
        <v>1905</v>
      </c>
      <c r="C232" t="s">
        <v>331</v>
      </c>
      <c r="D232" t="s">
        <v>1395</v>
      </c>
      <c r="E232">
        <v>27303.219</v>
      </c>
      <c r="F232" t="s">
        <v>1464</v>
      </c>
      <c r="G232" t="s">
        <v>1906</v>
      </c>
      <c r="H232" t="s">
        <v>1648</v>
      </c>
      <c r="I232" t="s">
        <v>1656</v>
      </c>
      <c r="J232" t="s">
        <v>1385</v>
      </c>
      <c r="K232" t="b">
        <v>1</v>
      </c>
      <c r="L232" t="b">
        <v>0</v>
      </c>
      <c r="M232" t="s">
        <v>1385</v>
      </c>
      <c r="N232" t="s">
        <v>1386</v>
      </c>
      <c r="O232" t="s">
        <v>1387</v>
      </c>
      <c r="P232" t="s">
        <v>1388</v>
      </c>
      <c r="Q232" t="s">
        <v>1902</v>
      </c>
    </row>
    <row r="233" spans="1:17" x14ac:dyDescent="0.25">
      <c r="A233" t="s">
        <v>39</v>
      </c>
      <c r="B233" t="s">
        <v>1907</v>
      </c>
      <c r="C233" t="s">
        <v>331</v>
      </c>
      <c r="D233" t="s">
        <v>1399</v>
      </c>
      <c r="E233">
        <v>27875.268</v>
      </c>
      <c r="F233" t="s">
        <v>1464</v>
      </c>
      <c r="G233" t="s">
        <v>1908</v>
      </c>
      <c r="H233" t="s">
        <v>1648</v>
      </c>
      <c r="I233" t="s">
        <v>1659</v>
      </c>
      <c r="J233" t="s">
        <v>1385</v>
      </c>
      <c r="K233" t="b">
        <v>1</v>
      </c>
      <c r="L233" t="b">
        <v>0</v>
      </c>
      <c r="M233" t="s">
        <v>1385</v>
      </c>
      <c r="N233" t="s">
        <v>1386</v>
      </c>
      <c r="O233" t="s">
        <v>1387</v>
      </c>
      <c r="P233" t="s">
        <v>1388</v>
      </c>
      <c r="Q233" t="s">
        <v>1902</v>
      </c>
    </row>
    <row r="234" spans="1:17" x14ac:dyDescent="0.25">
      <c r="A234" t="s">
        <v>39</v>
      </c>
      <c r="B234" t="s">
        <v>1909</v>
      </c>
      <c r="C234" t="s">
        <v>331</v>
      </c>
      <c r="D234" t="s">
        <v>1403</v>
      </c>
      <c r="E234">
        <v>29034.426</v>
      </c>
      <c r="F234" t="s">
        <v>1464</v>
      </c>
      <c r="G234" t="s">
        <v>1910</v>
      </c>
      <c r="H234" t="s">
        <v>1648</v>
      </c>
      <c r="I234" t="s">
        <v>1384</v>
      </c>
      <c r="J234" t="s">
        <v>1385</v>
      </c>
      <c r="K234" t="b">
        <v>1</v>
      </c>
      <c r="L234" t="b">
        <v>0</v>
      </c>
      <c r="M234" t="s">
        <v>1385</v>
      </c>
      <c r="N234" t="s">
        <v>1386</v>
      </c>
      <c r="O234" t="s">
        <v>1387</v>
      </c>
      <c r="P234" t="s">
        <v>1388</v>
      </c>
      <c r="Q234" t="s">
        <v>1902</v>
      </c>
    </row>
    <row r="235" spans="1:17" x14ac:dyDescent="0.25">
      <c r="A235" t="s">
        <v>39</v>
      </c>
      <c r="B235" t="s">
        <v>1911</v>
      </c>
      <c r="C235" t="s">
        <v>331</v>
      </c>
      <c r="D235" t="s">
        <v>1407</v>
      </c>
      <c r="E235">
        <v>28333.513</v>
      </c>
      <c r="F235" t="s">
        <v>1464</v>
      </c>
      <c r="G235" t="s">
        <v>1912</v>
      </c>
      <c r="H235" t="s">
        <v>1648</v>
      </c>
      <c r="I235" t="s">
        <v>1393</v>
      </c>
      <c r="J235" t="s">
        <v>1385</v>
      </c>
      <c r="K235" t="b">
        <v>1</v>
      </c>
      <c r="L235" t="b">
        <v>0</v>
      </c>
      <c r="M235" t="s">
        <v>1385</v>
      </c>
      <c r="N235" t="s">
        <v>1386</v>
      </c>
      <c r="O235" t="s">
        <v>1387</v>
      </c>
      <c r="P235" t="s">
        <v>1388</v>
      </c>
      <c r="Q235" t="s">
        <v>1902</v>
      </c>
    </row>
    <row r="236" spans="1:17" x14ac:dyDescent="0.25">
      <c r="A236" t="s">
        <v>39</v>
      </c>
      <c r="B236" t="s">
        <v>1913</v>
      </c>
      <c r="C236" t="s">
        <v>331</v>
      </c>
      <c r="D236" t="s">
        <v>1411</v>
      </c>
      <c r="E236">
        <v>27641.832</v>
      </c>
      <c r="F236" t="s">
        <v>1464</v>
      </c>
      <c r="G236" t="s">
        <v>1914</v>
      </c>
      <c r="H236" t="s">
        <v>1648</v>
      </c>
      <c r="I236" t="s">
        <v>1397</v>
      </c>
      <c r="J236" t="s">
        <v>1385</v>
      </c>
      <c r="K236" t="b">
        <v>1</v>
      </c>
      <c r="L236" t="b">
        <v>0</v>
      </c>
      <c r="M236" t="s">
        <v>1385</v>
      </c>
      <c r="N236" t="s">
        <v>1386</v>
      </c>
      <c r="O236" t="s">
        <v>1387</v>
      </c>
      <c r="P236" t="s">
        <v>1388</v>
      </c>
      <c r="Q236" t="s">
        <v>1902</v>
      </c>
    </row>
    <row r="237" spans="1:17" x14ac:dyDescent="0.25">
      <c r="A237" t="s">
        <v>39</v>
      </c>
      <c r="B237" t="s">
        <v>1915</v>
      </c>
      <c r="C237" t="s">
        <v>331</v>
      </c>
      <c r="D237" t="s">
        <v>1415</v>
      </c>
      <c r="E237">
        <v>29859.988</v>
      </c>
      <c r="F237" t="s">
        <v>1464</v>
      </c>
      <c r="G237" t="s">
        <v>1916</v>
      </c>
      <c r="H237" t="s">
        <v>1648</v>
      </c>
      <c r="I237" t="s">
        <v>1473</v>
      </c>
      <c r="J237" t="s">
        <v>1385</v>
      </c>
      <c r="K237" t="b">
        <v>1</v>
      </c>
      <c r="L237" t="b">
        <v>0</v>
      </c>
      <c r="M237" t="s">
        <v>1385</v>
      </c>
      <c r="N237" t="s">
        <v>1386</v>
      </c>
      <c r="O237" t="s">
        <v>1387</v>
      </c>
      <c r="P237" t="s">
        <v>1388</v>
      </c>
      <c r="Q237" t="s">
        <v>1902</v>
      </c>
    </row>
    <row r="238" spans="1:17" x14ac:dyDescent="0.25">
      <c r="A238" t="s">
        <v>39</v>
      </c>
      <c r="B238" t="s">
        <v>1917</v>
      </c>
      <c r="C238" t="s">
        <v>331</v>
      </c>
      <c r="D238" t="s">
        <v>1419</v>
      </c>
      <c r="E238">
        <v>33145.954</v>
      </c>
      <c r="F238" t="s">
        <v>1464</v>
      </c>
      <c r="G238" t="s">
        <v>1918</v>
      </c>
      <c r="H238" t="s">
        <v>1648</v>
      </c>
      <c r="I238" t="s">
        <v>1405</v>
      </c>
      <c r="J238" t="s">
        <v>1385</v>
      </c>
      <c r="K238" t="b">
        <v>1</v>
      </c>
      <c r="L238" t="b">
        <v>0</v>
      </c>
      <c r="M238" t="s">
        <v>1385</v>
      </c>
      <c r="N238" t="s">
        <v>1386</v>
      </c>
      <c r="O238" t="s">
        <v>1387</v>
      </c>
      <c r="P238" t="s">
        <v>1388</v>
      </c>
      <c r="Q238" t="s">
        <v>1902</v>
      </c>
    </row>
    <row r="239" spans="1:17" x14ac:dyDescent="0.25">
      <c r="A239" t="s">
        <v>39</v>
      </c>
      <c r="B239" t="s">
        <v>1919</v>
      </c>
      <c r="C239" t="s">
        <v>331</v>
      </c>
      <c r="D239" t="s">
        <v>1423</v>
      </c>
      <c r="E239">
        <v>30117.227</v>
      </c>
      <c r="F239" t="s">
        <v>1464</v>
      </c>
      <c r="G239" t="s">
        <v>1920</v>
      </c>
      <c r="H239" t="s">
        <v>1648</v>
      </c>
      <c r="I239" t="s">
        <v>1409</v>
      </c>
      <c r="J239" t="s">
        <v>1385</v>
      </c>
      <c r="K239" t="b">
        <v>1</v>
      </c>
      <c r="L239" t="b">
        <v>0</v>
      </c>
      <c r="M239" t="s">
        <v>1385</v>
      </c>
      <c r="N239" t="s">
        <v>1386</v>
      </c>
      <c r="O239" t="s">
        <v>1387</v>
      </c>
      <c r="P239" t="s">
        <v>1388</v>
      </c>
      <c r="Q239" t="s">
        <v>1902</v>
      </c>
    </row>
    <row r="240" spans="1:17" x14ac:dyDescent="0.25">
      <c r="A240" t="s">
        <v>39</v>
      </c>
      <c r="B240" t="s">
        <v>1921</v>
      </c>
      <c r="C240" t="s">
        <v>331</v>
      </c>
      <c r="D240" t="s">
        <v>1425</v>
      </c>
      <c r="E240">
        <v>30946.877</v>
      </c>
      <c r="F240" t="s">
        <v>1464</v>
      </c>
      <c r="G240" t="s">
        <v>1922</v>
      </c>
      <c r="H240" t="s">
        <v>1648</v>
      </c>
      <c r="I240" t="s">
        <v>1413</v>
      </c>
      <c r="J240" t="s">
        <v>1385</v>
      </c>
      <c r="K240" t="b">
        <v>1</v>
      </c>
      <c r="L240" t="b">
        <v>0</v>
      </c>
      <c r="M240" t="s">
        <v>1385</v>
      </c>
      <c r="N240" t="s">
        <v>1386</v>
      </c>
      <c r="O240" t="s">
        <v>1387</v>
      </c>
      <c r="P240" t="s">
        <v>1388</v>
      </c>
      <c r="Q240" t="s">
        <v>1902</v>
      </c>
    </row>
    <row r="241" spans="1:17" x14ac:dyDescent="0.25">
      <c r="A241" t="s">
        <v>39</v>
      </c>
      <c r="B241" t="s">
        <v>1923</v>
      </c>
      <c r="C241" t="s">
        <v>331</v>
      </c>
      <c r="D241" t="s">
        <v>1428</v>
      </c>
      <c r="E241">
        <v>32994.068</v>
      </c>
      <c r="F241" t="s">
        <v>1464</v>
      </c>
      <c r="G241" t="s">
        <v>1924</v>
      </c>
      <c r="H241" t="s">
        <v>1648</v>
      </c>
      <c r="I241" t="s">
        <v>1473</v>
      </c>
      <c r="J241" t="s">
        <v>1385</v>
      </c>
      <c r="K241" t="b">
        <v>1</v>
      </c>
      <c r="L241" t="b">
        <v>0</v>
      </c>
      <c r="M241" t="s">
        <v>1385</v>
      </c>
      <c r="N241" t="s">
        <v>1386</v>
      </c>
      <c r="O241" t="s">
        <v>1387</v>
      </c>
      <c r="P241" t="s">
        <v>1388</v>
      </c>
      <c r="Q241" t="s">
        <v>1925</v>
      </c>
    </row>
    <row r="242" spans="1:17" x14ac:dyDescent="0.25">
      <c r="A242" t="s">
        <v>39</v>
      </c>
      <c r="B242" t="s">
        <v>1926</v>
      </c>
      <c r="C242" t="s">
        <v>334</v>
      </c>
      <c r="D242" t="s">
        <v>1380</v>
      </c>
      <c r="E242">
        <v>8625.552</v>
      </c>
      <c r="F242" t="s">
        <v>1464</v>
      </c>
      <c r="G242" t="s">
        <v>1927</v>
      </c>
      <c r="H242" t="s">
        <v>1648</v>
      </c>
      <c r="I242" t="s">
        <v>1649</v>
      </c>
      <c r="J242" t="s">
        <v>1385</v>
      </c>
      <c r="K242" t="b">
        <v>1</v>
      </c>
      <c r="L242" t="b">
        <v>0</v>
      </c>
      <c r="M242" t="s">
        <v>1385</v>
      </c>
      <c r="N242" t="s">
        <v>1386</v>
      </c>
      <c r="O242" t="s">
        <v>1387</v>
      </c>
      <c r="P242" t="s">
        <v>1388</v>
      </c>
      <c r="Q242" t="s">
        <v>1928</v>
      </c>
    </row>
    <row r="243" spans="1:17" x14ac:dyDescent="0.25">
      <c r="A243" t="s">
        <v>39</v>
      </c>
      <c r="B243" t="s">
        <v>1929</v>
      </c>
      <c r="C243" t="s">
        <v>334</v>
      </c>
      <c r="D243" t="s">
        <v>1391</v>
      </c>
      <c r="E243">
        <v>8785.54</v>
      </c>
      <c r="F243" t="s">
        <v>1464</v>
      </c>
      <c r="G243" t="s">
        <v>1930</v>
      </c>
      <c r="H243" t="s">
        <v>1648</v>
      </c>
      <c r="I243" t="s">
        <v>1653</v>
      </c>
      <c r="J243" t="s">
        <v>1385</v>
      </c>
      <c r="K243" t="b">
        <v>1</v>
      </c>
      <c r="L243" t="b">
        <v>0</v>
      </c>
      <c r="M243" t="s">
        <v>1385</v>
      </c>
      <c r="N243" t="s">
        <v>1386</v>
      </c>
      <c r="O243" t="s">
        <v>1387</v>
      </c>
      <c r="P243" t="s">
        <v>1388</v>
      </c>
      <c r="Q243" t="s">
        <v>1928</v>
      </c>
    </row>
    <row r="244" spans="1:17" x14ac:dyDescent="0.25">
      <c r="A244" t="s">
        <v>39</v>
      </c>
      <c r="B244" t="s">
        <v>1931</v>
      </c>
      <c r="C244" t="s">
        <v>334</v>
      </c>
      <c r="D244" t="s">
        <v>1395</v>
      </c>
      <c r="E244">
        <v>9462.491</v>
      </c>
      <c r="F244" t="s">
        <v>1464</v>
      </c>
      <c r="G244" t="s">
        <v>1932</v>
      </c>
      <c r="H244" t="s">
        <v>1648</v>
      </c>
      <c r="I244" t="s">
        <v>1656</v>
      </c>
      <c r="J244" t="s">
        <v>1385</v>
      </c>
      <c r="K244" t="b">
        <v>1</v>
      </c>
      <c r="L244" t="b">
        <v>0</v>
      </c>
      <c r="M244" t="s">
        <v>1385</v>
      </c>
      <c r="N244" t="s">
        <v>1386</v>
      </c>
      <c r="O244" t="s">
        <v>1387</v>
      </c>
      <c r="P244" t="s">
        <v>1388</v>
      </c>
      <c r="Q244" t="s">
        <v>1928</v>
      </c>
    </row>
    <row r="245" spans="1:17" x14ac:dyDescent="0.25">
      <c r="A245" t="s">
        <v>39</v>
      </c>
      <c r="B245" t="s">
        <v>1933</v>
      </c>
      <c r="C245" t="s">
        <v>334</v>
      </c>
      <c r="D245" t="s">
        <v>1399</v>
      </c>
      <c r="E245">
        <v>9698.752</v>
      </c>
      <c r="F245" t="s">
        <v>1464</v>
      </c>
      <c r="G245" t="s">
        <v>1934</v>
      </c>
      <c r="H245" t="s">
        <v>1648</v>
      </c>
      <c r="I245" t="s">
        <v>1659</v>
      </c>
      <c r="J245" t="s">
        <v>1385</v>
      </c>
      <c r="K245" t="b">
        <v>1</v>
      </c>
      <c r="L245" t="b">
        <v>0</v>
      </c>
      <c r="M245" t="s">
        <v>1385</v>
      </c>
      <c r="N245" t="s">
        <v>1386</v>
      </c>
      <c r="O245" t="s">
        <v>1387</v>
      </c>
      <c r="P245" t="s">
        <v>1388</v>
      </c>
      <c r="Q245" t="s">
        <v>1928</v>
      </c>
    </row>
    <row r="246" spans="1:17" x14ac:dyDescent="0.25">
      <c r="A246" t="s">
        <v>39</v>
      </c>
      <c r="B246" t="s">
        <v>1935</v>
      </c>
      <c r="C246" t="s">
        <v>334</v>
      </c>
      <c r="D246" t="s">
        <v>1403</v>
      </c>
      <c r="E246">
        <v>9917.278</v>
      </c>
      <c r="F246" t="s">
        <v>1464</v>
      </c>
      <c r="G246" t="s">
        <v>1936</v>
      </c>
      <c r="H246" t="s">
        <v>1648</v>
      </c>
      <c r="I246" t="s">
        <v>1384</v>
      </c>
      <c r="J246" t="s">
        <v>1385</v>
      </c>
      <c r="K246" t="b">
        <v>1</v>
      </c>
      <c r="L246" t="b">
        <v>0</v>
      </c>
      <c r="M246" t="s">
        <v>1385</v>
      </c>
      <c r="N246" t="s">
        <v>1386</v>
      </c>
      <c r="O246" t="s">
        <v>1387</v>
      </c>
      <c r="P246" t="s">
        <v>1388</v>
      </c>
      <c r="Q246" t="s">
        <v>1928</v>
      </c>
    </row>
    <row r="247" spans="1:17" x14ac:dyDescent="0.25">
      <c r="A247" t="s">
        <v>39</v>
      </c>
      <c r="B247" t="s">
        <v>1937</v>
      </c>
      <c r="C247" t="s">
        <v>334</v>
      </c>
      <c r="D247" t="s">
        <v>1407</v>
      </c>
      <c r="E247">
        <v>12666.6</v>
      </c>
      <c r="F247" t="s">
        <v>1464</v>
      </c>
      <c r="G247" t="s">
        <v>1938</v>
      </c>
      <c r="H247" t="s">
        <v>1648</v>
      </c>
      <c r="I247" t="s">
        <v>1393</v>
      </c>
      <c r="J247" t="s">
        <v>1385</v>
      </c>
      <c r="K247" t="b">
        <v>1</v>
      </c>
      <c r="L247" t="b">
        <v>0</v>
      </c>
      <c r="M247" t="s">
        <v>1385</v>
      </c>
      <c r="N247" t="s">
        <v>1386</v>
      </c>
      <c r="O247" t="s">
        <v>1387</v>
      </c>
      <c r="P247" t="s">
        <v>1388</v>
      </c>
      <c r="Q247" t="s">
        <v>1928</v>
      </c>
    </row>
    <row r="248" spans="1:17" x14ac:dyDescent="0.25">
      <c r="A248" t="s">
        <v>39</v>
      </c>
      <c r="B248" t="s">
        <v>1939</v>
      </c>
      <c r="C248" t="s">
        <v>334</v>
      </c>
      <c r="D248" t="s">
        <v>1411</v>
      </c>
      <c r="E248">
        <v>12922.012</v>
      </c>
      <c r="F248" t="s">
        <v>1464</v>
      </c>
      <c r="G248" t="s">
        <v>1940</v>
      </c>
      <c r="H248" t="s">
        <v>1648</v>
      </c>
      <c r="I248" t="s">
        <v>1397</v>
      </c>
      <c r="J248" t="s">
        <v>1385</v>
      </c>
      <c r="K248" t="b">
        <v>1</v>
      </c>
      <c r="L248" t="b">
        <v>0</v>
      </c>
      <c r="M248" t="s">
        <v>1385</v>
      </c>
      <c r="N248" t="s">
        <v>1386</v>
      </c>
      <c r="O248" t="s">
        <v>1387</v>
      </c>
      <c r="P248" t="s">
        <v>1388</v>
      </c>
      <c r="Q248" t="s">
        <v>1928</v>
      </c>
    </row>
    <row r="249" spans="1:17" x14ac:dyDescent="0.25">
      <c r="A249" t="s">
        <v>39</v>
      </c>
      <c r="B249" t="s">
        <v>1941</v>
      </c>
      <c r="C249" t="s">
        <v>334</v>
      </c>
      <c r="D249" t="s">
        <v>1415</v>
      </c>
      <c r="E249">
        <v>13530.565</v>
      </c>
      <c r="F249" t="s">
        <v>1464</v>
      </c>
      <c r="G249" t="s">
        <v>1942</v>
      </c>
      <c r="H249" t="s">
        <v>1648</v>
      </c>
      <c r="I249" t="s">
        <v>1473</v>
      </c>
      <c r="J249" t="s">
        <v>1385</v>
      </c>
      <c r="K249" t="b">
        <v>1</v>
      </c>
      <c r="L249" t="b">
        <v>0</v>
      </c>
      <c r="M249" t="s">
        <v>1385</v>
      </c>
      <c r="N249" t="s">
        <v>1386</v>
      </c>
      <c r="O249" t="s">
        <v>1387</v>
      </c>
      <c r="P249" t="s">
        <v>1388</v>
      </c>
      <c r="Q249" t="s">
        <v>1928</v>
      </c>
    </row>
    <row r="250" spans="1:17" x14ac:dyDescent="0.25">
      <c r="A250" t="s">
        <v>39</v>
      </c>
      <c r="B250" t="s">
        <v>1943</v>
      </c>
      <c r="C250" t="s">
        <v>334</v>
      </c>
      <c r="D250" t="s">
        <v>1419</v>
      </c>
      <c r="E250">
        <v>14785.553</v>
      </c>
      <c r="F250" t="s">
        <v>1464</v>
      </c>
      <c r="G250" t="s">
        <v>1944</v>
      </c>
      <c r="H250" t="s">
        <v>1648</v>
      </c>
      <c r="I250" t="s">
        <v>1405</v>
      </c>
      <c r="J250" t="s">
        <v>1385</v>
      </c>
      <c r="K250" t="b">
        <v>1</v>
      </c>
      <c r="L250" t="b">
        <v>0</v>
      </c>
      <c r="M250" t="s">
        <v>1385</v>
      </c>
      <c r="N250" t="s">
        <v>1386</v>
      </c>
      <c r="O250" t="s">
        <v>1387</v>
      </c>
      <c r="P250" t="s">
        <v>1388</v>
      </c>
      <c r="Q250" t="s">
        <v>1928</v>
      </c>
    </row>
    <row r="251" spans="1:17" x14ac:dyDescent="0.25">
      <c r="A251" t="s">
        <v>39</v>
      </c>
      <c r="B251" t="s">
        <v>1945</v>
      </c>
      <c r="C251" t="s">
        <v>334</v>
      </c>
      <c r="D251" t="s">
        <v>1423</v>
      </c>
      <c r="E251">
        <v>15351.967</v>
      </c>
      <c r="F251" t="s">
        <v>1464</v>
      </c>
      <c r="G251" t="s">
        <v>1946</v>
      </c>
      <c r="H251" t="s">
        <v>1648</v>
      </c>
      <c r="I251" t="s">
        <v>1409</v>
      </c>
      <c r="J251" t="s">
        <v>1385</v>
      </c>
      <c r="K251" t="b">
        <v>1</v>
      </c>
      <c r="L251" t="b">
        <v>0</v>
      </c>
      <c r="M251" t="s">
        <v>1385</v>
      </c>
      <c r="N251" t="s">
        <v>1386</v>
      </c>
      <c r="O251" t="s">
        <v>1387</v>
      </c>
      <c r="P251" t="s">
        <v>1388</v>
      </c>
      <c r="Q251" t="s">
        <v>1928</v>
      </c>
    </row>
    <row r="252" spans="1:17" x14ac:dyDescent="0.25">
      <c r="A252" t="s">
        <v>39</v>
      </c>
      <c r="B252" t="s">
        <v>1947</v>
      </c>
      <c r="C252" t="s">
        <v>334</v>
      </c>
      <c r="D252" t="s">
        <v>1425</v>
      </c>
      <c r="E252">
        <v>16013.634</v>
      </c>
      <c r="F252" t="s">
        <v>1464</v>
      </c>
      <c r="G252" t="s">
        <v>1948</v>
      </c>
      <c r="H252" t="s">
        <v>1648</v>
      </c>
      <c r="I252" t="s">
        <v>1413</v>
      </c>
      <c r="J252" t="s">
        <v>1385</v>
      </c>
      <c r="K252" t="b">
        <v>1</v>
      </c>
      <c r="L252" t="b">
        <v>0</v>
      </c>
      <c r="M252" t="s">
        <v>1385</v>
      </c>
      <c r="N252" t="s">
        <v>1386</v>
      </c>
      <c r="O252" t="s">
        <v>1387</v>
      </c>
      <c r="P252" t="s">
        <v>1388</v>
      </c>
      <c r="Q252" t="s">
        <v>1928</v>
      </c>
    </row>
    <row r="253" spans="1:17" x14ac:dyDescent="0.25">
      <c r="A253" t="s">
        <v>39</v>
      </c>
      <c r="B253" t="s">
        <v>1949</v>
      </c>
      <c r="C253" t="s">
        <v>334</v>
      </c>
      <c r="D253" t="s">
        <v>1428</v>
      </c>
      <c r="E253">
        <v>15895.891</v>
      </c>
      <c r="F253" t="s">
        <v>1464</v>
      </c>
      <c r="G253" t="s">
        <v>1950</v>
      </c>
      <c r="H253" t="s">
        <v>1648</v>
      </c>
      <c r="I253" t="s">
        <v>1473</v>
      </c>
      <c r="J253" t="s">
        <v>1385</v>
      </c>
      <c r="K253" t="b">
        <v>1</v>
      </c>
      <c r="L253" t="b">
        <v>0</v>
      </c>
      <c r="M253" t="s">
        <v>1385</v>
      </c>
      <c r="N253" t="s">
        <v>1386</v>
      </c>
      <c r="O253" t="s">
        <v>1387</v>
      </c>
      <c r="P253" t="s">
        <v>1388</v>
      </c>
      <c r="Q253" t="s">
        <v>1951</v>
      </c>
    </row>
    <row r="254" spans="1:17" x14ac:dyDescent="0.25">
      <c r="A254" t="s">
        <v>39</v>
      </c>
      <c r="B254" t="s">
        <v>1952</v>
      </c>
      <c r="C254" t="s">
        <v>339</v>
      </c>
      <c r="D254" t="s">
        <v>1380</v>
      </c>
      <c r="E254">
        <v>1.802</v>
      </c>
      <c r="F254" t="s">
        <v>1381</v>
      </c>
      <c r="G254" t="s">
        <v>1953</v>
      </c>
      <c r="H254" t="s">
        <v>1648</v>
      </c>
      <c r="I254" t="s">
        <v>1649</v>
      </c>
      <c r="J254" t="s">
        <v>1385</v>
      </c>
      <c r="K254" t="b">
        <v>1</v>
      </c>
      <c r="L254" t="b">
        <v>0</v>
      </c>
      <c r="M254" t="s">
        <v>1385</v>
      </c>
      <c r="N254" t="s">
        <v>1386</v>
      </c>
      <c r="O254" t="s">
        <v>1387</v>
      </c>
      <c r="P254" t="s">
        <v>1388</v>
      </c>
      <c r="Q254" t="s">
        <v>1385</v>
      </c>
    </row>
    <row r="255" spans="1:17" x14ac:dyDescent="0.25">
      <c r="A255" t="s">
        <v>39</v>
      </c>
      <c r="B255" t="s">
        <v>1954</v>
      </c>
      <c r="C255" t="s">
        <v>339</v>
      </c>
      <c r="D255" t="s">
        <v>1391</v>
      </c>
      <c r="E255">
        <v>0.406</v>
      </c>
      <c r="F255" t="s">
        <v>1381</v>
      </c>
      <c r="G255" t="s">
        <v>1955</v>
      </c>
      <c r="H255" t="s">
        <v>1648</v>
      </c>
      <c r="I255" t="s">
        <v>1653</v>
      </c>
      <c r="J255" t="s">
        <v>1385</v>
      </c>
      <c r="K255" t="b">
        <v>1</v>
      </c>
      <c r="L255" t="b">
        <v>0</v>
      </c>
      <c r="M255" t="s">
        <v>1385</v>
      </c>
      <c r="N255" t="s">
        <v>1386</v>
      </c>
      <c r="O255" t="s">
        <v>1387</v>
      </c>
      <c r="P255" t="s">
        <v>1388</v>
      </c>
      <c r="Q255" t="s">
        <v>1385</v>
      </c>
    </row>
    <row r="256" spans="1:17" x14ac:dyDescent="0.25">
      <c r="A256" t="s">
        <v>39</v>
      </c>
      <c r="B256" t="s">
        <v>1956</v>
      </c>
      <c r="C256" t="s">
        <v>339</v>
      </c>
      <c r="D256" t="s">
        <v>1395</v>
      </c>
      <c r="E256">
        <v>0.406</v>
      </c>
      <c r="F256" t="s">
        <v>1381</v>
      </c>
      <c r="G256" t="s">
        <v>1955</v>
      </c>
      <c r="H256" t="s">
        <v>1648</v>
      </c>
      <c r="I256" t="s">
        <v>1656</v>
      </c>
      <c r="J256" t="s">
        <v>1385</v>
      </c>
      <c r="K256" t="b">
        <v>1</v>
      </c>
      <c r="L256" t="b">
        <v>0</v>
      </c>
      <c r="M256" t="s">
        <v>1385</v>
      </c>
      <c r="N256" t="s">
        <v>1386</v>
      </c>
      <c r="O256" t="s">
        <v>1387</v>
      </c>
      <c r="P256" t="s">
        <v>1388</v>
      </c>
      <c r="Q256" t="s">
        <v>1385</v>
      </c>
    </row>
    <row r="257" spans="1:17" x14ac:dyDescent="0.25">
      <c r="A257" t="s">
        <v>39</v>
      </c>
      <c r="B257" t="s">
        <v>1957</v>
      </c>
      <c r="C257" t="s">
        <v>339</v>
      </c>
      <c r="D257" t="s">
        <v>1399</v>
      </c>
      <c r="E257">
        <v>0.406</v>
      </c>
      <c r="F257" t="s">
        <v>1381</v>
      </c>
      <c r="G257" t="s">
        <v>1955</v>
      </c>
      <c r="H257" t="s">
        <v>1648</v>
      </c>
      <c r="I257" t="s">
        <v>1659</v>
      </c>
      <c r="J257" t="s">
        <v>1385</v>
      </c>
      <c r="K257" t="b">
        <v>1</v>
      </c>
      <c r="L257" t="b">
        <v>0</v>
      </c>
      <c r="M257" t="s">
        <v>1385</v>
      </c>
      <c r="N257" t="s">
        <v>1386</v>
      </c>
      <c r="O257" t="s">
        <v>1387</v>
      </c>
      <c r="P257" t="s">
        <v>1388</v>
      </c>
      <c r="Q257" t="s">
        <v>1385</v>
      </c>
    </row>
    <row r="258" spans="1:17" x14ac:dyDescent="0.25">
      <c r="A258" t="s">
        <v>39</v>
      </c>
      <c r="B258" t="s">
        <v>1958</v>
      </c>
      <c r="C258" t="s">
        <v>339</v>
      </c>
      <c r="D258" t="s">
        <v>1403</v>
      </c>
      <c r="E258">
        <v>0.406</v>
      </c>
      <c r="F258" t="s">
        <v>1381</v>
      </c>
      <c r="G258" t="s">
        <v>1955</v>
      </c>
      <c r="H258" t="s">
        <v>1648</v>
      </c>
      <c r="I258" t="s">
        <v>1384</v>
      </c>
      <c r="J258" t="s">
        <v>1385</v>
      </c>
      <c r="K258" t="b">
        <v>1</v>
      </c>
      <c r="L258" t="b">
        <v>0</v>
      </c>
      <c r="M258" t="s">
        <v>1385</v>
      </c>
      <c r="N258" t="s">
        <v>1386</v>
      </c>
      <c r="O258" t="s">
        <v>1387</v>
      </c>
      <c r="P258" t="s">
        <v>1388</v>
      </c>
      <c r="Q258" t="s">
        <v>1385</v>
      </c>
    </row>
    <row r="259" spans="1:17" x14ac:dyDescent="0.25">
      <c r="A259" t="s">
        <v>39</v>
      </c>
      <c r="B259" t="s">
        <v>1959</v>
      </c>
      <c r="C259" t="s">
        <v>339</v>
      </c>
      <c r="D259" t="s">
        <v>1407</v>
      </c>
      <c r="E259">
        <v>0.406</v>
      </c>
      <c r="F259" t="s">
        <v>1381</v>
      </c>
      <c r="G259" t="s">
        <v>1955</v>
      </c>
      <c r="H259" t="s">
        <v>1648</v>
      </c>
      <c r="I259" t="s">
        <v>1393</v>
      </c>
      <c r="J259" t="s">
        <v>1385</v>
      </c>
      <c r="K259" t="b">
        <v>1</v>
      </c>
      <c r="L259" t="b">
        <v>0</v>
      </c>
      <c r="M259" t="s">
        <v>1385</v>
      </c>
      <c r="N259" t="s">
        <v>1386</v>
      </c>
      <c r="O259" t="s">
        <v>1387</v>
      </c>
      <c r="P259" t="s">
        <v>1388</v>
      </c>
      <c r="Q259" t="s">
        <v>1385</v>
      </c>
    </row>
    <row r="260" spans="1:17" x14ac:dyDescent="0.25">
      <c r="A260" t="s">
        <v>39</v>
      </c>
      <c r="B260" t="s">
        <v>1960</v>
      </c>
      <c r="C260" t="s">
        <v>339</v>
      </c>
      <c r="D260" t="s">
        <v>1411</v>
      </c>
      <c r="E260">
        <v>0.406</v>
      </c>
      <c r="F260" t="s">
        <v>1381</v>
      </c>
      <c r="G260" t="s">
        <v>1955</v>
      </c>
      <c r="H260" t="s">
        <v>1648</v>
      </c>
      <c r="I260" t="s">
        <v>1397</v>
      </c>
      <c r="J260" t="s">
        <v>1385</v>
      </c>
      <c r="K260" t="b">
        <v>1</v>
      </c>
      <c r="L260" t="b">
        <v>0</v>
      </c>
      <c r="M260" t="s">
        <v>1385</v>
      </c>
      <c r="N260" t="s">
        <v>1386</v>
      </c>
      <c r="O260" t="s">
        <v>1387</v>
      </c>
      <c r="P260" t="s">
        <v>1388</v>
      </c>
      <c r="Q260" t="s">
        <v>1385</v>
      </c>
    </row>
    <row r="261" spans="1:17" x14ac:dyDescent="0.25">
      <c r="A261" t="s">
        <v>39</v>
      </c>
      <c r="B261" t="s">
        <v>1961</v>
      </c>
      <c r="C261" t="s">
        <v>339</v>
      </c>
      <c r="D261" t="s">
        <v>1415</v>
      </c>
      <c r="E261">
        <v>0.406</v>
      </c>
      <c r="F261" t="s">
        <v>1381</v>
      </c>
      <c r="G261" t="s">
        <v>1955</v>
      </c>
      <c r="H261" t="s">
        <v>1648</v>
      </c>
      <c r="I261" t="s">
        <v>1473</v>
      </c>
      <c r="J261" t="s">
        <v>1385</v>
      </c>
      <c r="K261" t="b">
        <v>1</v>
      </c>
      <c r="L261" t="b">
        <v>0</v>
      </c>
      <c r="M261" t="s">
        <v>1385</v>
      </c>
      <c r="N261" t="s">
        <v>1386</v>
      </c>
      <c r="O261" t="s">
        <v>1387</v>
      </c>
      <c r="P261" t="s">
        <v>1388</v>
      </c>
      <c r="Q261" t="s">
        <v>1385</v>
      </c>
    </row>
    <row r="262" spans="1:17" x14ac:dyDescent="0.25">
      <c r="A262" t="s">
        <v>39</v>
      </c>
      <c r="B262" t="s">
        <v>1962</v>
      </c>
      <c r="C262" t="s">
        <v>339</v>
      </c>
      <c r="D262" t="s">
        <v>1419</v>
      </c>
      <c r="E262">
        <v>0.406</v>
      </c>
      <c r="F262" t="s">
        <v>1381</v>
      </c>
      <c r="G262" t="s">
        <v>1955</v>
      </c>
      <c r="H262" t="s">
        <v>1648</v>
      </c>
      <c r="I262" t="s">
        <v>1405</v>
      </c>
      <c r="J262" t="s">
        <v>1385</v>
      </c>
      <c r="K262" t="b">
        <v>1</v>
      </c>
      <c r="L262" t="b">
        <v>0</v>
      </c>
      <c r="M262" t="s">
        <v>1385</v>
      </c>
      <c r="N262" t="s">
        <v>1386</v>
      </c>
      <c r="O262" t="s">
        <v>1387</v>
      </c>
      <c r="P262" t="s">
        <v>1388</v>
      </c>
      <c r="Q262" t="s">
        <v>1385</v>
      </c>
    </row>
    <row r="263" spans="1:17" x14ac:dyDescent="0.25">
      <c r="A263" t="s">
        <v>39</v>
      </c>
      <c r="B263" t="s">
        <v>1963</v>
      </c>
      <c r="C263" t="s">
        <v>339</v>
      </c>
      <c r="D263" t="s">
        <v>1423</v>
      </c>
      <c r="E263">
        <v>0.406</v>
      </c>
      <c r="F263" t="s">
        <v>1381</v>
      </c>
      <c r="G263" t="s">
        <v>1955</v>
      </c>
      <c r="H263" t="s">
        <v>1648</v>
      </c>
      <c r="I263" t="s">
        <v>1409</v>
      </c>
      <c r="J263" t="s">
        <v>1385</v>
      </c>
      <c r="K263" t="b">
        <v>1</v>
      </c>
      <c r="L263" t="b">
        <v>0</v>
      </c>
      <c r="M263" t="s">
        <v>1385</v>
      </c>
      <c r="N263" t="s">
        <v>1386</v>
      </c>
      <c r="O263" t="s">
        <v>1387</v>
      </c>
      <c r="P263" t="s">
        <v>1388</v>
      </c>
      <c r="Q263" t="s">
        <v>1385</v>
      </c>
    </row>
    <row r="264" spans="1:17" x14ac:dyDescent="0.25">
      <c r="A264" t="s">
        <v>39</v>
      </c>
      <c r="B264" t="s">
        <v>1964</v>
      </c>
      <c r="C264" t="s">
        <v>339</v>
      </c>
      <c r="D264" t="s">
        <v>1425</v>
      </c>
      <c r="E264">
        <v>0.406</v>
      </c>
      <c r="F264" t="s">
        <v>1381</v>
      </c>
      <c r="G264" t="s">
        <v>1955</v>
      </c>
      <c r="H264" t="s">
        <v>1648</v>
      </c>
      <c r="I264" t="s">
        <v>1413</v>
      </c>
      <c r="J264" t="s">
        <v>1385</v>
      </c>
      <c r="K264" t="b">
        <v>1</v>
      </c>
      <c r="L264" t="b">
        <v>0</v>
      </c>
      <c r="M264" t="s">
        <v>1385</v>
      </c>
      <c r="N264" t="s">
        <v>1386</v>
      </c>
      <c r="O264" t="s">
        <v>1387</v>
      </c>
      <c r="P264" t="s">
        <v>1388</v>
      </c>
      <c r="Q264" t="s">
        <v>1385</v>
      </c>
    </row>
    <row r="265" spans="1:17" x14ac:dyDescent="0.25">
      <c r="A265" t="s">
        <v>39</v>
      </c>
      <c r="B265" t="s">
        <v>1965</v>
      </c>
      <c r="C265" t="s">
        <v>339</v>
      </c>
      <c r="D265" t="s">
        <v>1428</v>
      </c>
      <c r="E265">
        <v>0.406</v>
      </c>
      <c r="F265" t="s">
        <v>1381</v>
      </c>
      <c r="G265" t="s">
        <v>1955</v>
      </c>
      <c r="H265" t="s">
        <v>1648</v>
      </c>
      <c r="I265" t="s">
        <v>1473</v>
      </c>
      <c r="J265" t="s">
        <v>1385</v>
      </c>
      <c r="K265" t="b">
        <v>1</v>
      </c>
      <c r="L265" t="b">
        <v>0</v>
      </c>
      <c r="M265" t="s">
        <v>1385</v>
      </c>
      <c r="N265" t="s">
        <v>1386</v>
      </c>
      <c r="O265" t="s">
        <v>1387</v>
      </c>
      <c r="P265" t="s">
        <v>1388</v>
      </c>
      <c r="Q265" t="s">
        <v>1385</v>
      </c>
    </row>
    <row r="266" spans="1:17" x14ac:dyDescent="0.25">
      <c r="A266" t="s">
        <v>39</v>
      </c>
      <c r="B266" t="s">
        <v>1966</v>
      </c>
      <c r="C266" t="s">
        <v>340</v>
      </c>
      <c r="D266" t="s">
        <v>1380</v>
      </c>
      <c r="E266">
        <v>2245.734</v>
      </c>
      <c r="F266" t="s">
        <v>1464</v>
      </c>
      <c r="G266" t="s">
        <v>1967</v>
      </c>
      <c r="H266" t="s">
        <v>1648</v>
      </c>
      <c r="I266" t="s">
        <v>1649</v>
      </c>
      <c r="J266" t="s">
        <v>1385</v>
      </c>
      <c r="K266" t="b">
        <v>1</v>
      </c>
      <c r="L266" t="b">
        <v>0</v>
      </c>
      <c r="M266" t="s">
        <v>1385</v>
      </c>
      <c r="N266" t="s">
        <v>1386</v>
      </c>
      <c r="O266" t="s">
        <v>1387</v>
      </c>
      <c r="P266" t="s">
        <v>1388</v>
      </c>
      <c r="Q266" t="s">
        <v>1968</v>
      </c>
    </row>
    <row r="267" spans="1:17" x14ac:dyDescent="0.25">
      <c r="A267" t="s">
        <v>39</v>
      </c>
      <c r="B267" t="s">
        <v>1969</v>
      </c>
      <c r="C267" t="s">
        <v>340</v>
      </c>
      <c r="D267" t="s">
        <v>1391</v>
      </c>
      <c r="E267">
        <v>2196.941</v>
      </c>
      <c r="F267" t="s">
        <v>1464</v>
      </c>
      <c r="G267" t="s">
        <v>1970</v>
      </c>
      <c r="H267" t="s">
        <v>1648</v>
      </c>
      <c r="I267" t="s">
        <v>1653</v>
      </c>
      <c r="J267" t="s">
        <v>1385</v>
      </c>
      <c r="K267" t="b">
        <v>1</v>
      </c>
      <c r="L267" t="b">
        <v>0</v>
      </c>
      <c r="M267" t="s">
        <v>1385</v>
      </c>
      <c r="N267" t="s">
        <v>1386</v>
      </c>
      <c r="O267" t="s">
        <v>1387</v>
      </c>
      <c r="P267" t="s">
        <v>1388</v>
      </c>
      <c r="Q267" t="s">
        <v>1968</v>
      </c>
    </row>
    <row r="268" spans="1:17" x14ac:dyDescent="0.25">
      <c r="A268" t="s">
        <v>39</v>
      </c>
      <c r="B268" t="s">
        <v>1971</v>
      </c>
      <c r="C268" t="s">
        <v>340</v>
      </c>
      <c r="D268" t="s">
        <v>1395</v>
      </c>
      <c r="E268">
        <v>2244.576</v>
      </c>
      <c r="F268" t="s">
        <v>1464</v>
      </c>
      <c r="G268" t="s">
        <v>1972</v>
      </c>
      <c r="H268" t="s">
        <v>1648</v>
      </c>
      <c r="I268" t="s">
        <v>1656</v>
      </c>
      <c r="J268" t="s">
        <v>1385</v>
      </c>
      <c r="K268" t="b">
        <v>1</v>
      </c>
      <c r="L268" t="b">
        <v>0</v>
      </c>
      <c r="M268" t="s">
        <v>1385</v>
      </c>
      <c r="N268" t="s">
        <v>1386</v>
      </c>
      <c r="O268" t="s">
        <v>1387</v>
      </c>
      <c r="P268" t="s">
        <v>1388</v>
      </c>
      <c r="Q268" t="s">
        <v>1968</v>
      </c>
    </row>
    <row r="269" spans="1:17" x14ac:dyDescent="0.25">
      <c r="A269" t="s">
        <v>39</v>
      </c>
      <c r="B269" t="s">
        <v>1973</v>
      </c>
      <c r="C269" t="s">
        <v>340</v>
      </c>
      <c r="D269" t="s">
        <v>1399</v>
      </c>
      <c r="E269">
        <v>2255.528</v>
      </c>
      <c r="F269" t="s">
        <v>1464</v>
      </c>
      <c r="G269" t="s">
        <v>1974</v>
      </c>
      <c r="H269" t="s">
        <v>1648</v>
      </c>
      <c r="I269" t="s">
        <v>1659</v>
      </c>
      <c r="J269" t="s">
        <v>1385</v>
      </c>
      <c r="K269" t="b">
        <v>1</v>
      </c>
      <c r="L269" t="b">
        <v>0</v>
      </c>
      <c r="M269" t="s">
        <v>1385</v>
      </c>
      <c r="N269" t="s">
        <v>1386</v>
      </c>
      <c r="O269" t="s">
        <v>1387</v>
      </c>
      <c r="P269" t="s">
        <v>1388</v>
      </c>
      <c r="Q269" t="s">
        <v>1968</v>
      </c>
    </row>
    <row r="270" spans="1:17" x14ac:dyDescent="0.25">
      <c r="A270" t="s">
        <v>39</v>
      </c>
      <c r="B270" t="s">
        <v>1975</v>
      </c>
      <c r="C270" t="s">
        <v>340</v>
      </c>
      <c r="D270" t="s">
        <v>1403</v>
      </c>
      <c r="E270">
        <v>2238.627</v>
      </c>
      <c r="F270" t="s">
        <v>1464</v>
      </c>
      <c r="G270" t="s">
        <v>1976</v>
      </c>
      <c r="H270" t="s">
        <v>1648</v>
      </c>
      <c r="I270" t="s">
        <v>1384</v>
      </c>
      <c r="J270" t="s">
        <v>1385</v>
      </c>
      <c r="K270" t="b">
        <v>1</v>
      </c>
      <c r="L270" t="b">
        <v>0</v>
      </c>
      <c r="M270" t="s">
        <v>1385</v>
      </c>
      <c r="N270" t="s">
        <v>1386</v>
      </c>
      <c r="O270" t="s">
        <v>1387</v>
      </c>
      <c r="P270" t="s">
        <v>1388</v>
      </c>
      <c r="Q270" t="s">
        <v>1968</v>
      </c>
    </row>
    <row r="271" spans="1:17" x14ac:dyDescent="0.25">
      <c r="A271" t="s">
        <v>39</v>
      </c>
      <c r="B271" t="s">
        <v>1977</v>
      </c>
      <c r="C271" t="s">
        <v>340</v>
      </c>
      <c r="D271" t="s">
        <v>1407</v>
      </c>
      <c r="E271">
        <v>2263.244</v>
      </c>
      <c r="F271" t="s">
        <v>1464</v>
      </c>
      <c r="G271" t="s">
        <v>1978</v>
      </c>
      <c r="H271" t="s">
        <v>1648</v>
      </c>
      <c r="I271" t="s">
        <v>1393</v>
      </c>
      <c r="J271" t="s">
        <v>1385</v>
      </c>
      <c r="K271" t="b">
        <v>1</v>
      </c>
      <c r="L271" t="b">
        <v>0</v>
      </c>
      <c r="M271" t="s">
        <v>1385</v>
      </c>
      <c r="N271" t="s">
        <v>1386</v>
      </c>
      <c r="O271" t="s">
        <v>1387</v>
      </c>
      <c r="P271" t="s">
        <v>1388</v>
      </c>
      <c r="Q271" t="s">
        <v>1968</v>
      </c>
    </row>
    <row r="272" spans="1:17" x14ac:dyDescent="0.25">
      <c r="A272" t="s">
        <v>39</v>
      </c>
      <c r="B272" t="s">
        <v>1979</v>
      </c>
      <c r="C272" t="s">
        <v>340</v>
      </c>
      <c r="D272" t="s">
        <v>1411</v>
      </c>
      <c r="E272">
        <v>2291.777</v>
      </c>
      <c r="F272" t="s">
        <v>1464</v>
      </c>
      <c r="G272" t="s">
        <v>1980</v>
      </c>
      <c r="H272" t="s">
        <v>1648</v>
      </c>
      <c r="I272" t="s">
        <v>1397</v>
      </c>
      <c r="J272" t="s">
        <v>1385</v>
      </c>
      <c r="K272" t="b">
        <v>1</v>
      </c>
      <c r="L272" t="b">
        <v>0</v>
      </c>
      <c r="M272" t="s">
        <v>1385</v>
      </c>
      <c r="N272" t="s">
        <v>1386</v>
      </c>
      <c r="O272" t="s">
        <v>1387</v>
      </c>
      <c r="P272" t="s">
        <v>1388</v>
      </c>
      <c r="Q272" t="s">
        <v>1968</v>
      </c>
    </row>
    <row r="273" spans="1:17" x14ac:dyDescent="0.25">
      <c r="A273" t="s">
        <v>39</v>
      </c>
      <c r="B273" t="s">
        <v>1981</v>
      </c>
      <c r="C273" t="s">
        <v>340</v>
      </c>
      <c r="D273" t="s">
        <v>1415</v>
      </c>
      <c r="E273">
        <v>2309.758</v>
      </c>
      <c r="F273" t="s">
        <v>1464</v>
      </c>
      <c r="G273" t="s">
        <v>1982</v>
      </c>
      <c r="H273" t="s">
        <v>1648</v>
      </c>
      <c r="I273" t="s">
        <v>1473</v>
      </c>
      <c r="J273" t="s">
        <v>1385</v>
      </c>
      <c r="K273" t="b">
        <v>1</v>
      </c>
      <c r="L273" t="b">
        <v>0</v>
      </c>
      <c r="M273" t="s">
        <v>1385</v>
      </c>
      <c r="N273" t="s">
        <v>1386</v>
      </c>
      <c r="O273" t="s">
        <v>1387</v>
      </c>
      <c r="P273" t="s">
        <v>1388</v>
      </c>
      <c r="Q273" t="s">
        <v>1968</v>
      </c>
    </row>
    <row r="274" spans="1:17" x14ac:dyDescent="0.25">
      <c r="A274" t="s">
        <v>39</v>
      </c>
      <c r="B274" t="s">
        <v>1983</v>
      </c>
      <c r="C274" t="s">
        <v>340</v>
      </c>
      <c r="D274" t="s">
        <v>1419</v>
      </c>
      <c r="E274">
        <v>2300.443</v>
      </c>
      <c r="F274" t="s">
        <v>1464</v>
      </c>
      <c r="G274" t="s">
        <v>1984</v>
      </c>
      <c r="H274" t="s">
        <v>1648</v>
      </c>
      <c r="I274" t="s">
        <v>1405</v>
      </c>
      <c r="J274" t="s">
        <v>1385</v>
      </c>
      <c r="K274" t="b">
        <v>1</v>
      </c>
      <c r="L274" t="b">
        <v>0</v>
      </c>
      <c r="M274" t="s">
        <v>1385</v>
      </c>
      <c r="N274" t="s">
        <v>1386</v>
      </c>
      <c r="O274" t="s">
        <v>1387</v>
      </c>
      <c r="P274" t="s">
        <v>1388</v>
      </c>
      <c r="Q274" t="s">
        <v>1968</v>
      </c>
    </row>
    <row r="275" spans="1:17" x14ac:dyDescent="0.25">
      <c r="A275" t="s">
        <v>39</v>
      </c>
      <c r="B275" t="s">
        <v>1985</v>
      </c>
      <c r="C275" t="s">
        <v>340</v>
      </c>
      <c r="D275" t="s">
        <v>1423</v>
      </c>
      <c r="E275">
        <v>2335.685</v>
      </c>
      <c r="F275" t="s">
        <v>1464</v>
      </c>
      <c r="G275" t="s">
        <v>1986</v>
      </c>
      <c r="H275" t="s">
        <v>1648</v>
      </c>
      <c r="I275" t="s">
        <v>1409</v>
      </c>
      <c r="J275" t="s">
        <v>1385</v>
      </c>
      <c r="K275" t="b">
        <v>1</v>
      </c>
      <c r="L275" t="b">
        <v>0</v>
      </c>
      <c r="M275" t="s">
        <v>1385</v>
      </c>
      <c r="N275" t="s">
        <v>1386</v>
      </c>
      <c r="O275" t="s">
        <v>1387</v>
      </c>
      <c r="P275" t="s">
        <v>1388</v>
      </c>
      <c r="Q275" t="s">
        <v>1968</v>
      </c>
    </row>
    <row r="276" spans="1:17" x14ac:dyDescent="0.25">
      <c r="A276" t="s">
        <v>39</v>
      </c>
      <c r="B276" t="s">
        <v>1987</v>
      </c>
      <c r="C276" t="s">
        <v>340</v>
      </c>
      <c r="D276" t="s">
        <v>1425</v>
      </c>
      <c r="E276">
        <v>2351.744</v>
      </c>
      <c r="F276" t="s">
        <v>1464</v>
      </c>
      <c r="G276" t="s">
        <v>1988</v>
      </c>
      <c r="H276" t="s">
        <v>1648</v>
      </c>
      <c r="I276" t="s">
        <v>1413</v>
      </c>
      <c r="J276" t="s">
        <v>1385</v>
      </c>
      <c r="K276" t="b">
        <v>1</v>
      </c>
      <c r="L276" t="b">
        <v>0</v>
      </c>
      <c r="M276" t="s">
        <v>1385</v>
      </c>
      <c r="N276" t="s">
        <v>1386</v>
      </c>
      <c r="O276" t="s">
        <v>1387</v>
      </c>
      <c r="P276" t="s">
        <v>1388</v>
      </c>
      <c r="Q276" t="s">
        <v>1968</v>
      </c>
    </row>
    <row r="277" spans="1:17" x14ac:dyDescent="0.25">
      <c r="A277" t="s">
        <v>39</v>
      </c>
      <c r="B277" t="s">
        <v>1989</v>
      </c>
      <c r="C277" t="s">
        <v>340</v>
      </c>
      <c r="D277" t="s">
        <v>1428</v>
      </c>
      <c r="E277">
        <v>2384.305</v>
      </c>
      <c r="F277" t="s">
        <v>1464</v>
      </c>
      <c r="G277" t="s">
        <v>1990</v>
      </c>
      <c r="H277" t="s">
        <v>1648</v>
      </c>
      <c r="I277" t="s">
        <v>1473</v>
      </c>
      <c r="J277" t="s">
        <v>1385</v>
      </c>
      <c r="K277" t="b">
        <v>1</v>
      </c>
      <c r="L277" t="b">
        <v>0</v>
      </c>
      <c r="M277" t="s">
        <v>1385</v>
      </c>
      <c r="N277" t="s">
        <v>1386</v>
      </c>
      <c r="O277" t="s">
        <v>1387</v>
      </c>
      <c r="P277" t="s">
        <v>1388</v>
      </c>
      <c r="Q277" t="s">
        <v>1991</v>
      </c>
    </row>
    <row r="278" spans="1:17" x14ac:dyDescent="0.25">
      <c r="A278" t="s">
        <v>39</v>
      </c>
      <c r="B278" t="s">
        <v>1992</v>
      </c>
      <c r="C278" t="s">
        <v>341</v>
      </c>
      <c r="D278" t="s">
        <v>1380</v>
      </c>
      <c r="E278">
        <v>7930.615</v>
      </c>
      <c r="F278" t="s">
        <v>1381</v>
      </c>
      <c r="G278" t="s">
        <v>1993</v>
      </c>
      <c r="H278" t="s">
        <v>1648</v>
      </c>
      <c r="I278" t="s">
        <v>1649</v>
      </c>
      <c r="J278" t="s">
        <v>1385</v>
      </c>
      <c r="K278" t="b">
        <v>1</v>
      </c>
      <c r="L278" t="b">
        <v>0</v>
      </c>
      <c r="M278" t="s">
        <v>1385</v>
      </c>
      <c r="N278" t="s">
        <v>1386</v>
      </c>
      <c r="O278" t="s">
        <v>1387</v>
      </c>
      <c r="P278" t="s">
        <v>1388</v>
      </c>
      <c r="Q278" t="s">
        <v>1385</v>
      </c>
    </row>
    <row r="279" spans="1:17" x14ac:dyDescent="0.25">
      <c r="A279" t="s">
        <v>39</v>
      </c>
      <c r="B279" t="s">
        <v>1994</v>
      </c>
      <c r="C279" t="s">
        <v>341</v>
      </c>
      <c r="D279" t="s">
        <v>1391</v>
      </c>
      <c r="E279">
        <v>7868.766</v>
      </c>
      <c r="F279" t="s">
        <v>1381</v>
      </c>
      <c r="G279" t="s">
        <v>1995</v>
      </c>
      <c r="H279" t="s">
        <v>1648</v>
      </c>
      <c r="I279" t="s">
        <v>1653</v>
      </c>
      <c r="J279" t="s">
        <v>1385</v>
      </c>
      <c r="K279" t="b">
        <v>1</v>
      </c>
      <c r="L279" t="b">
        <v>0</v>
      </c>
      <c r="M279" t="s">
        <v>1385</v>
      </c>
      <c r="N279" t="s">
        <v>1386</v>
      </c>
      <c r="O279" t="s">
        <v>1387</v>
      </c>
      <c r="P279" t="s">
        <v>1388</v>
      </c>
      <c r="Q279" t="s">
        <v>1385</v>
      </c>
    </row>
    <row r="280" spans="1:17" x14ac:dyDescent="0.25">
      <c r="A280" t="s">
        <v>39</v>
      </c>
      <c r="B280" t="s">
        <v>1996</v>
      </c>
      <c r="C280" t="s">
        <v>341</v>
      </c>
      <c r="D280" t="s">
        <v>1395</v>
      </c>
      <c r="E280">
        <v>7852.522</v>
      </c>
      <c r="F280" t="s">
        <v>1381</v>
      </c>
      <c r="G280" t="s">
        <v>1997</v>
      </c>
      <c r="H280" t="s">
        <v>1648</v>
      </c>
      <c r="I280" t="s">
        <v>1656</v>
      </c>
      <c r="J280" t="s">
        <v>1385</v>
      </c>
      <c r="K280" t="b">
        <v>1</v>
      </c>
      <c r="L280" t="b">
        <v>0</v>
      </c>
      <c r="M280" t="s">
        <v>1385</v>
      </c>
      <c r="N280" t="s">
        <v>1386</v>
      </c>
      <c r="O280" t="s">
        <v>1387</v>
      </c>
      <c r="P280" t="s">
        <v>1388</v>
      </c>
      <c r="Q280" t="s">
        <v>1385</v>
      </c>
    </row>
    <row r="281" spans="1:17" x14ac:dyDescent="0.25">
      <c r="A281" t="s">
        <v>39</v>
      </c>
      <c r="B281" t="s">
        <v>1998</v>
      </c>
      <c r="C281" t="s">
        <v>341</v>
      </c>
      <c r="D281" t="s">
        <v>1399</v>
      </c>
      <c r="E281">
        <v>7849.844</v>
      </c>
      <c r="F281" t="s">
        <v>1381</v>
      </c>
      <c r="G281" t="s">
        <v>1999</v>
      </c>
      <c r="H281" t="s">
        <v>1648</v>
      </c>
      <c r="I281" t="s">
        <v>1659</v>
      </c>
      <c r="J281" t="s">
        <v>1385</v>
      </c>
      <c r="K281" t="b">
        <v>1</v>
      </c>
      <c r="L281" t="b">
        <v>0</v>
      </c>
      <c r="M281" t="s">
        <v>1385</v>
      </c>
      <c r="N281" t="s">
        <v>1386</v>
      </c>
      <c r="O281" t="s">
        <v>1387</v>
      </c>
      <c r="P281" t="s">
        <v>1388</v>
      </c>
      <c r="Q281" t="s">
        <v>1385</v>
      </c>
    </row>
    <row r="282" spans="1:17" x14ac:dyDescent="0.25">
      <c r="A282" t="s">
        <v>39</v>
      </c>
      <c r="B282" t="s">
        <v>2000</v>
      </c>
      <c r="C282" t="s">
        <v>341</v>
      </c>
      <c r="D282" t="s">
        <v>1403</v>
      </c>
      <c r="E282">
        <v>7937.908</v>
      </c>
      <c r="F282" t="s">
        <v>1381</v>
      </c>
      <c r="G282" t="s">
        <v>2001</v>
      </c>
      <c r="H282" t="s">
        <v>1648</v>
      </c>
      <c r="I282" t="s">
        <v>1384</v>
      </c>
      <c r="J282" t="s">
        <v>1385</v>
      </c>
      <c r="K282" t="b">
        <v>1</v>
      </c>
      <c r="L282" t="b">
        <v>0</v>
      </c>
      <c r="M282" t="s">
        <v>1385</v>
      </c>
      <c r="N282" t="s">
        <v>1386</v>
      </c>
      <c r="O282" t="s">
        <v>1387</v>
      </c>
      <c r="P282" t="s">
        <v>1388</v>
      </c>
      <c r="Q282" t="s">
        <v>1385</v>
      </c>
    </row>
    <row r="283" spans="1:17" x14ac:dyDescent="0.25">
      <c r="A283" t="s">
        <v>39</v>
      </c>
      <c r="B283" t="s">
        <v>2002</v>
      </c>
      <c r="C283" t="s">
        <v>341</v>
      </c>
      <c r="D283" t="s">
        <v>1407</v>
      </c>
      <c r="E283">
        <v>8022.546</v>
      </c>
      <c r="F283" t="s">
        <v>1381</v>
      </c>
      <c r="G283" t="s">
        <v>2003</v>
      </c>
      <c r="H283" t="s">
        <v>1648</v>
      </c>
      <c r="I283" t="s">
        <v>1393</v>
      </c>
      <c r="J283" t="s">
        <v>1385</v>
      </c>
      <c r="K283" t="b">
        <v>1</v>
      </c>
      <c r="L283" t="b">
        <v>0</v>
      </c>
      <c r="M283" t="s">
        <v>1385</v>
      </c>
      <c r="N283" t="s">
        <v>1386</v>
      </c>
      <c r="O283" t="s">
        <v>1387</v>
      </c>
      <c r="P283" t="s">
        <v>1388</v>
      </c>
      <c r="Q283" t="s">
        <v>1385</v>
      </c>
    </row>
    <row r="284" spans="1:17" x14ac:dyDescent="0.25">
      <c r="A284" t="s">
        <v>39</v>
      </c>
      <c r="B284" t="s">
        <v>2004</v>
      </c>
      <c r="C284" t="s">
        <v>341</v>
      </c>
      <c r="D284" t="s">
        <v>1411</v>
      </c>
      <c r="E284">
        <v>8124.134</v>
      </c>
      <c r="F284" t="s">
        <v>1381</v>
      </c>
      <c r="G284" t="s">
        <v>2005</v>
      </c>
      <c r="H284" t="s">
        <v>1648</v>
      </c>
      <c r="I284" t="s">
        <v>1397</v>
      </c>
      <c r="J284" t="s">
        <v>1385</v>
      </c>
      <c r="K284" t="b">
        <v>1</v>
      </c>
      <c r="L284" t="b">
        <v>0</v>
      </c>
      <c r="M284" t="s">
        <v>1385</v>
      </c>
      <c r="N284" t="s">
        <v>1386</v>
      </c>
      <c r="O284" t="s">
        <v>1387</v>
      </c>
      <c r="P284" t="s">
        <v>1388</v>
      </c>
      <c r="Q284" t="s">
        <v>1385</v>
      </c>
    </row>
    <row r="285" spans="1:17" x14ac:dyDescent="0.25">
      <c r="A285" t="s">
        <v>39</v>
      </c>
      <c r="B285" t="s">
        <v>2006</v>
      </c>
      <c r="C285" t="s">
        <v>341</v>
      </c>
      <c r="D285" t="s">
        <v>1415</v>
      </c>
      <c r="E285">
        <v>8270.145</v>
      </c>
      <c r="F285" t="s">
        <v>1381</v>
      </c>
      <c r="G285" t="s">
        <v>2007</v>
      </c>
      <c r="H285" t="s">
        <v>1648</v>
      </c>
      <c r="I285" t="s">
        <v>1473</v>
      </c>
      <c r="J285" t="s">
        <v>1385</v>
      </c>
      <c r="K285" t="b">
        <v>1</v>
      </c>
      <c r="L285" t="b">
        <v>0</v>
      </c>
      <c r="M285" t="s">
        <v>1385</v>
      </c>
      <c r="N285" t="s">
        <v>1386</v>
      </c>
      <c r="O285" t="s">
        <v>1387</v>
      </c>
      <c r="P285" t="s">
        <v>1388</v>
      </c>
      <c r="Q285" t="s">
        <v>1385</v>
      </c>
    </row>
    <row r="286" spans="1:17" x14ac:dyDescent="0.25">
      <c r="A286" t="s">
        <v>39</v>
      </c>
      <c r="B286" t="s">
        <v>2008</v>
      </c>
      <c r="C286" t="s">
        <v>341</v>
      </c>
      <c r="D286" t="s">
        <v>1419</v>
      </c>
      <c r="E286">
        <v>8311.857</v>
      </c>
      <c r="F286" t="s">
        <v>1381</v>
      </c>
      <c r="G286" t="s">
        <v>2009</v>
      </c>
      <c r="H286" t="s">
        <v>1648</v>
      </c>
      <c r="I286" t="s">
        <v>1405</v>
      </c>
      <c r="J286" t="s">
        <v>1385</v>
      </c>
      <c r="K286" t="b">
        <v>1</v>
      </c>
      <c r="L286" t="b">
        <v>0</v>
      </c>
      <c r="M286" t="s">
        <v>1385</v>
      </c>
      <c r="N286" t="s">
        <v>1386</v>
      </c>
      <c r="O286" t="s">
        <v>1387</v>
      </c>
      <c r="P286" t="s">
        <v>1388</v>
      </c>
      <c r="Q286" t="s">
        <v>1385</v>
      </c>
    </row>
    <row r="287" spans="1:17" x14ac:dyDescent="0.25">
      <c r="A287" t="s">
        <v>39</v>
      </c>
      <c r="B287" t="s">
        <v>2010</v>
      </c>
      <c r="C287" t="s">
        <v>341</v>
      </c>
      <c r="D287" t="s">
        <v>1423</v>
      </c>
      <c r="E287">
        <v>8309.035</v>
      </c>
      <c r="F287" t="s">
        <v>1381</v>
      </c>
      <c r="G287" t="s">
        <v>2011</v>
      </c>
      <c r="H287" t="s">
        <v>1648</v>
      </c>
      <c r="I287" t="s">
        <v>1409</v>
      </c>
      <c r="J287" t="s">
        <v>1385</v>
      </c>
      <c r="K287" t="b">
        <v>1</v>
      </c>
      <c r="L287" t="b">
        <v>0</v>
      </c>
      <c r="M287" t="s">
        <v>1385</v>
      </c>
      <c r="N287" t="s">
        <v>1386</v>
      </c>
      <c r="O287" t="s">
        <v>1387</v>
      </c>
      <c r="P287" t="s">
        <v>1388</v>
      </c>
      <c r="Q287" t="s">
        <v>1385</v>
      </c>
    </row>
    <row r="288" spans="1:17" x14ac:dyDescent="0.25">
      <c r="A288" t="s">
        <v>39</v>
      </c>
      <c r="B288" t="s">
        <v>2012</v>
      </c>
      <c r="C288" t="s">
        <v>341</v>
      </c>
      <c r="D288" t="s">
        <v>1425</v>
      </c>
      <c r="E288">
        <v>8461.907</v>
      </c>
      <c r="F288" t="s">
        <v>1381</v>
      </c>
      <c r="G288" t="s">
        <v>2013</v>
      </c>
      <c r="H288" t="s">
        <v>1648</v>
      </c>
      <c r="I288" t="s">
        <v>1413</v>
      </c>
      <c r="J288" t="s">
        <v>1385</v>
      </c>
      <c r="K288" t="b">
        <v>1</v>
      </c>
      <c r="L288" t="b">
        <v>0</v>
      </c>
      <c r="M288" t="s">
        <v>1385</v>
      </c>
      <c r="N288" t="s">
        <v>1386</v>
      </c>
      <c r="O288" t="s">
        <v>1387</v>
      </c>
      <c r="P288" t="s">
        <v>1388</v>
      </c>
      <c r="Q288" t="s">
        <v>1385</v>
      </c>
    </row>
    <row r="289" spans="1:17" x14ac:dyDescent="0.25">
      <c r="A289" t="s">
        <v>39</v>
      </c>
      <c r="B289" t="s">
        <v>2014</v>
      </c>
      <c r="C289" t="s">
        <v>341</v>
      </c>
      <c r="D289" t="s">
        <v>1428</v>
      </c>
      <c r="E289">
        <v>8574.825</v>
      </c>
      <c r="F289" t="s">
        <v>1381</v>
      </c>
      <c r="G289" t="s">
        <v>2015</v>
      </c>
      <c r="H289" t="s">
        <v>1648</v>
      </c>
      <c r="I289" t="s">
        <v>1473</v>
      </c>
      <c r="J289" t="s">
        <v>1385</v>
      </c>
      <c r="K289" t="b">
        <v>1</v>
      </c>
      <c r="L289" t="b">
        <v>0</v>
      </c>
      <c r="M289" t="s">
        <v>1385</v>
      </c>
      <c r="N289" t="s">
        <v>1386</v>
      </c>
      <c r="O289" t="s">
        <v>1387</v>
      </c>
      <c r="P289" t="s">
        <v>1388</v>
      </c>
      <c r="Q289" t="s">
        <v>1385</v>
      </c>
    </row>
    <row r="290" spans="1:17" x14ac:dyDescent="0.25">
      <c r="A290" t="s">
        <v>39</v>
      </c>
      <c r="B290" t="s">
        <v>2016</v>
      </c>
      <c r="C290" t="s">
        <v>2017</v>
      </c>
      <c r="D290" t="s">
        <v>1380</v>
      </c>
      <c r="E290">
        <v>0</v>
      </c>
      <c r="F290" t="s">
        <v>1464</v>
      </c>
      <c r="G290" t="s">
        <v>2018</v>
      </c>
      <c r="H290" t="s">
        <v>1648</v>
      </c>
      <c r="I290" t="s">
        <v>1385</v>
      </c>
      <c r="J290" t="s">
        <v>1385</v>
      </c>
      <c r="K290" t="b">
        <v>1</v>
      </c>
      <c r="L290" t="b">
        <v>0</v>
      </c>
      <c r="M290" t="s">
        <v>1385</v>
      </c>
      <c r="N290" t="s">
        <v>1386</v>
      </c>
      <c r="O290" t="s">
        <v>1387</v>
      </c>
      <c r="P290" t="s">
        <v>1388</v>
      </c>
      <c r="Q290" t="s">
        <v>2019</v>
      </c>
    </row>
    <row r="291" spans="1:17" x14ac:dyDescent="0.25">
      <c r="A291" t="s">
        <v>39</v>
      </c>
      <c r="B291" t="s">
        <v>2020</v>
      </c>
      <c r="C291" t="s">
        <v>2017</v>
      </c>
      <c r="D291" t="s">
        <v>1391</v>
      </c>
      <c r="E291">
        <v>0</v>
      </c>
      <c r="F291" t="s">
        <v>1464</v>
      </c>
      <c r="G291" t="s">
        <v>2018</v>
      </c>
      <c r="H291" t="s">
        <v>1648</v>
      </c>
      <c r="I291" t="s">
        <v>1385</v>
      </c>
      <c r="J291" t="s">
        <v>1385</v>
      </c>
      <c r="K291" t="b">
        <v>1</v>
      </c>
      <c r="L291" t="b">
        <v>0</v>
      </c>
      <c r="M291" t="s">
        <v>1385</v>
      </c>
      <c r="N291" t="s">
        <v>1386</v>
      </c>
      <c r="O291" t="s">
        <v>1387</v>
      </c>
      <c r="P291" t="s">
        <v>1388</v>
      </c>
      <c r="Q291" t="s">
        <v>2019</v>
      </c>
    </row>
    <row r="292" spans="1:17" x14ac:dyDescent="0.25">
      <c r="A292" t="s">
        <v>39</v>
      </c>
      <c r="B292" t="s">
        <v>2021</v>
      </c>
      <c r="C292" t="s">
        <v>2017</v>
      </c>
      <c r="D292" t="s">
        <v>1395</v>
      </c>
      <c r="E292">
        <v>0</v>
      </c>
      <c r="F292" t="s">
        <v>1464</v>
      </c>
      <c r="G292" t="s">
        <v>2018</v>
      </c>
      <c r="H292" t="s">
        <v>1648</v>
      </c>
      <c r="I292" t="s">
        <v>1385</v>
      </c>
      <c r="J292" t="s">
        <v>1385</v>
      </c>
      <c r="K292" t="b">
        <v>1</v>
      </c>
      <c r="L292" t="b">
        <v>0</v>
      </c>
      <c r="M292" t="s">
        <v>1385</v>
      </c>
      <c r="N292" t="s">
        <v>1386</v>
      </c>
      <c r="O292" t="s">
        <v>1387</v>
      </c>
      <c r="P292" t="s">
        <v>1388</v>
      </c>
      <c r="Q292" t="s">
        <v>2019</v>
      </c>
    </row>
    <row r="293" spans="1:17" x14ac:dyDescent="0.25">
      <c r="A293" t="s">
        <v>39</v>
      </c>
      <c r="B293" t="s">
        <v>2022</v>
      </c>
      <c r="C293" t="s">
        <v>2017</v>
      </c>
      <c r="D293" t="s">
        <v>1399</v>
      </c>
      <c r="E293">
        <v>0</v>
      </c>
      <c r="F293" t="s">
        <v>1464</v>
      </c>
      <c r="G293" t="s">
        <v>2018</v>
      </c>
      <c r="H293" t="s">
        <v>1648</v>
      </c>
      <c r="I293" t="s">
        <v>1385</v>
      </c>
      <c r="J293" t="s">
        <v>1385</v>
      </c>
      <c r="K293" t="b">
        <v>1</v>
      </c>
      <c r="L293" t="b">
        <v>0</v>
      </c>
      <c r="M293" t="s">
        <v>1385</v>
      </c>
      <c r="N293" t="s">
        <v>1386</v>
      </c>
      <c r="O293" t="s">
        <v>1387</v>
      </c>
      <c r="P293" t="s">
        <v>1388</v>
      </c>
      <c r="Q293" t="s">
        <v>2019</v>
      </c>
    </row>
    <row r="294" spans="1:17" x14ac:dyDescent="0.25">
      <c r="A294" t="s">
        <v>39</v>
      </c>
      <c r="B294" t="s">
        <v>2023</v>
      </c>
      <c r="C294" t="s">
        <v>2017</v>
      </c>
      <c r="D294" t="s">
        <v>1403</v>
      </c>
      <c r="E294">
        <v>0</v>
      </c>
      <c r="F294" t="s">
        <v>1464</v>
      </c>
      <c r="G294" t="s">
        <v>2018</v>
      </c>
      <c r="H294" t="s">
        <v>1648</v>
      </c>
      <c r="I294" t="s">
        <v>1385</v>
      </c>
      <c r="J294" t="s">
        <v>1385</v>
      </c>
      <c r="K294" t="b">
        <v>1</v>
      </c>
      <c r="L294" t="b">
        <v>0</v>
      </c>
      <c r="M294" t="s">
        <v>1385</v>
      </c>
      <c r="N294" t="s">
        <v>1386</v>
      </c>
      <c r="O294" t="s">
        <v>1387</v>
      </c>
      <c r="P294" t="s">
        <v>1388</v>
      </c>
      <c r="Q294" t="s">
        <v>2019</v>
      </c>
    </row>
    <row r="295" spans="1:17" x14ac:dyDescent="0.25">
      <c r="A295" t="s">
        <v>39</v>
      </c>
      <c r="B295" t="s">
        <v>2024</v>
      </c>
      <c r="C295" t="s">
        <v>2017</v>
      </c>
      <c r="D295" t="s">
        <v>1407</v>
      </c>
      <c r="E295">
        <v>0</v>
      </c>
      <c r="F295" t="s">
        <v>1464</v>
      </c>
      <c r="G295" t="s">
        <v>2018</v>
      </c>
      <c r="H295" t="s">
        <v>1648</v>
      </c>
      <c r="I295" t="s">
        <v>1385</v>
      </c>
      <c r="J295" t="s">
        <v>1385</v>
      </c>
      <c r="K295" t="b">
        <v>1</v>
      </c>
      <c r="L295" t="b">
        <v>0</v>
      </c>
      <c r="M295" t="s">
        <v>1385</v>
      </c>
      <c r="N295" t="s">
        <v>1386</v>
      </c>
      <c r="O295" t="s">
        <v>1387</v>
      </c>
      <c r="P295" t="s">
        <v>1388</v>
      </c>
      <c r="Q295" t="s">
        <v>2019</v>
      </c>
    </row>
    <row r="296" spans="1:17" x14ac:dyDescent="0.25">
      <c r="A296" t="s">
        <v>39</v>
      </c>
      <c r="B296" t="s">
        <v>2025</v>
      </c>
      <c r="C296" t="s">
        <v>2017</v>
      </c>
      <c r="D296" t="s">
        <v>1411</v>
      </c>
      <c r="E296">
        <v>0</v>
      </c>
      <c r="F296" t="s">
        <v>1464</v>
      </c>
      <c r="G296" t="s">
        <v>2018</v>
      </c>
      <c r="H296" t="s">
        <v>1648</v>
      </c>
      <c r="I296" t="s">
        <v>1385</v>
      </c>
      <c r="J296" t="s">
        <v>1385</v>
      </c>
      <c r="K296" t="b">
        <v>1</v>
      </c>
      <c r="L296" t="b">
        <v>0</v>
      </c>
      <c r="M296" t="s">
        <v>1385</v>
      </c>
      <c r="N296" t="s">
        <v>1386</v>
      </c>
      <c r="O296" t="s">
        <v>1387</v>
      </c>
      <c r="P296" t="s">
        <v>1388</v>
      </c>
      <c r="Q296" t="s">
        <v>2019</v>
      </c>
    </row>
    <row r="297" spans="1:17" x14ac:dyDescent="0.25">
      <c r="A297" t="s">
        <v>39</v>
      </c>
      <c r="B297" t="s">
        <v>2026</v>
      </c>
      <c r="C297" t="s">
        <v>2017</v>
      </c>
      <c r="D297" t="s">
        <v>1415</v>
      </c>
      <c r="E297">
        <v>0</v>
      </c>
      <c r="F297" t="s">
        <v>1464</v>
      </c>
      <c r="G297" t="s">
        <v>2018</v>
      </c>
      <c r="H297" t="s">
        <v>1648</v>
      </c>
      <c r="I297" t="s">
        <v>1385</v>
      </c>
      <c r="J297" t="s">
        <v>1385</v>
      </c>
      <c r="K297" t="b">
        <v>1</v>
      </c>
      <c r="L297" t="b">
        <v>0</v>
      </c>
      <c r="M297" t="s">
        <v>1385</v>
      </c>
      <c r="N297" t="s">
        <v>1386</v>
      </c>
      <c r="O297" t="s">
        <v>1387</v>
      </c>
      <c r="P297" t="s">
        <v>1388</v>
      </c>
      <c r="Q297" t="s">
        <v>2019</v>
      </c>
    </row>
    <row r="298" spans="1:17" x14ac:dyDescent="0.25">
      <c r="A298" t="s">
        <v>39</v>
      </c>
      <c r="B298" t="s">
        <v>2027</v>
      </c>
      <c r="C298" t="s">
        <v>2017</v>
      </c>
      <c r="D298" t="s">
        <v>1419</v>
      </c>
      <c r="E298">
        <v>0</v>
      </c>
      <c r="F298" t="s">
        <v>1464</v>
      </c>
      <c r="G298" t="s">
        <v>2018</v>
      </c>
      <c r="H298" t="s">
        <v>1648</v>
      </c>
      <c r="I298" t="s">
        <v>1385</v>
      </c>
      <c r="J298" t="s">
        <v>1385</v>
      </c>
      <c r="K298" t="b">
        <v>1</v>
      </c>
      <c r="L298" t="b">
        <v>0</v>
      </c>
      <c r="M298" t="s">
        <v>1385</v>
      </c>
      <c r="N298" t="s">
        <v>1386</v>
      </c>
      <c r="O298" t="s">
        <v>1387</v>
      </c>
      <c r="P298" t="s">
        <v>1388</v>
      </c>
      <c r="Q298" t="s">
        <v>2019</v>
      </c>
    </row>
    <row r="299" spans="1:17" x14ac:dyDescent="0.25">
      <c r="A299" t="s">
        <v>39</v>
      </c>
      <c r="B299" t="s">
        <v>2028</v>
      </c>
      <c r="C299" t="s">
        <v>2017</v>
      </c>
      <c r="D299" t="s">
        <v>1423</v>
      </c>
      <c r="E299">
        <v>0</v>
      </c>
      <c r="F299" t="s">
        <v>1464</v>
      </c>
      <c r="G299" t="s">
        <v>2018</v>
      </c>
      <c r="H299" t="s">
        <v>1648</v>
      </c>
      <c r="I299" t="s">
        <v>1385</v>
      </c>
      <c r="J299" t="s">
        <v>1385</v>
      </c>
      <c r="K299" t="b">
        <v>1</v>
      </c>
      <c r="L299" t="b">
        <v>0</v>
      </c>
      <c r="M299" t="s">
        <v>1385</v>
      </c>
      <c r="N299" t="s">
        <v>1386</v>
      </c>
      <c r="O299" t="s">
        <v>1387</v>
      </c>
      <c r="P299" t="s">
        <v>1388</v>
      </c>
      <c r="Q299" t="s">
        <v>2019</v>
      </c>
    </row>
    <row r="300" spans="1:17" x14ac:dyDescent="0.25">
      <c r="A300" t="s">
        <v>39</v>
      </c>
      <c r="B300" t="s">
        <v>2029</v>
      </c>
      <c r="C300" t="s">
        <v>2017</v>
      </c>
      <c r="D300" t="s">
        <v>1425</v>
      </c>
      <c r="E300">
        <v>0</v>
      </c>
      <c r="F300" t="s">
        <v>1464</v>
      </c>
      <c r="G300" t="s">
        <v>2018</v>
      </c>
      <c r="H300" t="s">
        <v>1648</v>
      </c>
      <c r="I300" t="s">
        <v>1385</v>
      </c>
      <c r="J300" t="s">
        <v>1385</v>
      </c>
      <c r="K300" t="b">
        <v>1</v>
      </c>
      <c r="L300" t="b">
        <v>0</v>
      </c>
      <c r="M300" t="s">
        <v>1385</v>
      </c>
      <c r="N300" t="s">
        <v>1386</v>
      </c>
      <c r="O300" t="s">
        <v>1387</v>
      </c>
      <c r="P300" t="s">
        <v>1388</v>
      </c>
      <c r="Q300" t="s">
        <v>2019</v>
      </c>
    </row>
    <row r="301" spans="1:17" x14ac:dyDescent="0.25">
      <c r="A301" t="s">
        <v>39</v>
      </c>
      <c r="B301" t="s">
        <v>2030</v>
      </c>
      <c r="C301" t="s">
        <v>2017</v>
      </c>
      <c r="D301" t="s">
        <v>1428</v>
      </c>
      <c r="E301">
        <v>0</v>
      </c>
      <c r="F301" t="s">
        <v>1464</v>
      </c>
      <c r="G301" t="s">
        <v>2018</v>
      </c>
      <c r="H301" t="s">
        <v>1648</v>
      </c>
      <c r="I301" t="s">
        <v>1385</v>
      </c>
      <c r="J301" t="s">
        <v>1385</v>
      </c>
      <c r="K301" t="b">
        <v>1</v>
      </c>
      <c r="L301" t="b">
        <v>0</v>
      </c>
      <c r="M301" t="s">
        <v>1385</v>
      </c>
      <c r="N301" t="s">
        <v>1386</v>
      </c>
      <c r="O301" t="s">
        <v>1387</v>
      </c>
      <c r="P301" t="s">
        <v>1388</v>
      </c>
      <c r="Q301" t="s">
        <v>2019</v>
      </c>
    </row>
    <row r="302" spans="1:17" x14ac:dyDescent="0.25">
      <c r="A302" t="s">
        <v>39</v>
      </c>
      <c r="B302" t="s">
        <v>2031</v>
      </c>
      <c r="C302" t="s">
        <v>343</v>
      </c>
      <c r="D302" t="s">
        <v>1380</v>
      </c>
      <c r="E302">
        <v>-421.105</v>
      </c>
      <c r="F302" t="s">
        <v>1381</v>
      </c>
      <c r="G302" t="s">
        <v>2032</v>
      </c>
      <c r="H302" t="s">
        <v>1648</v>
      </c>
      <c r="I302" t="s">
        <v>1649</v>
      </c>
      <c r="J302" t="s">
        <v>1385</v>
      </c>
      <c r="K302" t="b">
        <v>1</v>
      </c>
      <c r="L302" t="b">
        <v>0</v>
      </c>
      <c r="M302" t="s">
        <v>1385</v>
      </c>
      <c r="N302" t="s">
        <v>1386</v>
      </c>
      <c r="O302" t="s">
        <v>1387</v>
      </c>
      <c r="P302" t="s">
        <v>1388</v>
      </c>
      <c r="Q302" t="s">
        <v>1385</v>
      </c>
    </row>
    <row r="303" spans="1:17" x14ac:dyDescent="0.25">
      <c r="A303" t="s">
        <v>39</v>
      </c>
      <c r="B303" t="s">
        <v>2033</v>
      </c>
      <c r="C303" t="s">
        <v>343</v>
      </c>
      <c r="D303" t="s">
        <v>1391</v>
      </c>
      <c r="E303">
        <v>-370.052</v>
      </c>
      <c r="F303" t="s">
        <v>1381</v>
      </c>
      <c r="G303" t="s">
        <v>2034</v>
      </c>
      <c r="H303" t="s">
        <v>1648</v>
      </c>
      <c r="I303" t="s">
        <v>1653</v>
      </c>
      <c r="J303" t="s">
        <v>1385</v>
      </c>
      <c r="K303" t="b">
        <v>1</v>
      </c>
      <c r="L303" t="b">
        <v>0</v>
      </c>
      <c r="M303" t="s">
        <v>1385</v>
      </c>
      <c r="N303" t="s">
        <v>1386</v>
      </c>
      <c r="O303" t="s">
        <v>1387</v>
      </c>
      <c r="P303" t="s">
        <v>1388</v>
      </c>
      <c r="Q303" t="s">
        <v>1385</v>
      </c>
    </row>
    <row r="304" spans="1:17" x14ac:dyDescent="0.25">
      <c r="A304" t="s">
        <v>39</v>
      </c>
      <c r="B304" t="s">
        <v>2035</v>
      </c>
      <c r="C304" t="s">
        <v>343</v>
      </c>
      <c r="D304" t="s">
        <v>1395</v>
      </c>
      <c r="E304">
        <v>-398.25</v>
      </c>
      <c r="F304" t="s">
        <v>1381</v>
      </c>
      <c r="G304" t="s">
        <v>2036</v>
      </c>
      <c r="H304" t="s">
        <v>1648</v>
      </c>
      <c r="I304" t="s">
        <v>1656</v>
      </c>
      <c r="J304" t="s">
        <v>1385</v>
      </c>
      <c r="K304" t="b">
        <v>1</v>
      </c>
      <c r="L304" t="b">
        <v>0</v>
      </c>
      <c r="M304" t="s">
        <v>1385</v>
      </c>
      <c r="N304" t="s">
        <v>1386</v>
      </c>
      <c r="O304" t="s">
        <v>1387</v>
      </c>
      <c r="P304" t="s">
        <v>1388</v>
      </c>
      <c r="Q304" t="s">
        <v>1385</v>
      </c>
    </row>
    <row r="305" spans="1:17" x14ac:dyDescent="0.25">
      <c r="A305" t="s">
        <v>39</v>
      </c>
      <c r="B305" t="s">
        <v>2037</v>
      </c>
      <c r="C305" t="s">
        <v>343</v>
      </c>
      <c r="D305" t="s">
        <v>1399</v>
      </c>
      <c r="E305">
        <v>-395.545</v>
      </c>
      <c r="F305" t="s">
        <v>1381</v>
      </c>
      <c r="G305" t="s">
        <v>2038</v>
      </c>
      <c r="H305" t="s">
        <v>1648</v>
      </c>
      <c r="I305" t="s">
        <v>1659</v>
      </c>
      <c r="J305" t="s">
        <v>1385</v>
      </c>
      <c r="K305" t="b">
        <v>1</v>
      </c>
      <c r="L305" t="b">
        <v>0</v>
      </c>
      <c r="M305" t="s">
        <v>1385</v>
      </c>
      <c r="N305" t="s">
        <v>1386</v>
      </c>
      <c r="O305" t="s">
        <v>1387</v>
      </c>
      <c r="P305" t="s">
        <v>1388</v>
      </c>
      <c r="Q305" t="s">
        <v>1385</v>
      </c>
    </row>
    <row r="306" spans="1:17" x14ac:dyDescent="0.25">
      <c r="A306" t="s">
        <v>39</v>
      </c>
      <c r="B306" t="s">
        <v>2039</v>
      </c>
      <c r="C306" t="s">
        <v>343</v>
      </c>
      <c r="D306" t="s">
        <v>1403</v>
      </c>
      <c r="E306">
        <v>-396.438</v>
      </c>
      <c r="F306" t="s">
        <v>1381</v>
      </c>
      <c r="G306" t="s">
        <v>2040</v>
      </c>
      <c r="H306" t="s">
        <v>1648</v>
      </c>
      <c r="I306" t="s">
        <v>1384</v>
      </c>
      <c r="J306" t="s">
        <v>1385</v>
      </c>
      <c r="K306" t="b">
        <v>1</v>
      </c>
      <c r="L306" t="b">
        <v>0</v>
      </c>
      <c r="M306" t="s">
        <v>1385</v>
      </c>
      <c r="N306" t="s">
        <v>1386</v>
      </c>
      <c r="O306" t="s">
        <v>1387</v>
      </c>
      <c r="P306" t="s">
        <v>1388</v>
      </c>
      <c r="Q306" t="s">
        <v>1385</v>
      </c>
    </row>
    <row r="307" spans="1:17" x14ac:dyDescent="0.25">
      <c r="A307" t="s">
        <v>39</v>
      </c>
      <c r="B307" t="s">
        <v>2041</v>
      </c>
      <c r="C307" t="s">
        <v>343</v>
      </c>
      <c r="D307" t="s">
        <v>1407</v>
      </c>
      <c r="E307">
        <v>-410.734</v>
      </c>
      <c r="F307" t="s">
        <v>1381</v>
      </c>
      <c r="G307" t="s">
        <v>2042</v>
      </c>
      <c r="H307" t="s">
        <v>1648</v>
      </c>
      <c r="I307" t="s">
        <v>1393</v>
      </c>
      <c r="J307" t="s">
        <v>1385</v>
      </c>
      <c r="K307" t="b">
        <v>1</v>
      </c>
      <c r="L307" t="b">
        <v>0</v>
      </c>
      <c r="M307" t="s">
        <v>1385</v>
      </c>
      <c r="N307" t="s">
        <v>1386</v>
      </c>
      <c r="O307" t="s">
        <v>1387</v>
      </c>
      <c r="P307" t="s">
        <v>1388</v>
      </c>
      <c r="Q307" t="s">
        <v>1385</v>
      </c>
    </row>
    <row r="308" spans="1:17" x14ac:dyDescent="0.25">
      <c r="A308" t="s">
        <v>39</v>
      </c>
      <c r="B308" t="s">
        <v>2043</v>
      </c>
      <c r="C308" t="s">
        <v>343</v>
      </c>
      <c r="D308" t="s">
        <v>1411</v>
      </c>
      <c r="E308">
        <v>-369.965</v>
      </c>
      <c r="F308" t="s">
        <v>1381</v>
      </c>
      <c r="G308" t="s">
        <v>2044</v>
      </c>
      <c r="H308" t="s">
        <v>1648</v>
      </c>
      <c r="I308" t="s">
        <v>1397</v>
      </c>
      <c r="J308" t="s">
        <v>1385</v>
      </c>
      <c r="K308" t="b">
        <v>1</v>
      </c>
      <c r="L308" t="b">
        <v>0</v>
      </c>
      <c r="M308" t="s">
        <v>1385</v>
      </c>
      <c r="N308" t="s">
        <v>1386</v>
      </c>
      <c r="O308" t="s">
        <v>1387</v>
      </c>
      <c r="P308" t="s">
        <v>1388</v>
      </c>
      <c r="Q308" t="s">
        <v>1385</v>
      </c>
    </row>
    <row r="309" spans="1:17" x14ac:dyDescent="0.25">
      <c r="A309" t="s">
        <v>39</v>
      </c>
      <c r="B309" t="s">
        <v>2045</v>
      </c>
      <c r="C309" t="s">
        <v>343</v>
      </c>
      <c r="D309" t="s">
        <v>1415</v>
      </c>
      <c r="E309">
        <v>-423.131</v>
      </c>
      <c r="F309" t="s">
        <v>1381</v>
      </c>
      <c r="G309" t="s">
        <v>2046</v>
      </c>
      <c r="H309" t="s">
        <v>1648</v>
      </c>
      <c r="I309" t="s">
        <v>1473</v>
      </c>
      <c r="J309" t="s">
        <v>1385</v>
      </c>
      <c r="K309" t="b">
        <v>1</v>
      </c>
      <c r="L309" t="b">
        <v>0</v>
      </c>
      <c r="M309" t="s">
        <v>1385</v>
      </c>
      <c r="N309" t="s">
        <v>1386</v>
      </c>
      <c r="O309" t="s">
        <v>1387</v>
      </c>
      <c r="P309" t="s">
        <v>1388</v>
      </c>
      <c r="Q309" t="s">
        <v>1385</v>
      </c>
    </row>
    <row r="310" spans="1:17" x14ac:dyDescent="0.25">
      <c r="A310" t="s">
        <v>39</v>
      </c>
      <c r="B310" t="s">
        <v>2047</v>
      </c>
      <c r="C310" t="s">
        <v>343</v>
      </c>
      <c r="D310" t="s">
        <v>1419</v>
      </c>
      <c r="E310">
        <v>-408.072</v>
      </c>
      <c r="F310" t="s">
        <v>1381</v>
      </c>
      <c r="G310" t="s">
        <v>2048</v>
      </c>
      <c r="H310" t="s">
        <v>1648</v>
      </c>
      <c r="I310" t="s">
        <v>1405</v>
      </c>
      <c r="J310" t="s">
        <v>1385</v>
      </c>
      <c r="K310" t="b">
        <v>1</v>
      </c>
      <c r="L310" t="b">
        <v>0</v>
      </c>
      <c r="M310" t="s">
        <v>1385</v>
      </c>
      <c r="N310" t="s">
        <v>1386</v>
      </c>
      <c r="O310" t="s">
        <v>1387</v>
      </c>
      <c r="P310" t="s">
        <v>1388</v>
      </c>
      <c r="Q310" t="s">
        <v>1385</v>
      </c>
    </row>
    <row r="311" spans="1:17" x14ac:dyDescent="0.25">
      <c r="A311" t="s">
        <v>39</v>
      </c>
      <c r="B311" t="s">
        <v>2049</v>
      </c>
      <c r="C311" t="s">
        <v>343</v>
      </c>
      <c r="D311" t="s">
        <v>1423</v>
      </c>
      <c r="E311">
        <v>-339.695</v>
      </c>
      <c r="F311" t="s">
        <v>1381</v>
      </c>
      <c r="G311" t="s">
        <v>2050</v>
      </c>
      <c r="H311" t="s">
        <v>1648</v>
      </c>
      <c r="I311" t="s">
        <v>1409</v>
      </c>
      <c r="J311" t="s">
        <v>1385</v>
      </c>
      <c r="K311" t="b">
        <v>1</v>
      </c>
      <c r="L311" t="b">
        <v>0</v>
      </c>
      <c r="M311" t="s">
        <v>1385</v>
      </c>
      <c r="N311" t="s">
        <v>1386</v>
      </c>
      <c r="O311" t="s">
        <v>1387</v>
      </c>
      <c r="P311" t="s">
        <v>1388</v>
      </c>
      <c r="Q311" t="s">
        <v>1385</v>
      </c>
    </row>
    <row r="312" spans="1:17" x14ac:dyDescent="0.25">
      <c r="A312" t="s">
        <v>39</v>
      </c>
      <c r="B312" t="s">
        <v>2051</v>
      </c>
      <c r="C312" t="s">
        <v>343</v>
      </c>
      <c r="D312" t="s">
        <v>1425</v>
      </c>
      <c r="E312">
        <v>-374.927</v>
      </c>
      <c r="F312" t="s">
        <v>1381</v>
      </c>
      <c r="G312" t="s">
        <v>2052</v>
      </c>
      <c r="H312" t="s">
        <v>1648</v>
      </c>
      <c r="I312" t="s">
        <v>1413</v>
      </c>
      <c r="J312" t="s">
        <v>1385</v>
      </c>
      <c r="K312" t="b">
        <v>1</v>
      </c>
      <c r="L312" t="b">
        <v>0</v>
      </c>
      <c r="M312" t="s">
        <v>1385</v>
      </c>
      <c r="N312" t="s">
        <v>1386</v>
      </c>
      <c r="O312" t="s">
        <v>1387</v>
      </c>
      <c r="P312" t="s">
        <v>1388</v>
      </c>
      <c r="Q312" t="s">
        <v>1385</v>
      </c>
    </row>
    <row r="313" spans="1:17" x14ac:dyDescent="0.25">
      <c r="A313" t="s">
        <v>39</v>
      </c>
      <c r="B313" t="s">
        <v>2053</v>
      </c>
      <c r="C313" t="s">
        <v>343</v>
      </c>
      <c r="D313" t="s">
        <v>1428</v>
      </c>
      <c r="E313">
        <v>-384.434</v>
      </c>
      <c r="F313" t="s">
        <v>1381</v>
      </c>
      <c r="G313" t="s">
        <v>2054</v>
      </c>
      <c r="H313" t="s">
        <v>1648</v>
      </c>
      <c r="I313" t="s">
        <v>1473</v>
      </c>
      <c r="J313" t="s">
        <v>1385</v>
      </c>
      <c r="K313" t="b">
        <v>1</v>
      </c>
      <c r="L313" t="b">
        <v>0</v>
      </c>
      <c r="M313" t="s">
        <v>1385</v>
      </c>
      <c r="N313" t="s">
        <v>1386</v>
      </c>
      <c r="O313" t="s">
        <v>1387</v>
      </c>
      <c r="P313" t="s">
        <v>1388</v>
      </c>
      <c r="Q313" t="s">
        <v>1385</v>
      </c>
    </row>
    <row r="314" spans="1:17" x14ac:dyDescent="0.25">
      <c r="A314" t="s">
        <v>39</v>
      </c>
      <c r="B314" t="s">
        <v>2055</v>
      </c>
      <c r="C314" t="s">
        <v>345</v>
      </c>
      <c r="D314" t="s">
        <v>1380</v>
      </c>
      <c r="E314">
        <v>56.185</v>
      </c>
      <c r="F314" t="s">
        <v>1381</v>
      </c>
      <c r="G314" t="s">
        <v>2056</v>
      </c>
      <c r="H314" t="s">
        <v>1648</v>
      </c>
      <c r="I314" t="s">
        <v>1649</v>
      </c>
      <c r="J314" t="s">
        <v>1385</v>
      </c>
      <c r="K314" t="b">
        <v>1</v>
      </c>
      <c r="L314" t="b">
        <v>0</v>
      </c>
      <c r="M314" t="s">
        <v>1385</v>
      </c>
      <c r="N314" t="s">
        <v>1386</v>
      </c>
      <c r="O314" t="s">
        <v>1387</v>
      </c>
      <c r="P314" t="s">
        <v>1388</v>
      </c>
      <c r="Q314" t="s">
        <v>1385</v>
      </c>
    </row>
    <row r="315" spans="1:17" x14ac:dyDescent="0.25">
      <c r="A315" t="s">
        <v>39</v>
      </c>
      <c r="B315" t="s">
        <v>2057</v>
      </c>
      <c r="C315" t="s">
        <v>345</v>
      </c>
      <c r="D315" t="s">
        <v>1391</v>
      </c>
      <c r="E315">
        <v>69.595</v>
      </c>
      <c r="F315" t="s">
        <v>1381</v>
      </c>
      <c r="G315" t="s">
        <v>2058</v>
      </c>
      <c r="H315" t="s">
        <v>1648</v>
      </c>
      <c r="I315" t="s">
        <v>1653</v>
      </c>
      <c r="J315" t="s">
        <v>1385</v>
      </c>
      <c r="K315" t="b">
        <v>1</v>
      </c>
      <c r="L315" t="b">
        <v>0</v>
      </c>
      <c r="M315" t="s">
        <v>1385</v>
      </c>
      <c r="N315" t="s">
        <v>1386</v>
      </c>
      <c r="O315" t="s">
        <v>1387</v>
      </c>
      <c r="P315" t="s">
        <v>1388</v>
      </c>
      <c r="Q315" t="s">
        <v>1385</v>
      </c>
    </row>
    <row r="316" spans="1:17" x14ac:dyDescent="0.25">
      <c r="A316" t="s">
        <v>39</v>
      </c>
      <c r="B316" t="s">
        <v>2059</v>
      </c>
      <c r="C316" t="s">
        <v>345</v>
      </c>
      <c r="D316" t="s">
        <v>1395</v>
      </c>
      <c r="E316">
        <v>66.284</v>
      </c>
      <c r="F316" t="s">
        <v>1381</v>
      </c>
      <c r="G316" t="s">
        <v>2060</v>
      </c>
      <c r="H316" t="s">
        <v>1648</v>
      </c>
      <c r="I316" t="s">
        <v>1656</v>
      </c>
      <c r="J316" t="s">
        <v>1385</v>
      </c>
      <c r="K316" t="b">
        <v>1</v>
      </c>
      <c r="L316" t="b">
        <v>0</v>
      </c>
      <c r="M316" t="s">
        <v>1385</v>
      </c>
      <c r="N316" t="s">
        <v>1386</v>
      </c>
      <c r="O316" t="s">
        <v>1387</v>
      </c>
      <c r="P316" t="s">
        <v>1388</v>
      </c>
      <c r="Q316" t="s">
        <v>1385</v>
      </c>
    </row>
    <row r="317" spans="1:17" x14ac:dyDescent="0.25">
      <c r="A317" t="s">
        <v>39</v>
      </c>
      <c r="B317" t="s">
        <v>2061</v>
      </c>
      <c r="C317" t="s">
        <v>345</v>
      </c>
      <c r="D317" t="s">
        <v>1399</v>
      </c>
      <c r="E317">
        <v>92.308</v>
      </c>
      <c r="F317" t="s">
        <v>1381</v>
      </c>
      <c r="G317" t="s">
        <v>2062</v>
      </c>
      <c r="H317" t="s">
        <v>1648</v>
      </c>
      <c r="I317" t="s">
        <v>1659</v>
      </c>
      <c r="J317" t="s">
        <v>1385</v>
      </c>
      <c r="K317" t="b">
        <v>1</v>
      </c>
      <c r="L317" t="b">
        <v>0</v>
      </c>
      <c r="M317" t="s">
        <v>1385</v>
      </c>
      <c r="N317" t="s">
        <v>1386</v>
      </c>
      <c r="O317" t="s">
        <v>1387</v>
      </c>
      <c r="P317" t="s">
        <v>1388</v>
      </c>
      <c r="Q317" t="s">
        <v>1385</v>
      </c>
    </row>
    <row r="318" spans="1:17" x14ac:dyDescent="0.25">
      <c r="A318" t="s">
        <v>39</v>
      </c>
      <c r="B318" t="s">
        <v>2063</v>
      </c>
      <c r="C318" t="s">
        <v>345</v>
      </c>
      <c r="D318" t="s">
        <v>1403</v>
      </c>
      <c r="E318">
        <v>87.372</v>
      </c>
      <c r="F318" t="s">
        <v>1381</v>
      </c>
      <c r="G318" t="s">
        <v>2064</v>
      </c>
      <c r="H318" t="s">
        <v>1648</v>
      </c>
      <c r="I318" t="s">
        <v>1384</v>
      </c>
      <c r="J318" t="s">
        <v>1385</v>
      </c>
      <c r="K318" t="b">
        <v>1</v>
      </c>
      <c r="L318" t="b">
        <v>0</v>
      </c>
      <c r="M318" t="s">
        <v>1385</v>
      </c>
      <c r="N318" t="s">
        <v>1386</v>
      </c>
      <c r="O318" t="s">
        <v>1387</v>
      </c>
      <c r="P318" t="s">
        <v>1388</v>
      </c>
      <c r="Q318" t="s">
        <v>1385</v>
      </c>
    </row>
    <row r="319" spans="1:17" x14ac:dyDescent="0.25">
      <c r="A319" t="s">
        <v>39</v>
      </c>
      <c r="B319" t="s">
        <v>2065</v>
      </c>
      <c r="C319" t="s">
        <v>345</v>
      </c>
      <c r="D319" t="s">
        <v>1407</v>
      </c>
      <c r="E319">
        <v>77.13</v>
      </c>
      <c r="F319" t="s">
        <v>1381</v>
      </c>
      <c r="G319" t="s">
        <v>2066</v>
      </c>
      <c r="H319" t="s">
        <v>1648</v>
      </c>
      <c r="I319" t="s">
        <v>1393</v>
      </c>
      <c r="J319" t="s">
        <v>1385</v>
      </c>
      <c r="K319" t="b">
        <v>1</v>
      </c>
      <c r="L319" t="b">
        <v>0</v>
      </c>
      <c r="M319" t="s">
        <v>1385</v>
      </c>
      <c r="N319" t="s">
        <v>1386</v>
      </c>
      <c r="O319" t="s">
        <v>1387</v>
      </c>
      <c r="P319" t="s">
        <v>1388</v>
      </c>
      <c r="Q319" t="s">
        <v>1385</v>
      </c>
    </row>
    <row r="320" spans="1:17" x14ac:dyDescent="0.25">
      <c r="A320" t="s">
        <v>39</v>
      </c>
      <c r="B320" t="s">
        <v>2067</v>
      </c>
      <c r="C320" t="s">
        <v>345</v>
      </c>
      <c r="D320" t="s">
        <v>1411</v>
      </c>
      <c r="E320">
        <v>69.415</v>
      </c>
      <c r="F320" t="s">
        <v>1381</v>
      </c>
      <c r="G320" t="s">
        <v>2068</v>
      </c>
      <c r="H320" t="s">
        <v>1648</v>
      </c>
      <c r="I320" t="s">
        <v>1397</v>
      </c>
      <c r="J320" t="s">
        <v>1385</v>
      </c>
      <c r="K320" t="b">
        <v>1</v>
      </c>
      <c r="L320" t="b">
        <v>0</v>
      </c>
      <c r="M320" t="s">
        <v>1385</v>
      </c>
      <c r="N320" t="s">
        <v>1386</v>
      </c>
      <c r="O320" t="s">
        <v>1387</v>
      </c>
      <c r="P320" t="s">
        <v>1388</v>
      </c>
      <c r="Q320" t="s">
        <v>1385</v>
      </c>
    </row>
    <row r="321" spans="1:17" x14ac:dyDescent="0.25">
      <c r="A321" t="s">
        <v>39</v>
      </c>
      <c r="B321" t="s">
        <v>2069</v>
      </c>
      <c r="C321" t="s">
        <v>345</v>
      </c>
      <c r="D321" t="s">
        <v>1415</v>
      </c>
      <c r="E321">
        <v>68.215</v>
      </c>
      <c r="F321" t="s">
        <v>1381</v>
      </c>
      <c r="G321" t="s">
        <v>2070</v>
      </c>
      <c r="H321" t="s">
        <v>1648</v>
      </c>
      <c r="I321" t="s">
        <v>1473</v>
      </c>
      <c r="J321" t="s">
        <v>1385</v>
      </c>
      <c r="K321" t="b">
        <v>1</v>
      </c>
      <c r="L321" t="b">
        <v>0</v>
      </c>
      <c r="M321" t="s">
        <v>1385</v>
      </c>
      <c r="N321" t="s">
        <v>1386</v>
      </c>
      <c r="O321" t="s">
        <v>1387</v>
      </c>
      <c r="P321" t="s">
        <v>1388</v>
      </c>
      <c r="Q321" t="s">
        <v>1385</v>
      </c>
    </row>
    <row r="322" spans="1:17" x14ac:dyDescent="0.25">
      <c r="A322" t="s">
        <v>39</v>
      </c>
      <c r="B322" t="s">
        <v>2071</v>
      </c>
      <c r="C322" t="s">
        <v>345</v>
      </c>
      <c r="D322" t="s">
        <v>1419</v>
      </c>
      <c r="E322">
        <v>64.211</v>
      </c>
      <c r="F322" t="s">
        <v>1381</v>
      </c>
      <c r="G322" t="s">
        <v>2072</v>
      </c>
      <c r="H322" t="s">
        <v>1648</v>
      </c>
      <c r="I322" t="s">
        <v>1405</v>
      </c>
      <c r="J322" t="s">
        <v>1385</v>
      </c>
      <c r="K322" t="b">
        <v>1</v>
      </c>
      <c r="L322" t="b">
        <v>0</v>
      </c>
      <c r="M322" t="s">
        <v>1385</v>
      </c>
      <c r="N322" t="s">
        <v>1386</v>
      </c>
      <c r="O322" t="s">
        <v>1387</v>
      </c>
      <c r="P322" t="s">
        <v>1388</v>
      </c>
      <c r="Q322" t="s">
        <v>1385</v>
      </c>
    </row>
    <row r="323" spans="1:17" x14ac:dyDescent="0.25">
      <c r="A323" t="s">
        <v>39</v>
      </c>
      <c r="B323" t="s">
        <v>2073</v>
      </c>
      <c r="C323" t="s">
        <v>345</v>
      </c>
      <c r="D323" t="s">
        <v>1423</v>
      </c>
      <c r="E323">
        <v>77.149</v>
      </c>
      <c r="F323" t="s">
        <v>1381</v>
      </c>
      <c r="G323" t="s">
        <v>2066</v>
      </c>
      <c r="H323" t="s">
        <v>1648</v>
      </c>
      <c r="I323" t="s">
        <v>1409</v>
      </c>
      <c r="J323" t="s">
        <v>1385</v>
      </c>
      <c r="K323" t="b">
        <v>1</v>
      </c>
      <c r="L323" t="b">
        <v>0</v>
      </c>
      <c r="M323" t="s">
        <v>1385</v>
      </c>
      <c r="N323" t="s">
        <v>1386</v>
      </c>
      <c r="O323" t="s">
        <v>1387</v>
      </c>
      <c r="P323" t="s">
        <v>1388</v>
      </c>
      <c r="Q323" t="s">
        <v>1385</v>
      </c>
    </row>
    <row r="324" spans="1:17" x14ac:dyDescent="0.25">
      <c r="A324" t="s">
        <v>39</v>
      </c>
      <c r="B324" t="s">
        <v>2074</v>
      </c>
      <c r="C324" t="s">
        <v>345</v>
      </c>
      <c r="D324" t="s">
        <v>1425</v>
      </c>
      <c r="E324">
        <v>62.186</v>
      </c>
      <c r="F324" t="s">
        <v>1381</v>
      </c>
      <c r="G324" t="s">
        <v>2075</v>
      </c>
      <c r="H324" t="s">
        <v>1648</v>
      </c>
      <c r="I324" t="s">
        <v>1413</v>
      </c>
      <c r="J324" t="s">
        <v>1385</v>
      </c>
      <c r="K324" t="b">
        <v>1</v>
      </c>
      <c r="L324" t="b">
        <v>0</v>
      </c>
      <c r="M324" t="s">
        <v>1385</v>
      </c>
      <c r="N324" t="s">
        <v>1386</v>
      </c>
      <c r="O324" t="s">
        <v>1387</v>
      </c>
      <c r="P324" t="s">
        <v>1388</v>
      </c>
      <c r="Q324" t="s">
        <v>1385</v>
      </c>
    </row>
    <row r="325" spans="1:17" x14ac:dyDescent="0.25">
      <c r="A325" t="s">
        <v>39</v>
      </c>
      <c r="B325" t="s">
        <v>2076</v>
      </c>
      <c r="C325" t="s">
        <v>345</v>
      </c>
      <c r="D325" t="s">
        <v>1428</v>
      </c>
      <c r="E325">
        <v>67.507</v>
      </c>
      <c r="F325" t="s">
        <v>1381</v>
      </c>
      <c r="G325" t="s">
        <v>2077</v>
      </c>
      <c r="H325" t="s">
        <v>1648</v>
      </c>
      <c r="I325" t="s">
        <v>1473</v>
      </c>
      <c r="J325" t="s">
        <v>1385</v>
      </c>
      <c r="K325" t="b">
        <v>1</v>
      </c>
      <c r="L325" t="b">
        <v>0</v>
      </c>
      <c r="M325" t="s">
        <v>1385</v>
      </c>
      <c r="N325" t="s">
        <v>1386</v>
      </c>
      <c r="O325" t="s">
        <v>1387</v>
      </c>
      <c r="P325" t="s">
        <v>1388</v>
      </c>
      <c r="Q325" t="s">
        <v>1385</v>
      </c>
    </row>
    <row r="326" spans="1:17" x14ac:dyDescent="0.25">
      <c r="A326" t="s">
        <v>41</v>
      </c>
      <c r="B326" t="s">
        <v>2078</v>
      </c>
      <c r="C326" t="s">
        <v>2079</v>
      </c>
      <c r="D326" t="s">
        <v>1380</v>
      </c>
      <c r="E326">
        <v>0</v>
      </c>
      <c r="F326" t="s">
        <v>2080</v>
      </c>
      <c r="G326" t="s">
        <v>1385</v>
      </c>
      <c r="H326" t="s">
        <v>2081</v>
      </c>
      <c r="I326" t="s">
        <v>1385</v>
      </c>
      <c r="J326" t="s">
        <v>1385</v>
      </c>
      <c r="K326" t="b">
        <v>1</v>
      </c>
      <c r="L326" t="b">
        <v>0</v>
      </c>
      <c r="M326" t="s">
        <v>1385</v>
      </c>
      <c r="N326" t="s">
        <v>1459</v>
      </c>
      <c r="O326" t="s">
        <v>1460</v>
      </c>
      <c r="P326" t="s">
        <v>2082</v>
      </c>
      <c r="Q326" t="s">
        <v>2083</v>
      </c>
    </row>
    <row r="327" spans="1:17" x14ac:dyDescent="0.25">
      <c r="A327" t="s">
        <v>41</v>
      </c>
      <c r="B327" t="s">
        <v>2084</v>
      </c>
      <c r="C327" t="s">
        <v>2079</v>
      </c>
      <c r="D327" t="s">
        <v>1391</v>
      </c>
      <c r="E327">
        <v>0</v>
      </c>
      <c r="F327" t="s">
        <v>2080</v>
      </c>
      <c r="G327" t="s">
        <v>1385</v>
      </c>
      <c r="H327" t="s">
        <v>2081</v>
      </c>
      <c r="I327" t="s">
        <v>1385</v>
      </c>
      <c r="J327" t="s">
        <v>1385</v>
      </c>
      <c r="K327" t="b">
        <v>1</v>
      </c>
      <c r="L327" t="b">
        <v>0</v>
      </c>
      <c r="M327" t="s">
        <v>1385</v>
      </c>
      <c r="N327" t="s">
        <v>1459</v>
      </c>
      <c r="O327" t="s">
        <v>1460</v>
      </c>
      <c r="P327" t="s">
        <v>2082</v>
      </c>
      <c r="Q327" t="s">
        <v>2083</v>
      </c>
    </row>
    <row r="328" spans="1:17" x14ac:dyDescent="0.25">
      <c r="A328" t="s">
        <v>41</v>
      </c>
      <c r="B328" t="s">
        <v>2085</v>
      </c>
      <c r="C328" t="s">
        <v>2079</v>
      </c>
      <c r="D328" t="s">
        <v>1395</v>
      </c>
      <c r="E328">
        <v>0</v>
      </c>
      <c r="F328" t="s">
        <v>2080</v>
      </c>
      <c r="G328" t="s">
        <v>1385</v>
      </c>
      <c r="H328" t="s">
        <v>2081</v>
      </c>
      <c r="I328" t="s">
        <v>1385</v>
      </c>
      <c r="J328" t="s">
        <v>1385</v>
      </c>
      <c r="K328" t="b">
        <v>1</v>
      </c>
      <c r="L328" t="b">
        <v>0</v>
      </c>
      <c r="M328" t="s">
        <v>1385</v>
      </c>
      <c r="N328" t="s">
        <v>1459</v>
      </c>
      <c r="O328" t="s">
        <v>1460</v>
      </c>
      <c r="P328" t="s">
        <v>2082</v>
      </c>
      <c r="Q328" t="s">
        <v>2083</v>
      </c>
    </row>
    <row r="329" spans="1:17" x14ac:dyDescent="0.25">
      <c r="A329" t="s">
        <v>41</v>
      </c>
      <c r="B329" t="s">
        <v>2086</v>
      </c>
      <c r="C329" t="s">
        <v>2079</v>
      </c>
      <c r="D329" t="s">
        <v>1403</v>
      </c>
      <c r="E329">
        <v>0</v>
      </c>
      <c r="F329" t="s">
        <v>2080</v>
      </c>
      <c r="G329" t="s">
        <v>1385</v>
      </c>
      <c r="H329" t="s">
        <v>2081</v>
      </c>
      <c r="I329" t="s">
        <v>1385</v>
      </c>
      <c r="J329" t="s">
        <v>1385</v>
      </c>
      <c r="K329" t="b">
        <v>1</v>
      </c>
      <c r="L329" t="b">
        <v>0</v>
      </c>
      <c r="M329" t="s">
        <v>1385</v>
      </c>
      <c r="N329" t="s">
        <v>1459</v>
      </c>
      <c r="O329" t="s">
        <v>1460</v>
      </c>
      <c r="P329" t="s">
        <v>2082</v>
      </c>
      <c r="Q329" t="s">
        <v>2083</v>
      </c>
    </row>
    <row r="330" spans="1:17" x14ac:dyDescent="0.25">
      <c r="A330" t="s">
        <v>41</v>
      </c>
      <c r="B330" t="s">
        <v>2087</v>
      </c>
      <c r="C330" t="s">
        <v>2079</v>
      </c>
      <c r="D330" t="s">
        <v>1407</v>
      </c>
      <c r="E330">
        <v>0</v>
      </c>
      <c r="F330" t="s">
        <v>2080</v>
      </c>
      <c r="G330" t="s">
        <v>1385</v>
      </c>
      <c r="H330" t="s">
        <v>2081</v>
      </c>
      <c r="I330" t="s">
        <v>1385</v>
      </c>
      <c r="J330" t="s">
        <v>1385</v>
      </c>
      <c r="K330" t="b">
        <v>1</v>
      </c>
      <c r="L330" t="b">
        <v>0</v>
      </c>
      <c r="M330" t="s">
        <v>1385</v>
      </c>
      <c r="N330" t="s">
        <v>1459</v>
      </c>
      <c r="O330" t="s">
        <v>1460</v>
      </c>
      <c r="P330" t="s">
        <v>2082</v>
      </c>
      <c r="Q330" t="s">
        <v>2083</v>
      </c>
    </row>
    <row r="331" spans="1:17" x14ac:dyDescent="0.25">
      <c r="A331" t="s">
        <v>41</v>
      </c>
      <c r="B331" t="s">
        <v>2088</v>
      </c>
      <c r="C331" t="s">
        <v>2079</v>
      </c>
      <c r="D331" t="s">
        <v>1411</v>
      </c>
      <c r="E331">
        <v>0</v>
      </c>
      <c r="F331" t="s">
        <v>2080</v>
      </c>
      <c r="G331" t="s">
        <v>1385</v>
      </c>
      <c r="H331" t="s">
        <v>2081</v>
      </c>
      <c r="I331" t="s">
        <v>1385</v>
      </c>
      <c r="J331" t="s">
        <v>1385</v>
      </c>
      <c r="K331" t="b">
        <v>1</v>
      </c>
      <c r="L331" t="b">
        <v>0</v>
      </c>
      <c r="M331" t="s">
        <v>1385</v>
      </c>
      <c r="N331" t="s">
        <v>1459</v>
      </c>
      <c r="O331" t="s">
        <v>1460</v>
      </c>
      <c r="P331" t="s">
        <v>2082</v>
      </c>
      <c r="Q331" t="s">
        <v>2083</v>
      </c>
    </row>
    <row r="332" spans="1:17" x14ac:dyDescent="0.25">
      <c r="A332" t="s">
        <v>41</v>
      </c>
      <c r="B332" t="s">
        <v>2089</v>
      </c>
      <c r="C332" t="s">
        <v>2079</v>
      </c>
      <c r="D332" t="s">
        <v>1419</v>
      </c>
      <c r="E332">
        <v>0</v>
      </c>
      <c r="F332" t="s">
        <v>2080</v>
      </c>
      <c r="G332" t="s">
        <v>1385</v>
      </c>
      <c r="H332" t="s">
        <v>2081</v>
      </c>
      <c r="I332" t="s">
        <v>1385</v>
      </c>
      <c r="J332" t="s">
        <v>1385</v>
      </c>
      <c r="K332" t="b">
        <v>1</v>
      </c>
      <c r="L332" t="b">
        <v>0</v>
      </c>
      <c r="M332" t="s">
        <v>1385</v>
      </c>
      <c r="N332" t="s">
        <v>1459</v>
      </c>
      <c r="O332" t="s">
        <v>1460</v>
      </c>
      <c r="P332" t="s">
        <v>2082</v>
      </c>
      <c r="Q332" t="s">
        <v>2083</v>
      </c>
    </row>
    <row r="333" spans="1:17" x14ac:dyDescent="0.25">
      <c r="A333" t="s">
        <v>41</v>
      </c>
      <c r="B333" t="s">
        <v>2090</v>
      </c>
      <c r="C333" t="s">
        <v>2079</v>
      </c>
      <c r="D333" t="s">
        <v>1423</v>
      </c>
      <c r="E333">
        <v>0</v>
      </c>
      <c r="F333" t="s">
        <v>2080</v>
      </c>
      <c r="G333" t="s">
        <v>1385</v>
      </c>
      <c r="H333" t="s">
        <v>2081</v>
      </c>
      <c r="I333" t="s">
        <v>1385</v>
      </c>
      <c r="J333" t="s">
        <v>1385</v>
      </c>
      <c r="K333" t="b">
        <v>1</v>
      </c>
      <c r="L333" t="b">
        <v>0</v>
      </c>
      <c r="M333" t="s">
        <v>1385</v>
      </c>
      <c r="N333" t="s">
        <v>1459</v>
      </c>
      <c r="O333" t="s">
        <v>1460</v>
      </c>
      <c r="P333" t="s">
        <v>2082</v>
      </c>
      <c r="Q333" t="s">
        <v>2083</v>
      </c>
    </row>
    <row r="334" spans="1:17" x14ac:dyDescent="0.25">
      <c r="A334" t="s">
        <v>41</v>
      </c>
      <c r="B334" t="s">
        <v>2091</v>
      </c>
      <c r="C334" t="s">
        <v>2079</v>
      </c>
      <c r="D334" t="s">
        <v>1425</v>
      </c>
      <c r="E334">
        <v>0</v>
      </c>
      <c r="F334" t="s">
        <v>2080</v>
      </c>
      <c r="G334" t="s">
        <v>1385</v>
      </c>
      <c r="H334" t="s">
        <v>2081</v>
      </c>
      <c r="I334" t="s">
        <v>1385</v>
      </c>
      <c r="J334" t="s">
        <v>1385</v>
      </c>
      <c r="K334" t="b">
        <v>1</v>
      </c>
      <c r="L334" t="b">
        <v>0</v>
      </c>
      <c r="M334" t="s">
        <v>1385</v>
      </c>
      <c r="N334" t="s">
        <v>1459</v>
      </c>
      <c r="O334" t="s">
        <v>1460</v>
      </c>
      <c r="P334" t="s">
        <v>2082</v>
      </c>
      <c r="Q334" t="s">
        <v>2083</v>
      </c>
    </row>
    <row r="335" spans="1:17" x14ac:dyDescent="0.25">
      <c r="A335" t="s">
        <v>41</v>
      </c>
      <c r="B335" t="s">
        <v>2092</v>
      </c>
      <c r="C335" t="s">
        <v>2079</v>
      </c>
      <c r="D335" t="s">
        <v>1380</v>
      </c>
      <c r="E335">
        <v>0</v>
      </c>
      <c r="F335" t="s">
        <v>2080</v>
      </c>
      <c r="G335" t="s">
        <v>1385</v>
      </c>
      <c r="H335" t="s">
        <v>2081</v>
      </c>
      <c r="I335" t="s">
        <v>1385</v>
      </c>
      <c r="J335" t="s">
        <v>1385</v>
      </c>
      <c r="K335" t="b">
        <v>1</v>
      </c>
      <c r="L335" t="b">
        <v>0</v>
      </c>
      <c r="M335" t="s">
        <v>1385</v>
      </c>
      <c r="N335" t="s">
        <v>1459</v>
      </c>
      <c r="O335" t="s">
        <v>1460</v>
      </c>
      <c r="P335" t="s">
        <v>2082</v>
      </c>
      <c r="Q335" t="s">
        <v>2083</v>
      </c>
    </row>
    <row r="336" spans="1:17" x14ac:dyDescent="0.25">
      <c r="A336" t="s">
        <v>41</v>
      </c>
      <c r="B336" t="s">
        <v>2093</v>
      </c>
      <c r="C336" t="s">
        <v>2079</v>
      </c>
      <c r="D336" t="s">
        <v>1391</v>
      </c>
      <c r="E336">
        <v>0</v>
      </c>
      <c r="F336" t="s">
        <v>2080</v>
      </c>
      <c r="G336" t="s">
        <v>1385</v>
      </c>
      <c r="H336" t="s">
        <v>2081</v>
      </c>
      <c r="I336" t="s">
        <v>1385</v>
      </c>
      <c r="J336" t="s">
        <v>1385</v>
      </c>
      <c r="K336" t="b">
        <v>1</v>
      </c>
      <c r="L336" t="b">
        <v>0</v>
      </c>
      <c r="M336" t="s">
        <v>1385</v>
      </c>
      <c r="N336" t="s">
        <v>1459</v>
      </c>
      <c r="O336" t="s">
        <v>1460</v>
      </c>
      <c r="P336" t="s">
        <v>2082</v>
      </c>
      <c r="Q336" t="s">
        <v>2083</v>
      </c>
    </row>
    <row r="337" spans="1:17" x14ac:dyDescent="0.25">
      <c r="A337" t="s">
        <v>41</v>
      </c>
      <c r="B337" t="s">
        <v>2094</v>
      </c>
      <c r="C337" t="s">
        <v>2079</v>
      </c>
      <c r="D337" t="s">
        <v>1395</v>
      </c>
      <c r="E337">
        <v>0</v>
      </c>
      <c r="F337" t="s">
        <v>2080</v>
      </c>
      <c r="G337" t="s">
        <v>1385</v>
      </c>
      <c r="H337" t="s">
        <v>2081</v>
      </c>
      <c r="I337" t="s">
        <v>1385</v>
      </c>
      <c r="J337" t="s">
        <v>1385</v>
      </c>
      <c r="K337" t="b">
        <v>1</v>
      </c>
      <c r="L337" t="b">
        <v>0</v>
      </c>
      <c r="M337" t="s">
        <v>1385</v>
      </c>
      <c r="N337" t="s">
        <v>1459</v>
      </c>
      <c r="O337" t="s">
        <v>1460</v>
      </c>
      <c r="P337" t="s">
        <v>2082</v>
      </c>
      <c r="Q337" t="s">
        <v>2083</v>
      </c>
    </row>
    <row r="338" spans="1:17" x14ac:dyDescent="0.25">
      <c r="A338" t="s">
        <v>41</v>
      </c>
      <c r="B338" t="s">
        <v>2095</v>
      </c>
      <c r="C338" t="s">
        <v>2079</v>
      </c>
      <c r="D338" t="s">
        <v>1403</v>
      </c>
      <c r="E338">
        <v>0</v>
      </c>
      <c r="F338" t="s">
        <v>2080</v>
      </c>
      <c r="G338" t="s">
        <v>1385</v>
      </c>
      <c r="H338" t="s">
        <v>2081</v>
      </c>
      <c r="I338" t="s">
        <v>1385</v>
      </c>
      <c r="J338" t="s">
        <v>1385</v>
      </c>
      <c r="K338" t="b">
        <v>1</v>
      </c>
      <c r="L338" t="b">
        <v>0</v>
      </c>
      <c r="M338" t="s">
        <v>1385</v>
      </c>
      <c r="N338" t="s">
        <v>1459</v>
      </c>
      <c r="O338" t="s">
        <v>1460</v>
      </c>
      <c r="P338" t="s">
        <v>2082</v>
      </c>
      <c r="Q338" t="s">
        <v>2083</v>
      </c>
    </row>
    <row r="339" spans="1:17" x14ac:dyDescent="0.25">
      <c r="A339" t="s">
        <v>41</v>
      </c>
      <c r="B339" t="s">
        <v>2096</v>
      </c>
      <c r="C339" t="s">
        <v>2079</v>
      </c>
      <c r="D339" t="s">
        <v>1407</v>
      </c>
      <c r="E339">
        <v>0</v>
      </c>
      <c r="F339" t="s">
        <v>2080</v>
      </c>
      <c r="G339" t="s">
        <v>1385</v>
      </c>
      <c r="H339" t="s">
        <v>2081</v>
      </c>
      <c r="I339" t="s">
        <v>1385</v>
      </c>
      <c r="J339" t="s">
        <v>1385</v>
      </c>
      <c r="K339" t="b">
        <v>1</v>
      </c>
      <c r="L339" t="b">
        <v>0</v>
      </c>
      <c r="M339" t="s">
        <v>1385</v>
      </c>
      <c r="N339" t="s">
        <v>1459</v>
      </c>
      <c r="O339" t="s">
        <v>1460</v>
      </c>
      <c r="P339" t="s">
        <v>2082</v>
      </c>
      <c r="Q339" t="s">
        <v>2083</v>
      </c>
    </row>
    <row r="340" spans="1:17" x14ac:dyDescent="0.25">
      <c r="A340" t="s">
        <v>41</v>
      </c>
      <c r="B340" t="s">
        <v>2097</v>
      </c>
      <c r="C340" t="s">
        <v>2079</v>
      </c>
      <c r="D340" t="s">
        <v>1411</v>
      </c>
      <c r="E340">
        <v>0</v>
      </c>
      <c r="F340" t="s">
        <v>2080</v>
      </c>
      <c r="G340" t="s">
        <v>1385</v>
      </c>
      <c r="H340" t="s">
        <v>2081</v>
      </c>
      <c r="I340" t="s">
        <v>1385</v>
      </c>
      <c r="J340" t="s">
        <v>1385</v>
      </c>
      <c r="K340" t="b">
        <v>1</v>
      </c>
      <c r="L340" t="b">
        <v>0</v>
      </c>
      <c r="M340" t="s">
        <v>1385</v>
      </c>
      <c r="N340" t="s">
        <v>1459</v>
      </c>
      <c r="O340" t="s">
        <v>1460</v>
      </c>
      <c r="P340" t="s">
        <v>2082</v>
      </c>
      <c r="Q340" t="s">
        <v>2083</v>
      </c>
    </row>
    <row r="341" spans="1:17" x14ac:dyDescent="0.25">
      <c r="A341" t="s">
        <v>41</v>
      </c>
      <c r="B341" t="s">
        <v>2098</v>
      </c>
      <c r="C341" t="s">
        <v>2079</v>
      </c>
      <c r="D341" t="s">
        <v>1419</v>
      </c>
      <c r="E341">
        <v>0</v>
      </c>
      <c r="F341" t="s">
        <v>2080</v>
      </c>
      <c r="G341" t="s">
        <v>1385</v>
      </c>
      <c r="H341" t="s">
        <v>2081</v>
      </c>
      <c r="I341" t="s">
        <v>1385</v>
      </c>
      <c r="J341" t="s">
        <v>1385</v>
      </c>
      <c r="K341" t="b">
        <v>1</v>
      </c>
      <c r="L341" t="b">
        <v>0</v>
      </c>
      <c r="M341" t="s">
        <v>1385</v>
      </c>
      <c r="N341" t="s">
        <v>1459</v>
      </c>
      <c r="O341" t="s">
        <v>1460</v>
      </c>
      <c r="P341" t="s">
        <v>2082</v>
      </c>
      <c r="Q341" t="s">
        <v>2083</v>
      </c>
    </row>
    <row r="342" spans="1:17" x14ac:dyDescent="0.25">
      <c r="A342" t="s">
        <v>41</v>
      </c>
      <c r="B342" t="s">
        <v>2099</v>
      </c>
      <c r="C342" t="s">
        <v>2079</v>
      </c>
      <c r="D342" t="s">
        <v>1423</v>
      </c>
      <c r="E342">
        <v>0</v>
      </c>
      <c r="F342" t="s">
        <v>2080</v>
      </c>
      <c r="G342" t="s">
        <v>1385</v>
      </c>
      <c r="H342" t="s">
        <v>2081</v>
      </c>
      <c r="I342" t="s">
        <v>1385</v>
      </c>
      <c r="J342" t="s">
        <v>1385</v>
      </c>
      <c r="K342" t="b">
        <v>1</v>
      </c>
      <c r="L342" t="b">
        <v>0</v>
      </c>
      <c r="M342" t="s">
        <v>1385</v>
      </c>
      <c r="N342" t="s">
        <v>1459</v>
      </c>
      <c r="O342" t="s">
        <v>1460</v>
      </c>
      <c r="P342" t="s">
        <v>2082</v>
      </c>
      <c r="Q342" t="s">
        <v>2083</v>
      </c>
    </row>
    <row r="343" spans="1:17" x14ac:dyDescent="0.25">
      <c r="A343" t="s">
        <v>41</v>
      </c>
      <c r="B343" t="s">
        <v>2100</v>
      </c>
      <c r="C343" t="s">
        <v>2079</v>
      </c>
      <c r="D343" t="s">
        <v>1425</v>
      </c>
      <c r="E343">
        <v>0</v>
      </c>
      <c r="F343" t="s">
        <v>2080</v>
      </c>
      <c r="G343" t="s">
        <v>1385</v>
      </c>
      <c r="H343" t="s">
        <v>2081</v>
      </c>
      <c r="I343" t="s">
        <v>1385</v>
      </c>
      <c r="J343" t="s">
        <v>1385</v>
      </c>
      <c r="K343" t="b">
        <v>1</v>
      </c>
      <c r="L343" t="b">
        <v>0</v>
      </c>
      <c r="M343" t="s">
        <v>1385</v>
      </c>
      <c r="N343" t="s">
        <v>1459</v>
      </c>
      <c r="O343" t="s">
        <v>1460</v>
      </c>
      <c r="P343" t="s">
        <v>2082</v>
      </c>
      <c r="Q343" t="s">
        <v>2083</v>
      </c>
    </row>
    <row r="344" spans="1:17" x14ac:dyDescent="0.25">
      <c r="A344" t="s">
        <v>41</v>
      </c>
      <c r="B344" t="s">
        <v>2101</v>
      </c>
      <c r="C344" t="s">
        <v>2079</v>
      </c>
      <c r="D344" t="s">
        <v>1380</v>
      </c>
      <c r="E344">
        <v>0</v>
      </c>
      <c r="F344" t="s">
        <v>2080</v>
      </c>
      <c r="G344" t="s">
        <v>1385</v>
      </c>
      <c r="H344" t="s">
        <v>2081</v>
      </c>
      <c r="I344" t="s">
        <v>1385</v>
      </c>
      <c r="J344" t="s">
        <v>1385</v>
      </c>
      <c r="K344" t="b">
        <v>1</v>
      </c>
      <c r="L344" t="b">
        <v>0</v>
      </c>
      <c r="M344" t="s">
        <v>1385</v>
      </c>
      <c r="N344" t="s">
        <v>1459</v>
      </c>
      <c r="O344" t="s">
        <v>1460</v>
      </c>
      <c r="P344" t="s">
        <v>2082</v>
      </c>
      <c r="Q344" t="s">
        <v>2083</v>
      </c>
    </row>
    <row r="345" spans="1:17" x14ac:dyDescent="0.25">
      <c r="A345" t="s">
        <v>41</v>
      </c>
      <c r="B345" t="s">
        <v>2102</v>
      </c>
      <c r="C345" t="s">
        <v>2079</v>
      </c>
      <c r="D345" t="s">
        <v>1391</v>
      </c>
      <c r="E345">
        <v>0</v>
      </c>
      <c r="F345" t="s">
        <v>2080</v>
      </c>
      <c r="G345" t="s">
        <v>1385</v>
      </c>
      <c r="H345" t="s">
        <v>2081</v>
      </c>
      <c r="I345" t="s">
        <v>1385</v>
      </c>
      <c r="J345" t="s">
        <v>1385</v>
      </c>
      <c r="K345" t="b">
        <v>1</v>
      </c>
      <c r="L345" t="b">
        <v>0</v>
      </c>
      <c r="M345" t="s">
        <v>1385</v>
      </c>
      <c r="N345" t="s">
        <v>1459</v>
      </c>
      <c r="O345" t="s">
        <v>1460</v>
      </c>
      <c r="P345" t="s">
        <v>2082</v>
      </c>
      <c r="Q345" t="s">
        <v>2083</v>
      </c>
    </row>
    <row r="346" spans="1:17" x14ac:dyDescent="0.25">
      <c r="A346" t="s">
        <v>41</v>
      </c>
      <c r="B346" t="s">
        <v>2103</v>
      </c>
      <c r="C346" t="s">
        <v>2079</v>
      </c>
      <c r="D346" t="s">
        <v>1395</v>
      </c>
      <c r="E346">
        <v>0</v>
      </c>
      <c r="F346" t="s">
        <v>2080</v>
      </c>
      <c r="G346" t="s">
        <v>1385</v>
      </c>
      <c r="H346" t="s">
        <v>2081</v>
      </c>
      <c r="I346" t="s">
        <v>1385</v>
      </c>
      <c r="J346" t="s">
        <v>1385</v>
      </c>
      <c r="K346" t="b">
        <v>1</v>
      </c>
      <c r="L346" t="b">
        <v>0</v>
      </c>
      <c r="M346" t="s">
        <v>1385</v>
      </c>
      <c r="N346" t="s">
        <v>1459</v>
      </c>
      <c r="O346" t="s">
        <v>1460</v>
      </c>
      <c r="P346" t="s">
        <v>2082</v>
      </c>
      <c r="Q346" t="s">
        <v>2083</v>
      </c>
    </row>
    <row r="347" spans="1:17" x14ac:dyDescent="0.25">
      <c r="A347" t="s">
        <v>41</v>
      </c>
      <c r="B347" t="s">
        <v>2104</v>
      </c>
      <c r="C347" t="s">
        <v>2079</v>
      </c>
      <c r="D347" t="s">
        <v>1403</v>
      </c>
      <c r="E347">
        <v>0</v>
      </c>
      <c r="F347" t="s">
        <v>2080</v>
      </c>
      <c r="G347" t="s">
        <v>1385</v>
      </c>
      <c r="H347" t="s">
        <v>2081</v>
      </c>
      <c r="I347" t="s">
        <v>1385</v>
      </c>
      <c r="J347" t="s">
        <v>1385</v>
      </c>
      <c r="K347" t="b">
        <v>1</v>
      </c>
      <c r="L347" t="b">
        <v>0</v>
      </c>
      <c r="M347" t="s">
        <v>1385</v>
      </c>
      <c r="N347" t="s">
        <v>1459</v>
      </c>
      <c r="O347" t="s">
        <v>1460</v>
      </c>
      <c r="P347" t="s">
        <v>2082</v>
      </c>
      <c r="Q347" t="s">
        <v>2083</v>
      </c>
    </row>
    <row r="348" spans="1:17" x14ac:dyDescent="0.25">
      <c r="A348" t="s">
        <v>41</v>
      </c>
      <c r="B348" t="s">
        <v>2105</v>
      </c>
      <c r="C348" t="s">
        <v>2079</v>
      </c>
      <c r="D348" t="s">
        <v>1407</v>
      </c>
      <c r="E348">
        <v>0</v>
      </c>
      <c r="F348" t="s">
        <v>2080</v>
      </c>
      <c r="G348" t="s">
        <v>1385</v>
      </c>
      <c r="H348" t="s">
        <v>2081</v>
      </c>
      <c r="I348" t="s">
        <v>1385</v>
      </c>
      <c r="J348" t="s">
        <v>1385</v>
      </c>
      <c r="K348" t="b">
        <v>1</v>
      </c>
      <c r="L348" t="b">
        <v>0</v>
      </c>
      <c r="M348" t="s">
        <v>1385</v>
      </c>
      <c r="N348" t="s">
        <v>1459</v>
      </c>
      <c r="O348" t="s">
        <v>1460</v>
      </c>
      <c r="P348" t="s">
        <v>2082</v>
      </c>
      <c r="Q348" t="s">
        <v>2083</v>
      </c>
    </row>
    <row r="349" spans="1:17" x14ac:dyDescent="0.25">
      <c r="A349" t="s">
        <v>41</v>
      </c>
      <c r="B349" t="s">
        <v>2106</v>
      </c>
      <c r="C349" t="s">
        <v>2079</v>
      </c>
      <c r="D349" t="s">
        <v>1411</v>
      </c>
      <c r="E349">
        <v>0</v>
      </c>
      <c r="F349" t="s">
        <v>2080</v>
      </c>
      <c r="G349" t="s">
        <v>1385</v>
      </c>
      <c r="H349" t="s">
        <v>2081</v>
      </c>
      <c r="I349" t="s">
        <v>1385</v>
      </c>
      <c r="J349" t="s">
        <v>1385</v>
      </c>
      <c r="K349" t="b">
        <v>1</v>
      </c>
      <c r="L349" t="b">
        <v>0</v>
      </c>
      <c r="M349" t="s">
        <v>1385</v>
      </c>
      <c r="N349" t="s">
        <v>1459</v>
      </c>
      <c r="O349" t="s">
        <v>1460</v>
      </c>
      <c r="P349" t="s">
        <v>2082</v>
      </c>
      <c r="Q349" t="s">
        <v>2083</v>
      </c>
    </row>
    <row r="350" spans="1:17" x14ac:dyDescent="0.25">
      <c r="A350" t="s">
        <v>41</v>
      </c>
      <c r="B350" t="s">
        <v>2107</v>
      </c>
      <c r="C350" t="s">
        <v>2079</v>
      </c>
      <c r="D350" t="s">
        <v>1419</v>
      </c>
      <c r="E350">
        <v>0</v>
      </c>
      <c r="F350" t="s">
        <v>2080</v>
      </c>
      <c r="G350" t="s">
        <v>1385</v>
      </c>
      <c r="H350" t="s">
        <v>2081</v>
      </c>
      <c r="I350" t="s">
        <v>1385</v>
      </c>
      <c r="J350" t="s">
        <v>1385</v>
      </c>
      <c r="K350" t="b">
        <v>1</v>
      </c>
      <c r="L350" t="b">
        <v>0</v>
      </c>
      <c r="M350" t="s">
        <v>1385</v>
      </c>
      <c r="N350" t="s">
        <v>1459</v>
      </c>
      <c r="O350" t="s">
        <v>1460</v>
      </c>
      <c r="P350" t="s">
        <v>2082</v>
      </c>
      <c r="Q350" t="s">
        <v>2083</v>
      </c>
    </row>
    <row r="351" spans="1:17" x14ac:dyDescent="0.25">
      <c r="A351" t="s">
        <v>41</v>
      </c>
      <c r="B351" t="s">
        <v>2108</v>
      </c>
      <c r="C351" t="s">
        <v>2079</v>
      </c>
      <c r="D351" t="s">
        <v>1423</v>
      </c>
      <c r="E351">
        <v>0</v>
      </c>
      <c r="F351" t="s">
        <v>2080</v>
      </c>
      <c r="G351" t="s">
        <v>1385</v>
      </c>
      <c r="H351" t="s">
        <v>2081</v>
      </c>
      <c r="I351" t="s">
        <v>1385</v>
      </c>
      <c r="J351" t="s">
        <v>1385</v>
      </c>
      <c r="K351" t="b">
        <v>1</v>
      </c>
      <c r="L351" t="b">
        <v>0</v>
      </c>
      <c r="M351" t="s">
        <v>1385</v>
      </c>
      <c r="N351" t="s">
        <v>1459</v>
      </c>
      <c r="O351" t="s">
        <v>1460</v>
      </c>
      <c r="P351" t="s">
        <v>2082</v>
      </c>
      <c r="Q351" t="s">
        <v>2083</v>
      </c>
    </row>
    <row r="352" spans="1:17" x14ac:dyDescent="0.25">
      <c r="A352" t="s">
        <v>41</v>
      </c>
      <c r="B352" t="s">
        <v>2109</v>
      </c>
      <c r="C352" t="s">
        <v>2079</v>
      </c>
      <c r="D352" t="s">
        <v>1425</v>
      </c>
      <c r="E352">
        <v>0</v>
      </c>
      <c r="F352" t="s">
        <v>2080</v>
      </c>
      <c r="G352" t="s">
        <v>1385</v>
      </c>
      <c r="H352" t="s">
        <v>2081</v>
      </c>
      <c r="I352" t="s">
        <v>1385</v>
      </c>
      <c r="J352" t="s">
        <v>1385</v>
      </c>
      <c r="K352" t="b">
        <v>1</v>
      </c>
      <c r="L352" t="b">
        <v>0</v>
      </c>
      <c r="M352" t="s">
        <v>1385</v>
      </c>
      <c r="N352" t="s">
        <v>1459</v>
      </c>
      <c r="O352" t="s">
        <v>1460</v>
      </c>
      <c r="P352" t="s">
        <v>2082</v>
      </c>
      <c r="Q352" t="s">
        <v>2083</v>
      </c>
    </row>
    <row r="353" spans="1:17" x14ac:dyDescent="0.25">
      <c r="A353" t="s">
        <v>41</v>
      </c>
      <c r="B353" t="s">
        <v>2110</v>
      </c>
      <c r="C353" t="s">
        <v>438</v>
      </c>
      <c r="D353" t="s">
        <v>1380</v>
      </c>
      <c r="E353">
        <v>0</v>
      </c>
      <c r="F353" t="s">
        <v>2081</v>
      </c>
      <c r="G353" t="s">
        <v>2111</v>
      </c>
      <c r="H353" t="s">
        <v>2081</v>
      </c>
      <c r="I353" t="s">
        <v>1385</v>
      </c>
      <c r="J353" t="s">
        <v>1385</v>
      </c>
      <c r="K353" t="b">
        <v>1</v>
      </c>
      <c r="L353" t="b">
        <v>0</v>
      </c>
      <c r="M353" t="s">
        <v>1385</v>
      </c>
      <c r="N353" t="s">
        <v>1386</v>
      </c>
      <c r="O353" t="s">
        <v>1387</v>
      </c>
      <c r="P353" t="s">
        <v>1388</v>
      </c>
      <c r="Q353" t="s">
        <v>2112</v>
      </c>
    </row>
    <row r="354" spans="1:17" x14ac:dyDescent="0.25">
      <c r="A354" t="s">
        <v>41</v>
      </c>
      <c r="B354" t="s">
        <v>2113</v>
      </c>
      <c r="C354" t="s">
        <v>438</v>
      </c>
      <c r="D354" t="s">
        <v>1391</v>
      </c>
      <c r="E354">
        <v>0</v>
      </c>
      <c r="F354" t="s">
        <v>2081</v>
      </c>
      <c r="G354" t="s">
        <v>2111</v>
      </c>
      <c r="H354" t="s">
        <v>2081</v>
      </c>
      <c r="I354" t="s">
        <v>1385</v>
      </c>
      <c r="J354" t="s">
        <v>1385</v>
      </c>
      <c r="K354" t="b">
        <v>1</v>
      </c>
      <c r="L354" t="b">
        <v>0</v>
      </c>
      <c r="M354" t="s">
        <v>1385</v>
      </c>
      <c r="N354" t="s">
        <v>1386</v>
      </c>
      <c r="O354" t="s">
        <v>1387</v>
      </c>
      <c r="P354" t="s">
        <v>1388</v>
      </c>
      <c r="Q354" t="s">
        <v>2112</v>
      </c>
    </row>
    <row r="355" spans="1:17" x14ac:dyDescent="0.25">
      <c r="A355" t="s">
        <v>41</v>
      </c>
      <c r="B355" t="s">
        <v>2114</v>
      </c>
      <c r="C355" t="s">
        <v>438</v>
      </c>
      <c r="D355" t="s">
        <v>1395</v>
      </c>
      <c r="E355">
        <v>0</v>
      </c>
      <c r="F355" t="s">
        <v>2081</v>
      </c>
      <c r="G355" t="s">
        <v>2111</v>
      </c>
      <c r="H355" t="s">
        <v>2081</v>
      </c>
      <c r="I355" t="s">
        <v>1385</v>
      </c>
      <c r="J355" t="s">
        <v>1385</v>
      </c>
      <c r="K355" t="b">
        <v>1</v>
      </c>
      <c r="L355" t="b">
        <v>0</v>
      </c>
      <c r="M355" t="s">
        <v>1385</v>
      </c>
      <c r="N355" t="s">
        <v>1386</v>
      </c>
      <c r="O355" t="s">
        <v>1387</v>
      </c>
      <c r="P355" t="s">
        <v>1388</v>
      </c>
      <c r="Q355" t="s">
        <v>2112</v>
      </c>
    </row>
    <row r="356" spans="1:17" x14ac:dyDescent="0.25">
      <c r="A356" t="s">
        <v>41</v>
      </c>
      <c r="B356" t="s">
        <v>2115</v>
      </c>
      <c r="C356" t="s">
        <v>438</v>
      </c>
      <c r="D356" t="s">
        <v>1399</v>
      </c>
      <c r="E356">
        <v>0</v>
      </c>
      <c r="F356" t="s">
        <v>2081</v>
      </c>
      <c r="G356" t="s">
        <v>2111</v>
      </c>
      <c r="H356" t="s">
        <v>2081</v>
      </c>
      <c r="I356" t="s">
        <v>1385</v>
      </c>
      <c r="J356" t="s">
        <v>1385</v>
      </c>
      <c r="K356" t="b">
        <v>1</v>
      </c>
      <c r="L356" t="b">
        <v>0</v>
      </c>
      <c r="M356" t="s">
        <v>1385</v>
      </c>
      <c r="N356" t="s">
        <v>1386</v>
      </c>
      <c r="O356" t="s">
        <v>1387</v>
      </c>
      <c r="P356" t="s">
        <v>1388</v>
      </c>
      <c r="Q356" t="s">
        <v>2112</v>
      </c>
    </row>
    <row r="357" spans="1:17" x14ac:dyDescent="0.25">
      <c r="A357" t="s">
        <v>41</v>
      </c>
      <c r="B357" t="s">
        <v>2116</v>
      </c>
      <c r="C357" t="s">
        <v>438</v>
      </c>
      <c r="D357" t="s">
        <v>1403</v>
      </c>
      <c r="E357">
        <v>0</v>
      </c>
      <c r="F357" t="s">
        <v>2081</v>
      </c>
      <c r="G357" t="s">
        <v>2111</v>
      </c>
      <c r="H357" t="s">
        <v>2081</v>
      </c>
      <c r="I357" t="s">
        <v>1385</v>
      </c>
      <c r="J357" t="s">
        <v>1385</v>
      </c>
      <c r="K357" t="b">
        <v>1</v>
      </c>
      <c r="L357" t="b">
        <v>0</v>
      </c>
      <c r="M357" t="s">
        <v>1385</v>
      </c>
      <c r="N357" t="s">
        <v>1386</v>
      </c>
      <c r="O357" t="s">
        <v>1387</v>
      </c>
      <c r="P357" t="s">
        <v>1388</v>
      </c>
      <c r="Q357" t="s">
        <v>2112</v>
      </c>
    </row>
    <row r="358" spans="1:17" x14ac:dyDescent="0.25">
      <c r="A358" t="s">
        <v>41</v>
      </c>
      <c r="B358" t="s">
        <v>2117</v>
      </c>
      <c r="C358" t="s">
        <v>438</v>
      </c>
      <c r="D358" t="s">
        <v>1407</v>
      </c>
      <c r="E358">
        <v>0</v>
      </c>
      <c r="F358" t="s">
        <v>2081</v>
      </c>
      <c r="G358" t="s">
        <v>2111</v>
      </c>
      <c r="H358" t="s">
        <v>2081</v>
      </c>
      <c r="I358" t="s">
        <v>1385</v>
      </c>
      <c r="J358" t="s">
        <v>1385</v>
      </c>
      <c r="K358" t="b">
        <v>1</v>
      </c>
      <c r="L358" t="b">
        <v>0</v>
      </c>
      <c r="M358" t="s">
        <v>1385</v>
      </c>
      <c r="N358" t="s">
        <v>1386</v>
      </c>
      <c r="O358" t="s">
        <v>1387</v>
      </c>
      <c r="P358" t="s">
        <v>1388</v>
      </c>
      <c r="Q358" t="s">
        <v>2112</v>
      </c>
    </row>
    <row r="359" spans="1:17" x14ac:dyDescent="0.25">
      <c r="A359" t="s">
        <v>41</v>
      </c>
      <c r="B359" t="s">
        <v>2118</v>
      </c>
      <c r="C359" t="s">
        <v>438</v>
      </c>
      <c r="D359" t="s">
        <v>1411</v>
      </c>
      <c r="E359">
        <v>0</v>
      </c>
      <c r="F359" t="s">
        <v>2081</v>
      </c>
      <c r="G359" t="s">
        <v>2111</v>
      </c>
      <c r="H359" t="s">
        <v>2081</v>
      </c>
      <c r="I359" t="s">
        <v>1385</v>
      </c>
      <c r="J359" t="s">
        <v>1385</v>
      </c>
      <c r="K359" t="b">
        <v>1</v>
      </c>
      <c r="L359" t="b">
        <v>0</v>
      </c>
      <c r="M359" t="s">
        <v>1385</v>
      </c>
      <c r="N359" t="s">
        <v>1386</v>
      </c>
      <c r="O359" t="s">
        <v>1387</v>
      </c>
      <c r="P359" t="s">
        <v>1388</v>
      </c>
      <c r="Q359" t="s">
        <v>2112</v>
      </c>
    </row>
    <row r="360" spans="1:17" x14ac:dyDescent="0.25">
      <c r="A360" t="s">
        <v>41</v>
      </c>
      <c r="B360" t="s">
        <v>2119</v>
      </c>
      <c r="C360" t="s">
        <v>438</v>
      </c>
      <c r="D360" t="s">
        <v>1415</v>
      </c>
      <c r="E360">
        <v>0</v>
      </c>
      <c r="F360" t="s">
        <v>2081</v>
      </c>
      <c r="G360" t="s">
        <v>2111</v>
      </c>
      <c r="H360" t="s">
        <v>2081</v>
      </c>
      <c r="I360" t="s">
        <v>1385</v>
      </c>
      <c r="J360" t="s">
        <v>1385</v>
      </c>
      <c r="K360" t="b">
        <v>1</v>
      </c>
      <c r="L360" t="b">
        <v>0</v>
      </c>
      <c r="M360" t="s">
        <v>1385</v>
      </c>
      <c r="N360" t="s">
        <v>1386</v>
      </c>
      <c r="O360" t="s">
        <v>1387</v>
      </c>
      <c r="P360" t="s">
        <v>1388</v>
      </c>
      <c r="Q360" t="s">
        <v>2112</v>
      </c>
    </row>
    <row r="361" spans="1:17" x14ac:dyDescent="0.25">
      <c r="A361" t="s">
        <v>41</v>
      </c>
      <c r="B361" t="s">
        <v>2120</v>
      </c>
      <c r="C361" t="s">
        <v>438</v>
      </c>
      <c r="D361" t="s">
        <v>1419</v>
      </c>
      <c r="E361">
        <v>0</v>
      </c>
      <c r="F361" t="s">
        <v>2081</v>
      </c>
      <c r="G361" t="s">
        <v>2111</v>
      </c>
      <c r="H361" t="s">
        <v>2081</v>
      </c>
      <c r="I361" t="s">
        <v>1385</v>
      </c>
      <c r="J361" t="s">
        <v>1385</v>
      </c>
      <c r="K361" t="b">
        <v>1</v>
      </c>
      <c r="L361" t="b">
        <v>0</v>
      </c>
      <c r="M361" t="s">
        <v>1385</v>
      </c>
      <c r="N361" t="s">
        <v>1386</v>
      </c>
      <c r="O361" t="s">
        <v>1387</v>
      </c>
      <c r="P361" t="s">
        <v>1388</v>
      </c>
      <c r="Q361" t="s">
        <v>2112</v>
      </c>
    </row>
    <row r="362" spans="1:17" x14ac:dyDescent="0.25">
      <c r="A362" t="s">
        <v>41</v>
      </c>
      <c r="B362" t="s">
        <v>2121</v>
      </c>
      <c r="C362" t="s">
        <v>438</v>
      </c>
      <c r="D362" t="s">
        <v>1423</v>
      </c>
      <c r="E362">
        <v>0</v>
      </c>
      <c r="F362" t="s">
        <v>2081</v>
      </c>
      <c r="G362" t="s">
        <v>2111</v>
      </c>
      <c r="H362" t="s">
        <v>2081</v>
      </c>
      <c r="I362" t="s">
        <v>1385</v>
      </c>
      <c r="J362" t="s">
        <v>1385</v>
      </c>
      <c r="K362" t="b">
        <v>1</v>
      </c>
      <c r="L362" t="b">
        <v>0</v>
      </c>
      <c r="M362" t="s">
        <v>1385</v>
      </c>
      <c r="N362" t="s">
        <v>1386</v>
      </c>
      <c r="O362" t="s">
        <v>1387</v>
      </c>
      <c r="P362" t="s">
        <v>1388</v>
      </c>
      <c r="Q362" t="s">
        <v>2112</v>
      </c>
    </row>
    <row r="363" spans="1:17" x14ac:dyDescent="0.25">
      <c r="A363" t="s">
        <v>41</v>
      </c>
      <c r="B363" t="s">
        <v>2122</v>
      </c>
      <c r="C363" t="s">
        <v>438</v>
      </c>
      <c r="D363" t="s">
        <v>1425</v>
      </c>
      <c r="E363">
        <v>0</v>
      </c>
      <c r="F363" t="s">
        <v>2081</v>
      </c>
      <c r="G363" t="s">
        <v>2111</v>
      </c>
      <c r="H363" t="s">
        <v>2081</v>
      </c>
      <c r="I363" t="s">
        <v>1385</v>
      </c>
      <c r="J363" t="s">
        <v>1385</v>
      </c>
      <c r="K363" t="b">
        <v>1</v>
      </c>
      <c r="L363" t="b">
        <v>0</v>
      </c>
      <c r="M363" t="s">
        <v>1385</v>
      </c>
      <c r="N363" t="s">
        <v>1386</v>
      </c>
      <c r="O363" t="s">
        <v>1387</v>
      </c>
      <c r="P363" t="s">
        <v>1388</v>
      </c>
      <c r="Q363" t="s">
        <v>2112</v>
      </c>
    </row>
    <row r="364" spans="1:17" x14ac:dyDescent="0.25">
      <c r="A364" t="s">
        <v>41</v>
      </c>
      <c r="B364" t="s">
        <v>2123</v>
      </c>
      <c r="C364" t="s">
        <v>438</v>
      </c>
      <c r="D364" t="s">
        <v>1428</v>
      </c>
      <c r="E364">
        <v>90.8</v>
      </c>
      <c r="F364" t="s">
        <v>2081</v>
      </c>
      <c r="G364" t="s">
        <v>2124</v>
      </c>
      <c r="H364" t="s">
        <v>2081</v>
      </c>
      <c r="I364" t="s">
        <v>1385</v>
      </c>
      <c r="J364" t="s">
        <v>1385</v>
      </c>
      <c r="K364" t="b">
        <v>1</v>
      </c>
      <c r="L364" t="b">
        <v>0</v>
      </c>
      <c r="M364" t="s">
        <v>1385</v>
      </c>
      <c r="N364" t="s">
        <v>1386</v>
      </c>
      <c r="O364" t="s">
        <v>1387</v>
      </c>
      <c r="P364" t="s">
        <v>1388</v>
      </c>
      <c r="Q364" t="s">
        <v>2112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1030.9100000000005</v>
      </c>
      <c r="H15" s="107">
        <f>Model!Q36</f>
        <v>994.7690000000002</v>
      </c>
      <c r="I15" s="107">
        <f>Model!R36</f>
        <v>1192.0570000000005</v>
      </c>
      <c r="J15" s="108">
        <f>Model!S36</f>
        <v>1133.178999999998</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4350.914999999999</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-0.2353484765599625</v>
      </c>
      <c r="AD15" s="75"/>
      <c r="AE15" s="110">
        <f>IFERROR((AA15/V15)^(1/(AA$4-V$4))-1,"N/A")</f>
        <v>0.13449264875259992</v>
      </c>
    </row>
    <row r="16" spans="1:31" x14ac:dyDescent="0.25">
      <c r="A16" s="9"/>
      <c r="B16" s="8"/>
      <c r="C16" s="111" t="s">
        <v>106</v>
      </c>
      <c r="D16" s="8"/>
      <c r="E16" s="8"/>
      <c r="F16" s="8"/>
      <c r="G16" s="112">
        <f t="shared" ref="G16:R16" si="6">G15/G$8</f>
        <v>0.4168890808390596</v>
      </c>
      <c r="H16" s="112">
        <f t="shared" si="6"/>
        <v>0.39881450418251113</v>
      </c>
      <c r="I16" s="112">
        <f t="shared" si="6"/>
        <v>0.4099692744097173</v>
      </c>
      <c r="J16" s="113">
        <f t="shared" si="6"/>
        <v>0.3842816661828575</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0.40198123059289365</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-0.4760726305157583</v>
      </c>
      <c r="L17" s="112">
        <f t="shared" si="8"/>
        <v>-0.4395119083464224</v>
      </c>
      <c r="M17" s="112">
        <f t="shared" si="8"/>
        <v>-0.47688512959079754</v>
      </c>
      <c r="N17" s="114">
        <f t="shared" si="8"/>
        <v>-0.4586384160995899</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-0.5862209748694946</v>
      </c>
      <c r="W17" s="112">
        <f t="shared" si="9"/>
        <v>-0.4633955238658528</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1030.9100000000005</v>
      </c>
      <c r="H19" s="107">
        <f>Model!Q45</f>
        <v>994.7690000000002</v>
      </c>
      <c r="I19" s="107">
        <f>Model!R45</f>
        <v>1192.0570000000005</v>
      </c>
      <c r="J19" s="108">
        <f>Model!S45</f>
        <v>1133.178999999998</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4350.914999999999</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-0.2353484765599625</v>
      </c>
      <c r="AD19" s="75"/>
      <c r="AE19" s="110">
        <f>IFERROR((AA19/V19)^(1/(AA$4-V$4))-1,"N/A")</f>
        <v>0.12330738366620775</v>
      </c>
    </row>
    <row r="20" spans="1:31" x14ac:dyDescent="0.25">
      <c r="A20" s="9"/>
      <c r="B20" s="8"/>
      <c r="C20" s="111" t="s">
        <v>106</v>
      </c>
      <c r="D20" s="8"/>
      <c r="E20" s="8"/>
      <c r="F20" s="8"/>
      <c r="G20" s="112">
        <f t="shared" ref="G20:R20" si="10">G19/G$8</f>
        <v>0.4168890808390596</v>
      </c>
      <c r="H20" s="112">
        <f t="shared" si="10"/>
        <v>0.39881450418251113</v>
      </c>
      <c r="I20" s="112">
        <f t="shared" si="10"/>
        <v>0.4099692744097173</v>
      </c>
      <c r="J20" s="113">
        <f t="shared" si="10"/>
        <v>0.3842816661828575</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0.40198123059289365</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-0.5862209748694946</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4.634386463353235</v>
      </c>
      <c r="H23" s="118">
        <f>Model!Q57</f>
        <v>4.483162828428502</v>
      </c>
      <c r="I23" s="118">
        <f>Model!R57</f>
        <v>5.352748091603056</v>
      </c>
      <c r="J23" s="119">
        <f>Model!S57</f>
        <v>5.08731469925385</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31.584804753820034</v>
      </c>
      <c r="U23" s="118">
        <f>Model!O57</f>
        <v>47.005225748770684</v>
      </c>
      <c r="V23" s="119">
        <f>Model!T57</f>
        <v>19.559421162888967</v>
      </c>
      <c r="W23" s="118">
        <f>Model!Y57</f>
        <v>3.9335931229924266</v>
      </c>
      <c r="X23" s="118">
        <f>Model!AD57</f>
        <v>6.172087517791838</v>
      </c>
      <c r="Y23" s="118">
        <f>Model!AE57</f>
        <v>6.68402950798097</v>
      </c>
      <c r="Z23" s="118">
        <f>Model!AF57</f>
        <v>7.220888827135804</v>
      </c>
      <c r="AA23" s="118">
        <f>Model!AG57</f>
        <v>7.029748847505514</v>
      </c>
      <c r="AB23" s="8"/>
      <c r="AC23" s="110">
        <f>IFERROR((V23/T23)^(1/(V$4-T$4))-1,"N/A")</f>
        <v>-0.21306492888308548</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f t="shared" ref="U24:AA24" si="15">IF(ISERROR(U23/T23-1),"NA",(U23/T23-1))</f>
        <v>0.48822277405674397</v>
      </c>
      <c r="V24" s="113">
        <f t="shared" si="15"/>
        <v>-0.5838883687650304</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1061.8980000000006</v>
      </c>
      <c r="H27" s="107">
        <f>Model!Q61</f>
        <v>1047.0220000000002</v>
      </c>
      <c r="I27" s="107">
        <f>Model!R61</f>
        <v>1245.2870000000005</v>
      </c>
      <c r="J27" s="108">
        <f>Model!S61</f>
        <v>1188.988999999998</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4543.195999999999</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-0.21863492531837803</v>
      </c>
      <c r="AD27" s="75"/>
      <c r="AE27" s="110">
        <f>IFERROR((AA27/V27)^(1/(AA$4-V$4))-1,"N/A")</f>
        <v>0.11124362896129325</v>
      </c>
    </row>
    <row r="28" ht="15.75" customHeight="1" spans="1:31" x14ac:dyDescent="0.25">
      <c r="A28" s="9"/>
      <c r="B28" s="8"/>
      <c r="C28" s="111" t="s">
        <v>106</v>
      </c>
      <c r="D28" s="8"/>
      <c r="E28" s="8"/>
      <c r="F28" s="8"/>
      <c r="G28" s="112">
        <f t="shared" ref="G28:R28" si="16">G27/G$8</f>
        <v>0.4294202997010755</v>
      </c>
      <c r="H28" s="112">
        <f t="shared" si="16"/>
        <v>0.4197633418393427</v>
      </c>
      <c r="I28" s="112">
        <f t="shared" si="16"/>
        <v>0.4282760034309212</v>
      </c>
      <c r="J28" s="113">
        <f t="shared" si="16"/>
        <v>0.40320785506357737</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0.41974608074501846</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-0.5679347420354542</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f>Model!U148</f>
        <v>711.2402008332034</v>
      </c>
      <c r="L62" s="107">
        <f>Model!V148</f>
        <v>730.6671344191211</v>
      </c>
      <c r="M62" s="107">
        <f>Model!W148</f>
        <v>753.0086565222545</v>
      </c>
      <c r="N62" s="109">
        <f>Model!X148</f>
        <v>775.3073356137127</v>
      </c>
      <c r="O62" s="107">
        <f>Model!Z148</f>
        <v>714.2935557330218</v>
      </c>
      <c r="P62" s="107">
        <f>Model!AA148</f>
        <v>776.3975260776601</v>
      </c>
      <c r="Q62" s="107">
        <f>Model!AB148</f>
        <v>882.1617098558974</v>
      </c>
      <c r="R62" s="107">
        <f>Model!AC148</f>
        <v>946.9448150390924</v>
      </c>
      <c r="S62" s="8"/>
      <c r="T62" s="107">
        <f>Model!J148</f>
        <v>0</v>
      </c>
      <c r="U62" s="107">
        <f>Model!O148</f>
        <v>0</v>
      </c>
      <c r="V62" s="108">
        <f>Model!T148</f>
        <v>0</v>
      </c>
      <c r="W62" s="107">
        <f>Model!Y148</f>
        <v>775.3073356137127</v>
      </c>
      <c r="X62" s="107">
        <f>Model!AD148</f>
        <v>946.9448150390924</v>
      </c>
      <c r="Y62" s="107">
        <f>Model!AE148</f>
        <v>1043.1977542225084</v>
      </c>
      <c r="Z62" s="107">
        <f>Model!AF148</f>
        <v>1143.9944015302942</v>
      </c>
      <c r="AA62" s="107">
        <f>Model!AG148</f>
        <v>1247.7434704928507</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0</v>
      </c>
      <c r="U66" s="132">
        <f t="shared" si="33"/>
        <v>0</v>
      </c>
      <c r="V66" s="133">
        <f t="shared" si="33"/>
        <v>0</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0</v>
      </c>
      <c r="U69" s="132">
        <f t="shared" si="35"/>
        <v>0</v>
      </c>
      <c r="V69" s="133">
        <f t="shared" si="35"/>
        <v>0</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0.4294202997010755</v>
      </c>
      <c r="H78" s="149">
        <f t="shared" si="42"/>
        <v>0.4197633418393427</v>
      </c>
      <c r="I78" s="149">
        <f t="shared" si="42"/>
        <v>0.4282760034309212</v>
      </c>
      <c r="J78" s="150">
        <f t="shared" si="42"/>
        <v>0.40320785506357737</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0.41974608074501846</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0.4168890808390596</v>
      </c>
      <c r="H79" s="149">
        <f t="shared" si="44"/>
        <v>0.39881450418251113</v>
      </c>
      <c r="I79" s="149">
        <f t="shared" si="44"/>
        <v>0.4099692744097173</v>
      </c>
      <c r="J79" s="150">
        <f t="shared" si="44"/>
        <v>0.3842816661828575</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0.40198123059289365</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0.4168890808390596</v>
      </c>
      <c r="H80" s="149">
        <f t="shared" si="46"/>
        <v>0.39881450418251113</v>
      </c>
      <c r="I80" s="149">
        <f t="shared" si="46"/>
        <v>0.4099692744097173</v>
      </c>
      <c r="J80" s="150">
        <f t="shared" si="46"/>
        <v>0.3842816661828575</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0.40198123059289365</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-91</v>
      </c>
      <c r="U87" s="128">
        <f>Model!O196</f>
        <v>-173</v>
      </c>
      <c r="V87" s="129">
        <f>Model!T196</f>
        <v>-173</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4543.195999999999</v>
      </c>
      <c r="G28" s="107">
        <f>Summary!W27</f>
        <v>1396.9103816687498</v>
      </c>
      <c r="H28" s="107">
        <f>Summary!X27</f>
        <v>1788.3136970537507</v>
      </c>
      <c r="I28" s="107">
        <f>Summary!Y27</f>
        <v>1715.057913656427</v>
      </c>
      <c r="J28" s="107">
        <f>Summary!Z27</f>
        <v>1793.8051535944298</v>
      </c>
      <c r="K28" s="108">
        <f>Summary!AA27</f>
        <v>1706.858399126327</v>
      </c>
      <c r="L28" s="107"/>
      <c r="M28" s="110">
        <f>Summary!AC15</f>
        <v>-0.2353484765599625</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0.41974608074501846</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-0.5862209748694946</v>
      </c>
      <c r="G30" s="112">
        <f>Summary!W17</f>
        <v>-0.4633955238658528</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4350.914999999999</v>
      </c>
      <c r="G32" s="107">
        <f>Summary!W19</f>
        <v>987.0502804884766</v>
      </c>
      <c r="H32" s="107">
        <f>Summary!X19</f>
        <v>1255.4869697302902</v>
      </c>
      <c r="I32" s="107">
        <f>Summary!Y19</f>
        <v>1224.74047614944</v>
      </c>
      <c r="J32" s="107">
        <f>Summary!Z19</f>
        <v>1286.7064621568888</v>
      </c>
      <c r="K32" s="108">
        <f>Summary!AA19</f>
        <v>1227.672037528152</v>
      </c>
      <c r="L32" s="107"/>
      <c r="M32" s="110">
        <f>Summary!AC19</f>
        <v>-0.2353484765599625</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0.40198123059289365</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-0.5862209748694946</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31.584804753820034</v>
      </c>
      <c r="E36" s="107">
        <f>Summary!U23</f>
        <v>47.005225748770684</v>
      </c>
      <c r="F36" s="108">
        <f>Summary!V23</f>
        <v>19.559421162888967</v>
      </c>
      <c r="G36" s="107">
        <f>Summary!W23</f>
        <v>3.9335931229924266</v>
      </c>
      <c r="H36" s="107">
        <f>Summary!X23</f>
        <v>6.172087517791838</v>
      </c>
      <c r="I36" s="107">
        <f>Summary!Y23</f>
        <v>6.68402950798097</v>
      </c>
      <c r="J36" s="107">
        <f>Summary!Z23</f>
        <v>7.220888827135804</v>
      </c>
      <c r="K36" s="108">
        <f>Summary!AA23</f>
        <v>7.029748847505514</v>
      </c>
      <c r="L36" s="107"/>
      <c r="M36" s="110">
        <f>Summary!AC23</f>
        <v>-0.21306492888308548</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f>Summary!U24</f>
        <v>0.48822277405674397</v>
      </c>
      <c r="F37" s="113">
        <f>Summary!V24</f>
        <v>-0.5838883687650304</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7350.38</v>
      </c>
      <c r="E39" s="107">
        <f>Model!O112</f>
        <v>10342.069000000001</v>
      </c>
      <c r="F39" s="108">
        <f>Model!T112</f>
        <v>4370.195999999999</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-0.22892688351717572</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0.40701147423670636</v>
      </c>
      <c r="F40" s="113">
        <f t="shared" si="1"/>
        <v>-0.5774350374185283</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-179.87292764999998</v>
      </c>
      <c r="H61" s="128">
        <f>Summary!X87</f>
        <v>-195.312448281</v>
      </c>
      <c r="I61" s="128">
        <f>Summary!Y87</f>
        <v>-208.42486204626002</v>
      </c>
      <c r="J61" s="128">
        <f>Summary!Z87</f>
        <v>-218.2637484951786</v>
      </c>
      <c r="K61" s="129">
        <f>Summary!AA87</f>
        <v>-224.65688392894816</v>
      </c>
      <c r="L61" s="4"/>
      <c r="M61" s="218">
        <f t="shared" si="9"/>
        <v>-145.66666666666666</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S154" sqref="S15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2040.8880000000001</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f>-3860.255-SUM(P32:R32)</f>
        <v>-1080.7790000000005</v>
      </c>
      <c r="T32" s="158">
        <f t="shared" ref="T32:T36" si="20">SUM(P32:S32)</f>
        <v>-3860.255</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f>-489.203-85.838-598.187-126.414-335.683-313.821-SUM(P33:R33)</f>
        <v>-544.5130000000001</v>
      </c>
      <c r="T33" s="158">
        <f t="shared" si="20"/>
        <v>-1949.1460000000002</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f>-192.281-SUM(P34:R34)</f>
        <v>-55.81</v>
      </c>
      <c r="T34" s="158">
        <f t="shared" si="20"/>
        <v>-192.281</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f>-190.934-280.146-SUM(P35:R35)</f>
        <v>-134.54300000000006</v>
      </c>
      <c r="T35" s="351">
        <f t="shared" si="20"/>
        <v>-471.08000000000004</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2040.8880000000001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1030.9100000000005</v>
      </c>
      <c r="Q36" s="349">
        <f t="shared" si="34"/>
        <v>994.7690000000002</v>
      </c>
      <c r="R36" s="349">
        <f t="shared" si="34"/>
        <v>1192.0570000000005</v>
      </c>
      <c r="S36" s="349">
        <f t="shared" si="34"/>
        <v>1133.178999999998</v>
      </c>
      <c r="T36" s="279">
        <f t="shared" si="20"/>
        <v>4350.914999999999</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c r="G38" s="360"/>
      <c r="H38" s="360"/>
      <c r="I38" s="360"/>
      <c r="J38" s="158">
        <f t="shared" ref="J38:J42" si="35">SUM(F38:I38)</f>
        <v>0</v>
      </c>
      <c r="K38" s="360"/>
      <c r="L38" s="360"/>
      <c r="M38" s="360"/>
      <c r="N38" s="360"/>
      <c r="O38" s="158">
        <f t="shared" ref="O38:O42" si="36">SUM(K38:N38)</f>
        <v>0</v>
      </c>
      <c r="P38" s="360"/>
      <c r="Q38" s="360"/>
      <c r="R38" s="360"/>
      <c r="S38" s="360"/>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c r="G39" s="365"/>
      <c r="H39" s="365"/>
      <c r="I39" s="365"/>
      <c r="J39" s="366">
        <f t="shared" si="35"/>
        <v>0</v>
      </c>
      <c r="K39" s="365"/>
      <c r="L39" s="365"/>
      <c r="M39" s="365"/>
      <c r="N39" s="365"/>
      <c r="O39" s="366">
        <f t="shared" si="36"/>
        <v>0</v>
      </c>
      <c r="P39" s="365"/>
      <c r="Q39" s="365"/>
      <c r="R39" s="365"/>
      <c r="S39" s="365"/>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c r="G40" s="360"/>
      <c r="H40" s="360"/>
      <c r="I40" s="360"/>
      <c r="J40" s="158">
        <f t="shared" si="35"/>
        <v>0</v>
      </c>
      <c r="K40" s="360"/>
      <c r="L40" s="360"/>
      <c r="M40" s="360"/>
      <c r="N40" s="360"/>
      <c r="O40" s="158">
        <f t="shared" si="36"/>
        <v>0</v>
      </c>
      <c r="P40" s="360"/>
      <c r="Q40" s="360"/>
      <c r="R40" s="360"/>
      <c r="S40" s="360"/>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c r="G41" s="350"/>
      <c r="H41" s="350"/>
      <c r="I41" s="350"/>
      <c r="J41" s="351">
        <f t="shared" si="35"/>
        <v>0</v>
      </c>
      <c r="K41" s="350"/>
      <c r="L41" s="350"/>
      <c r="M41" s="350"/>
      <c r="N41" s="350"/>
      <c r="O41" s="351">
        <f t="shared" si="36"/>
        <v>0</v>
      </c>
      <c r="P41" s="350"/>
      <c r="Q41" s="350"/>
      <c r="R41" s="350"/>
      <c r="S41" s="350"/>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2040.8880000000001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1030.9100000000005</v>
      </c>
      <c r="Q42" s="349">
        <f t="shared" si="49"/>
        <v>994.7690000000002</v>
      </c>
      <c r="R42" s="349">
        <f t="shared" ref="R42" si="50">IF($C$8="On",R36+SUM(R38:R41),IF($C$8="off",R36+SUM(R40:R41),"N/A"))</f>
        <v>1192.0570000000005</v>
      </c>
      <c r="S42" s="349">
        <f t="shared" ref="S42" si="51">IF($C$8="On",S36+SUM(S38:S41),IF($C$8="off",S36+SUM(S40:S41),"N/A"))</f>
        <v>1133.178999999998</v>
      </c>
      <c r="T42" s="279">
        <f t="shared" si="37"/>
        <v>4350.914999999999</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2040.8880000000001</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1030.9100000000005</v>
      </c>
      <c r="Q45" s="349">
        <f t="shared" si="65"/>
        <v>994.7690000000002</v>
      </c>
      <c r="R45" s="349">
        <f t="shared" si="65"/>
        <v>1192.0570000000005</v>
      </c>
      <c r="S45" s="349">
        <f t="shared" si="65"/>
        <v>1133.178999999998</v>
      </c>
      <c r="T45" s="127">
        <f t="shared" si="57"/>
        <v>4350.914999999999</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1030.9100000000005</v>
      </c>
      <c r="Q51" s="349">
        <f t="shared" si="76"/>
        <v>994.7690000000002</v>
      </c>
      <c r="R51" s="349">
        <f t="shared" si="76"/>
        <v>1192.0570000000005</v>
      </c>
      <c r="S51" s="349">
        <f t="shared" si="76"/>
        <v>1133.178999999998</v>
      </c>
      <c r="T51" s="376">
        <f t="shared" si="71"/>
        <v>4350.914999999999</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7.826637362637363</v>
      </c>
      <c r="G53" s="377">
        <f>(G45)/G285</f>
        <v>7.092963917525773</v>
      </c>
      <c r="H53" s="377">
        <f>(H45)/H285</f>
        <v>9.344725274725276</v>
      </c>
      <c r="I53" s="377">
        <f>(I45)/I285</f>
        <v>8.356069609507642</v>
      </c>
      <c r="J53" s="118">
        <f>J45/J285</f>
        <v>31.7668303094984</v>
      </c>
      <c r="K53" s="377">
        <f>(K45)/K285</f>
        <v>11.327178303519908</v>
      </c>
      <c r="L53" s="377">
        <f>(L45)/L285</f>
        <v>11.126573098794585</v>
      </c>
      <c r="M53" s="377">
        <f>(M45)/M285</f>
        <v>11.707699941359555</v>
      </c>
      <c r="N53" s="377">
        <f>(N45)/N285</f>
        <v>12.749649005141963</v>
      </c>
      <c r="O53" s="118">
        <f>O45/O285</f>
        <v>48.56844803695151</v>
      </c>
      <c r="P53" s="377">
        <f>(P45)/P285</f>
        <v>4.634386463353235</v>
      </c>
      <c r="Q53" s="377">
        <f>(Q45)/Q285</f>
        <v>4.483162828428502</v>
      </c>
      <c r="R53" s="377">
        <f>(R45)/R285</f>
        <v>5.352748091603056</v>
      </c>
      <c r="S53" s="377">
        <f>(S45)/S285</f>
        <v>5.2682476661583575</v>
      </c>
      <c r="T53" s="118">
        <f t="shared" ref="T53:X53" si="80">T45/T285</f>
        <v>19.72904343331058</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7.826637362637363</v>
      </c>
      <c r="G54" s="377">
        <f>(G45)/G287</f>
        <v>7.092963917525773</v>
      </c>
      <c r="H54" s="377">
        <f>(H45)/H287</f>
        <v>9.344725274725276</v>
      </c>
      <c r="I54" s="377">
        <f>(I45)/I287</f>
        <v>8.356069609507642</v>
      </c>
      <c r="J54" s="118">
        <f>J45/J287</f>
        <v>31.584804753820034</v>
      </c>
      <c r="K54" s="377">
        <f>(K45)/K287</f>
        <v>11.327178303519908</v>
      </c>
      <c r="L54" s="377">
        <f>(L45)/L287</f>
        <v>11.126573098794585</v>
      </c>
      <c r="M54" s="377">
        <f>(M45)/M287</f>
        <v>11.707699941359555</v>
      </c>
      <c r="N54" s="377">
        <f>(N45)/N287</f>
        <v>12.749649005141963</v>
      </c>
      <c r="O54" s="118">
        <f>O45/O287</f>
        <v>47.005225748770684</v>
      </c>
      <c r="P54" s="377">
        <f>(P45)/P287</f>
        <v>4.634386463353235</v>
      </c>
      <c r="Q54" s="377">
        <f>(Q45)/Q287</f>
        <v>4.483162828428502</v>
      </c>
      <c r="R54" s="377">
        <f>(R45)/R287</f>
        <v>5.352748091603056</v>
      </c>
      <c r="S54" s="377">
        <f>(S45)/S287</f>
        <v>5.08731469925385</v>
      </c>
      <c r="T54" s="118">
        <f t="shared" ref="T54:X54" si="82">T45/T287</f>
        <v>19.559421162888967</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7.826637362637363</v>
      </c>
      <c r="G56" s="377">
        <f t="shared" si="84"/>
        <v>7.092963917525773</v>
      </c>
      <c r="H56" s="377">
        <f t="shared" si="84"/>
        <v>9.344725274725276</v>
      </c>
      <c r="I56" s="377">
        <f t="shared" si="84"/>
        <v>8.356069609507642</v>
      </c>
      <c r="J56" s="118">
        <f t="shared" si="84"/>
        <v>31.7668303094984</v>
      </c>
      <c r="K56" s="377">
        <f t="shared" si="84"/>
        <v>11.327178303519908</v>
      </c>
      <c r="L56" s="377">
        <f t="shared" si="84"/>
        <v>11.126573098794585</v>
      </c>
      <c r="M56" s="377">
        <f t="shared" si="84"/>
        <v>11.707699941359555</v>
      </c>
      <c r="N56" s="377">
        <f t="shared" si="84"/>
        <v>12.749649005141963</v>
      </c>
      <c r="O56" s="118">
        <f t="shared" si="84"/>
        <v>48.56844803695151</v>
      </c>
      <c r="P56" s="377">
        <f t="shared" si="84"/>
        <v>4.634386463353235</v>
      </c>
      <c r="Q56" s="377">
        <f t="shared" si="84"/>
        <v>4.483162828428502</v>
      </c>
      <c r="R56" s="377">
        <f t="shared" si="84"/>
        <v>5.352748091603056</v>
      </c>
      <c r="S56" s="377">
        <f t="shared" ref="S56" si="85">S51/S285</f>
        <v>5.2682476661583575</v>
      </c>
      <c r="T56" s="118">
        <f t="shared" si="84"/>
        <v>19.72904343331058</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7.826637362637363</v>
      </c>
      <c r="G57" s="377">
        <f t="shared" si="87"/>
        <v>7.092963917525773</v>
      </c>
      <c r="H57" s="377">
        <f t="shared" si="87"/>
        <v>9.344725274725276</v>
      </c>
      <c r="I57" s="377">
        <f t="shared" si="87"/>
        <v>8.356069609507642</v>
      </c>
      <c r="J57" s="118">
        <f t="shared" si="87"/>
        <v>31.584804753820034</v>
      </c>
      <c r="K57" s="377">
        <f t="shared" si="87"/>
        <v>11.327178303519908</v>
      </c>
      <c r="L57" s="377">
        <f t="shared" si="87"/>
        <v>11.126573098794585</v>
      </c>
      <c r="M57" s="377">
        <f t="shared" si="87"/>
        <v>11.707699941359555</v>
      </c>
      <c r="N57" s="377">
        <f t="shared" si="87"/>
        <v>12.749649005141963</v>
      </c>
      <c r="O57" s="118">
        <f t="shared" si="87"/>
        <v>47.005225748770684</v>
      </c>
      <c r="P57" s="377">
        <f t="shared" si="87"/>
        <v>4.634386463353235</v>
      </c>
      <c r="Q57" s="377">
        <f t="shared" si="87"/>
        <v>4.483162828428502</v>
      </c>
      <c r="R57" s="377">
        <f t="shared" si="87"/>
        <v>5.352748091603056</v>
      </c>
      <c r="S57" s="377">
        <f t="shared" ref="S57" si="88">S51/S287</f>
        <v>5.08731469925385</v>
      </c>
      <c r="T57" s="118">
        <f t="shared" si="87"/>
        <v>19.559421162888967</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1030.9100000000005</v>
      </c>
      <c r="Q59" s="349">
        <f t="shared" si="94"/>
        <v>994.7690000000002</v>
      </c>
      <c r="R59" s="349">
        <f t="shared" si="94"/>
        <v>1192.0570000000005</v>
      </c>
      <c r="S59" s="349">
        <f t="shared" si="94"/>
        <v>1133.178999999998</v>
      </c>
      <c r="T59" s="279">
        <f t="shared" ref="T59:T61" si="95">SUM(P59:S59)</f>
        <v>4350.914999999999</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1061.8980000000006</v>
      </c>
      <c r="Q61" s="349">
        <f t="shared" si="109"/>
        <v>1047.0220000000002</v>
      </c>
      <c r="R61" s="349">
        <f t="shared" si="109"/>
        <v>1245.2870000000005</v>
      </c>
      <c r="S61" s="349">
        <f t="shared" si="109"/>
        <v>1188.988999999998</v>
      </c>
      <c r="T61" s="279">
        <f t="shared" si="95"/>
        <v>4543.195999999999</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-0.3401428465131927</v>
      </c>
      <c r="Q67" s="384">
        <f t="shared" ref="Q67:S67" si="118">Q32/Q30</f>
        <v>-0.34271493375936884</v>
      </c>
      <c r="R67" s="384">
        <f t="shared" si="118"/>
        <v>-0.3726380605253546</v>
      </c>
      <c r="S67" s="384">
        <f t="shared" si="118"/>
        <v>-0.36651187049481454</v>
      </c>
      <c r="T67" s="385">
        <f>T32/T30</f>
        <v>-0.35664913134418186</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-0.17862405696390904</v>
      </c>
      <c r="Q68" s="384">
        <f t="shared" ref="Q68:S68" si="121">Q33/Q30</f>
        <v>-0.19204350693476965</v>
      </c>
      <c r="R68" s="384">
        <f t="shared" si="121"/>
        <v>-0.16642271451338767</v>
      </c>
      <c r="S68" s="384">
        <f t="shared" si="121"/>
        <v>-0.18465428930312572</v>
      </c>
      <c r="T68" s="385">
        <f>T33/T30</f>
        <v>-0.1800816857339701</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-0.051812796821822785</v>
      </c>
      <c r="Q69" s="384">
        <f t="shared" si="122"/>
        <v>-0.04547821746651886</v>
      </c>
      <c r="R69" s="384">
        <f t="shared" si="122"/>
        <v>-0.032663221530336614</v>
      </c>
      <c r="S69" s="384">
        <f t="shared" ref="S69" si="123">S35/S28</f>
        <v>-0.045625985138482365</v>
      </c>
      <c r="T69" s="385">
        <f>T35/T28</f>
        <v>-0.04352310217682956</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19.000200833203355</v>
      </c>
      <c r="V77" s="356">
        <f t="shared" si="139"/>
        <v>19.426933585917656</v>
      </c>
      <c r="W77" s="356">
        <f t="shared" si="139"/>
        <v>22.341522103133336</v>
      </c>
      <c r="X77" s="356">
        <f t="shared" si="139"/>
        <v>22.298679091458162</v>
      </c>
      <c r="Y77" s="158">
        <f t="shared" si="132"/>
        <v>83.06733561371252</v>
      </c>
      <c r="Z77" s="356">
        <f t="shared" ref="Z77:AC77" si="140">Z249</f>
        <v>20.426220119309175</v>
      </c>
      <c r="AA77" s="356">
        <f t="shared" si="140"/>
        <v>21.38397034463829</v>
      </c>
      <c r="AB77" s="356">
        <f t="shared" si="140"/>
        <v>24.324183778237213</v>
      </c>
      <c r="AC77" s="356">
        <f t="shared" si="140"/>
        <v>24.063105183195074</v>
      </c>
      <c r="AD77" s="158">
        <f t="shared" si="134"/>
        <v>90.19747942537975</v>
      </c>
      <c r="AE77" s="158">
        <f t="shared" ref="AE77:AG77" si="141">AE249</f>
        <v>96.25293918341586</v>
      </c>
      <c r="AF77" s="158">
        <f t="shared" si="141"/>
        <v>100.7966473077859</v>
      </c>
      <c r="AG77" s="158">
        <f t="shared" si="141"/>
        <v>103.74906896255654</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1030.9100000000005</v>
      </c>
      <c r="Q108" s="354">
        <f t="shared" si="204"/>
        <v>994.7690000000002</v>
      </c>
      <c r="R108" s="354">
        <f t="shared" si="204"/>
        <v>1192.0570000000005</v>
      </c>
      <c r="S108" s="354">
        <f t="shared" ref="S108" si="205">S45</f>
        <v>1133.178999999998</v>
      </c>
      <c r="T108" s="158">
        <f t="shared" si="204"/>
        <v>4350.914999999999</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1761.56</v>
      </c>
      <c r="G112" s="349">
        <f t="shared" si="230"/>
        <v>1628.242</v>
      </c>
      <c r="H112" s="349">
        <f t="shared" si="230"/>
        <v>2014.8880000000001</v>
      </c>
      <c r="I112" s="349">
        <f t="shared" si="230"/>
        <v>1945.6900000000005</v>
      </c>
      <c r="J112" s="279">
        <f t="shared" si="230"/>
        <v>7350.38</v>
      </c>
      <c r="K112" s="349">
        <f t="shared" si="230"/>
        <v>2524.9</v>
      </c>
      <c r="L112" s="349">
        <f t="shared" si="230"/>
        <v>2474.23</v>
      </c>
      <c r="M112" s="349">
        <f t="shared" si="230"/>
        <v>2542.48</v>
      </c>
      <c r="N112" s="349">
        <f t="shared" si="230"/>
        <v>2800.4590000000003</v>
      </c>
      <c r="O112" s="279">
        <f t="shared" si="230"/>
        <v>10342.069000000001</v>
      </c>
      <c r="P112" s="349">
        <f t="shared" si="230"/>
        <v>1011.8980000000006</v>
      </c>
      <c r="Q112" s="349">
        <f t="shared" si="230"/>
        <v>998.0220000000002</v>
      </c>
      <c r="R112" s="349">
        <f t="shared" si="230"/>
        <v>1189.2870000000005</v>
      </c>
      <c r="S112" s="349">
        <f t="shared" ref="S112" si="231">SUM(S108:S111)</f>
        <v>1170.988999999998</v>
      </c>
      <c r="T112" s="279">
        <f t="shared" si="230"/>
        <v>4370.195999999999</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0.9893291998023094</v>
      </c>
      <c r="G114" s="403">
        <f t="shared" si="233"/>
        <v>0.9860710907304926</v>
      </c>
      <c r="H114" s="403">
        <f t="shared" si="233"/>
        <v>0.9872604474130868</v>
      </c>
      <c r="I114" s="403">
        <f t="shared" si="233"/>
        <v>0.9883171042673047</v>
      </c>
      <c r="J114" s="404">
        <f t="shared" si="233"/>
        <v>0.9877710854707057</v>
      </c>
      <c r="K114" s="403">
        <f t="shared" si="233"/>
        <v>0.9894196481053332</v>
      </c>
      <c r="L114" s="403">
        <f t="shared" si="233"/>
        <v>0.9833083621131613</v>
      </c>
      <c r="M114" s="403">
        <f t="shared" si="233"/>
        <v>0.9795798850308999</v>
      </c>
      <c r="N114" s="403">
        <f t="shared" si="233"/>
        <v>0.9821144193200744</v>
      </c>
      <c r="O114" s="404">
        <f t="shared" si="233"/>
        <v>0.9835474213245772</v>
      </c>
      <c r="P114" s="403">
        <f t="shared" si="233"/>
        <v>0.40920082948354636</v>
      </c>
      <c r="Q114" s="403">
        <f t="shared" si="233"/>
        <v>0.4001186698552509</v>
      </c>
      <c r="R114" s="403">
        <f t="shared" si="233"/>
        <v>0.4090166229088957</v>
      </c>
      <c r="S114" s="403">
        <f t="shared" ref="S114" si="234">S112/S28</f>
        <v>0.39710372677379135</v>
      </c>
      <c r="T114" s="404">
        <f t="shared" si="233"/>
        <v>0.4037626030414617</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7.7431208791208785</v>
      </c>
      <c r="G115" s="377">
        <f t="shared" si="236"/>
        <v>6.994166666666666</v>
      </c>
      <c r="H115" s="377">
        <f t="shared" si="236"/>
        <v>9.225677655677655</v>
      </c>
      <c r="I115" s="377">
        <f t="shared" si="236"/>
        <v>8.25844651952462</v>
      </c>
      <c r="J115" s="118">
        <f t="shared" si="236"/>
        <v>31.37835645677695</v>
      </c>
      <c r="K115" s="377">
        <f t="shared" si="236"/>
        <v>11.207332771095034</v>
      </c>
      <c r="L115" s="377">
        <f t="shared" si="236"/>
        <v>10.940852369708065</v>
      </c>
      <c r="M115" s="377">
        <f t="shared" si="236"/>
        <v>11.468627362533267</v>
      </c>
      <c r="N115" s="377">
        <f t="shared" si="236"/>
        <v>12.521614129219763</v>
      </c>
      <c r="O115" s="118">
        <f t="shared" si="236"/>
        <v>47.76937182448037</v>
      </c>
      <c r="P115" s="377">
        <f t="shared" si="236"/>
        <v>4.548919297993241</v>
      </c>
      <c r="Q115" s="377">
        <f t="shared" si="236"/>
        <v>4.497823245752401</v>
      </c>
      <c r="R115" s="377">
        <f t="shared" si="236"/>
        <v>5.3403098338572095</v>
      </c>
      <c r="S115" s="377">
        <f t="shared" ref="S115" si="237">S112/S285</f>
        <v>5.444029642578188</v>
      </c>
      <c r="T115" s="118">
        <f t="shared" si="236"/>
        <v>19.816472327333486</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0.8148509212439757</v>
      </c>
      <c r="G116" s="403">
        <f t="shared" si="239"/>
        <v>0.8050839328537169</v>
      </c>
      <c r="H116" s="403">
        <f t="shared" si="239"/>
        <v>1.0622541917878705</v>
      </c>
      <c r="I116" s="403">
        <f t="shared" si="239"/>
        <v>0.9263540683706809</v>
      </c>
      <c r="J116" s="404">
        <f>J115/J242</f>
        <v>0.8838270603950695</v>
      </c>
      <c r="K116" s="403">
        <f t="shared" ref="K116:N116" si="240">K115*4/K242</f>
        <v>1.10335542910116</v>
      </c>
      <c r="L116" s="403">
        <f t="shared" si="240"/>
        <v>1.0763258602762484</v>
      </c>
      <c r="M116" s="403">
        <f t="shared" si="240"/>
        <v>1.1265842202881402</v>
      </c>
      <c r="N116" s="403">
        <f t="shared" si="240"/>
        <v>1.2300210343044955</v>
      </c>
      <c r="O116" s="404">
        <f>O115/O242</f>
        <v>1.1741673496988132</v>
      </c>
      <c r="P116" s="403">
        <f t="shared" ref="P116:S116" si="241">P115*4/P242</f>
        <v>0.22494346880916016</v>
      </c>
      <c r="Q116" s="403">
        <f t="shared" si="241"/>
        <v>0.22458236154050187</v>
      </c>
      <c r="R116" s="403">
        <f t="shared" si="241"/>
        <v>0.2676847034514892</v>
      </c>
      <c r="S116" s="403">
        <f t="shared" si="241"/>
        <v>0.5347769786422583</v>
      </c>
      <c r="T116" s="404">
        <f>T115/T242</f>
        <v>0.24733697308571093</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0</v>
      </c>
      <c r="G124" s="349">
        <f t="shared" si="262"/>
        <v>0</v>
      </c>
      <c r="H124" s="349">
        <f t="shared" si="262"/>
        <v>0</v>
      </c>
      <c r="I124" s="349">
        <f t="shared" si="262"/>
        <v>0</v>
      </c>
      <c r="J124" s="279">
        <f t="shared" ref="J124" si="263">I124</f>
        <v>0</v>
      </c>
      <c r="K124" s="349">
        <f t="shared" ref="K124:N124" si="264">SUM(K120:K123)</f>
        <v>0</v>
      </c>
      <c r="L124" s="349">
        <f t="shared" si="264"/>
        <v>0</v>
      </c>
      <c r="M124" s="349">
        <f t="shared" si="264"/>
        <v>0</v>
      </c>
      <c r="N124" s="349">
        <f t="shared" si="264"/>
        <v>0</v>
      </c>
      <c r="O124" s="279">
        <f t="shared" ref="O124" si="265">N124</f>
        <v>0</v>
      </c>
      <c r="P124" s="349">
        <f t="shared" ref="P124:S124" si="266">SUM(P120:P123)</f>
        <v>0</v>
      </c>
      <c r="Q124" s="349">
        <f t="shared" si="266"/>
        <v>0</v>
      </c>
      <c r="R124" s="349">
        <f t="shared" si="266"/>
        <v>0</v>
      </c>
      <c r="S124" s="349">
        <f t="shared" si="266"/>
        <v>0</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0</v>
      </c>
      <c r="G130" s="349">
        <f t="shared" si="285"/>
        <v>0</v>
      </c>
      <c r="H130" s="349">
        <f t="shared" si="285"/>
        <v>0</v>
      </c>
      <c r="I130" s="349">
        <f t="shared" si="285"/>
        <v>0</v>
      </c>
      <c r="J130" s="279">
        <f t="shared" ref="J130" si="286">I130</f>
        <v>0</v>
      </c>
      <c r="K130" s="349">
        <f t="shared" ref="K130:N130" si="287">SUM(K126:K129)</f>
        <v>0</v>
      </c>
      <c r="L130" s="349">
        <f t="shared" si="287"/>
        <v>0</v>
      </c>
      <c r="M130" s="349">
        <f t="shared" si="287"/>
        <v>0</v>
      </c>
      <c r="N130" s="349">
        <f t="shared" si="287"/>
        <v>0</v>
      </c>
      <c r="O130" s="279">
        <f t="shared" ref="O130" si="288">N130</f>
        <v>0</v>
      </c>
      <c r="P130" s="349">
        <f t="shared" ref="P130:S130" si="289">SUM(P126:P129)</f>
        <v>0</v>
      </c>
      <c r="Q130" s="349">
        <f t="shared" si="289"/>
        <v>0</v>
      </c>
      <c r="R130" s="349">
        <f t="shared" si="289"/>
        <v>0</v>
      </c>
      <c r="S130" s="349">
        <f t="shared" si="289"/>
        <v>0</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0</v>
      </c>
      <c r="G132" s="349">
        <f t="shared" si="293"/>
        <v>0</v>
      </c>
      <c r="H132" s="349">
        <f t="shared" si="293"/>
        <v>0</v>
      </c>
      <c r="I132" s="349">
        <f t="shared" si="293"/>
        <v>0</v>
      </c>
      <c r="J132" s="279">
        <f t="shared" si="293"/>
        <v>0</v>
      </c>
      <c r="K132" s="349">
        <f t="shared" si="293"/>
        <v>0</v>
      </c>
      <c r="L132" s="349">
        <f t="shared" si="293"/>
        <v>0</v>
      </c>
      <c r="M132" s="349">
        <f t="shared" si="293"/>
        <v>0</v>
      </c>
      <c r="N132" s="349">
        <f t="shared" si="293"/>
        <v>0</v>
      </c>
      <c r="O132" s="279">
        <f t="shared" si="293"/>
        <v>0</v>
      </c>
      <c r="P132" s="349">
        <f t="shared" si="293"/>
        <v>0</v>
      </c>
      <c r="Q132" s="349">
        <f t="shared" si="293"/>
        <v>0</v>
      </c>
      <c r="R132" s="349">
        <f t="shared" si="293"/>
        <v>0</v>
      </c>
      <c r="S132" s="349">
        <f t="shared" ref="S132" si="294">SUM(S124,S130)</f>
        <v>0</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0</v>
      </c>
      <c r="G138" s="349">
        <f t="shared" si="313"/>
        <v>0</v>
      </c>
      <c r="H138" s="349">
        <f t="shared" si="313"/>
        <v>0</v>
      </c>
      <c r="I138" s="349">
        <f t="shared" si="313"/>
        <v>0</v>
      </c>
      <c r="J138" s="279">
        <f t="shared" si="296"/>
        <v>0</v>
      </c>
      <c r="K138" s="349">
        <f t="shared" ref="K138:N138" si="314">SUM(K134:K137)</f>
        <v>0</v>
      </c>
      <c r="L138" s="349">
        <f t="shared" si="314"/>
        <v>0</v>
      </c>
      <c r="M138" s="349">
        <f t="shared" si="314"/>
        <v>0</v>
      </c>
      <c r="N138" s="349">
        <f t="shared" si="314"/>
        <v>0</v>
      </c>
      <c r="O138" s="279">
        <f t="shared" si="297"/>
        <v>0</v>
      </c>
      <c r="P138" s="349">
        <f t="shared" ref="P138:S138" si="315">SUM(P134:P137)</f>
        <v>0</v>
      </c>
      <c r="Q138" s="349">
        <f t="shared" si="315"/>
        <v>0</v>
      </c>
      <c r="R138" s="349">
        <f t="shared" si="315"/>
        <v>0</v>
      </c>
      <c r="S138" s="349">
        <f t="shared" si="315"/>
        <v>0</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0</v>
      </c>
      <c r="G144" s="349">
        <f t="shared" si="336"/>
        <v>0</v>
      </c>
      <c r="H144" s="349">
        <f t="shared" si="336"/>
        <v>0</v>
      </c>
      <c r="I144" s="349">
        <f t="shared" si="336"/>
        <v>0</v>
      </c>
      <c r="J144" s="279">
        <f t="shared" si="319"/>
        <v>0</v>
      </c>
      <c r="K144" s="349">
        <f t="shared" ref="K144:N144" si="337">SUM(K140:K143)</f>
        <v>0</v>
      </c>
      <c r="L144" s="349">
        <f t="shared" si="337"/>
        <v>0</v>
      </c>
      <c r="M144" s="349">
        <f t="shared" si="337"/>
        <v>0</v>
      </c>
      <c r="N144" s="349">
        <f t="shared" si="337"/>
        <v>0</v>
      </c>
      <c r="O144" s="279">
        <f t="shared" si="320"/>
        <v>0</v>
      </c>
      <c r="P144" s="349">
        <f t="shared" ref="P144:S144" si="338">SUM(P140:P143)</f>
        <v>0</v>
      </c>
      <c r="Q144" s="349">
        <f t="shared" si="338"/>
        <v>0</v>
      </c>
      <c r="R144" s="349">
        <f t="shared" si="338"/>
        <v>0</v>
      </c>
      <c r="S144" s="349">
        <f t="shared" si="338"/>
        <v>0</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0</v>
      </c>
      <c r="G146" s="349">
        <f t="shared" si="342"/>
        <v>0</v>
      </c>
      <c r="H146" s="349">
        <f t="shared" si="342"/>
        <v>0</v>
      </c>
      <c r="I146" s="349">
        <f t="shared" si="342"/>
        <v>0</v>
      </c>
      <c r="J146" s="279">
        <f t="shared" si="342"/>
        <v>0</v>
      </c>
      <c r="K146" s="349">
        <f t="shared" si="342"/>
        <v>0</v>
      </c>
      <c r="L146" s="349">
        <f t="shared" si="342"/>
        <v>0</v>
      </c>
      <c r="M146" s="349">
        <f t="shared" si="342"/>
        <v>0</v>
      </c>
      <c r="N146" s="349">
        <f t="shared" si="342"/>
        <v>0</v>
      </c>
      <c r="O146" s="279">
        <f t="shared" si="342"/>
        <v>0</v>
      </c>
      <c r="P146" s="349">
        <f t="shared" si="342"/>
        <v>0</v>
      </c>
      <c r="Q146" s="349">
        <f t="shared" si="342"/>
        <v>0</v>
      </c>
      <c r="R146" s="349">
        <f t="shared" si="342"/>
        <v>0</v>
      </c>
      <c r="S146" s="349">
        <f t="shared" ref="S146" si="343">SUM(S138,S144)</f>
        <v>0</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v>
      </c>
      <c r="K147" s="406">
        <v>0.406</v>
      </c>
      <c r="L147" s="406">
        <v>0.406</v>
      </c>
      <c r="M147" s="406">
        <v>0.406</v>
      </c>
      <c r="N147" s="406">
        <v>0.406</v>
      </c>
      <c r="O147" s="279">
        <f>N147</f>
        <v>0</v>
      </c>
      <c r="P147" s="406">
        <v>0.406</v>
      </c>
      <c r="Q147" s="406">
        <v>0.406</v>
      </c>
      <c r="R147" s="406">
        <v>0.406</v>
      </c>
      <c r="S147" s="406">
        <v>0.406</v>
      </c>
      <c r="T147" s="279">
        <f>S147</f>
        <v>0</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0</v>
      </c>
      <c r="K148" s="406">
        <v>2238.627</v>
      </c>
      <c r="L148" s="406">
        <v>2263.244</v>
      </c>
      <c r="M148" s="406">
        <v>2291.777</v>
      </c>
      <c r="N148" s="406">
        <v>2309.758</v>
      </c>
      <c r="O148" s="279">
        <f>N148</f>
        <v>0</v>
      </c>
      <c r="P148" s="406">
        <v>2300.443</v>
      </c>
      <c r="Q148" s="406">
        <v>2335.685</v>
      </c>
      <c r="R148" s="406">
        <v>2351.744</v>
      </c>
      <c r="S148" s="406">
        <v>2384.305</v>
      </c>
      <c r="T148" s="279">
        <f t="shared" ref="T148:T151" si="350">S148</f>
        <v>0</v>
      </c>
      <c r="U148" s="278">
        <f t="shared" ref="U148:X148" si="351">U250</f>
        <v>711.2402008332034</v>
      </c>
      <c r="V148" s="278">
        <f t="shared" si="351"/>
        <v>730.6671344191211</v>
      </c>
      <c r="W148" s="278">
        <f t="shared" si="351"/>
        <v>753.0086565222545</v>
      </c>
      <c r="X148" s="278">
        <f t="shared" si="351"/>
        <v>775.3073356137127</v>
      </c>
      <c r="Y148" s="279">
        <f t="shared" ref="Y148:Y152" si="352">X148</f>
        <v>775.3073356137127</v>
      </c>
      <c r="Z148" s="278">
        <f t="shared" ref="Z148:AC148" si="353">Z250</f>
        <v>714.2935557330218</v>
      </c>
      <c r="AA148" s="278">
        <f t="shared" si="353"/>
        <v>776.3975260776601</v>
      </c>
      <c r="AB148" s="278">
        <f t="shared" si="353"/>
        <v>882.1617098558974</v>
      </c>
      <c r="AC148" s="278">
        <f t="shared" si="353"/>
        <v>946.9448150390924</v>
      </c>
      <c r="AD148" s="279">
        <f t="shared" ref="AD148:AD152" si="354">AC148</f>
        <v>946.9448150390924</v>
      </c>
      <c r="AE148" s="279">
        <f t="shared" ref="AE148:AG148" si="355">AE250</f>
        <v>1043.1977542225084</v>
      </c>
      <c r="AF148" s="279">
        <f t="shared" si="355"/>
        <v>1143.9944015302942</v>
      </c>
      <c r="AG148" s="279">
        <f t="shared" si="355"/>
        <v>1247.7434704928507</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0</v>
      </c>
      <c r="K149" s="406">
        <v>7937.908</v>
      </c>
      <c r="L149" s="406">
        <v>8022.546</v>
      </c>
      <c r="M149" s="406">
        <v>8124.134</v>
      </c>
      <c r="N149" s="406">
        <v>8270.145</v>
      </c>
      <c r="O149" s="158">
        <f>N149</f>
        <v>0</v>
      </c>
      <c r="P149" s="406">
        <v>8311.857</v>
      </c>
      <c r="Q149" s="406">
        <v>8309.035</v>
      </c>
      <c r="R149" s="406">
        <v>8461.907</v>
      </c>
      <c r="S149" s="406">
        <v>8574.825</v>
      </c>
      <c r="T149" s="158">
        <f t="shared" si="350"/>
        <v>0</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0</v>
      </c>
      <c r="K151" s="407">
        <v>-396.438</v>
      </c>
      <c r="L151" s="407">
        <v>-410.734</v>
      </c>
      <c r="M151" s="407">
        <v>-369.965</v>
      </c>
      <c r="N151" s="407">
        <v>-423.131</v>
      </c>
      <c r="O151" s="358">
        <f>N151</f>
        <v>0</v>
      </c>
      <c r="P151" s="407">
        <v>-408.072</v>
      </c>
      <c r="Q151" s="407">
        <v>-339.695</v>
      </c>
      <c r="R151" s="407">
        <v>-374.927</v>
      </c>
      <c r="S151" s="407">
        <v>-384.434</v>
      </c>
      <c r="T151" s="351">
        <f t="shared" si="350"/>
        <v>0</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0</v>
      </c>
      <c r="G152" s="349">
        <f t="shared" ref="G152:I152" si="368">SUM(G147:G151)</f>
        <v>0</v>
      </c>
      <c r="H152" s="349">
        <f t="shared" si="368"/>
        <v>0</v>
      </c>
      <c r="I152" s="349">
        <f t="shared" si="368"/>
        <v>0</v>
      </c>
      <c r="J152" s="279">
        <f t="shared" ref="J152" si="369">I152</f>
        <v>0</v>
      </c>
      <c r="K152" s="349">
        <f>SUM(K147:K151)</f>
        <v>0</v>
      </c>
      <c r="L152" s="349">
        <f t="shared" ref="L152:N152" si="370">SUM(L147:L151)</f>
        <v>0</v>
      </c>
      <c r="M152" s="349">
        <f t="shared" si="370"/>
        <v>0</v>
      </c>
      <c r="N152" s="349">
        <f t="shared" si="370"/>
        <v>0</v>
      </c>
      <c r="O152" s="279">
        <f t="shared" ref="O152" si="371">N152</f>
        <v>0</v>
      </c>
      <c r="P152" s="349">
        <f>SUM(P147:P151)</f>
        <v>0</v>
      </c>
      <c r="Q152" s="349">
        <f t="shared" ref="Q152:S152" si="372">SUM(Q147:Q151)</f>
        <v>0</v>
      </c>
      <c r="R152" s="349">
        <f t="shared" si="372"/>
        <v>0</v>
      </c>
      <c r="S152" s="349">
        <f t="shared" si="372"/>
        <v>0</v>
      </c>
      <c r="T152" s="279">
        <f>S152-0.055</f>
        <v>-0.055</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0</v>
      </c>
      <c r="K154" s="407">
        <v>87.372</v>
      </c>
      <c r="L154" s="407">
        <v>77.13</v>
      </c>
      <c r="M154" s="407">
        <v>69.415</v>
      </c>
      <c r="N154" s="407">
        <v>68.215</v>
      </c>
      <c r="O154" s="358">
        <f>N154</f>
        <v>0</v>
      </c>
      <c r="P154" s="407">
        <v>64.211</v>
      </c>
      <c r="Q154" s="407">
        <v>77.149</v>
      </c>
      <c r="R154" s="407">
        <v>62.186</v>
      </c>
      <c r="S154" s="407">
        <v>67.507</v>
      </c>
      <c r="T154" s="408">
        <f t="shared" ref="T154:T155" si="376">S154</f>
        <v>0</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0</v>
      </c>
      <c r="G155" s="349">
        <f t="shared" si="379"/>
        <v>0</v>
      </c>
      <c r="H155" s="349">
        <f t="shared" si="379"/>
        <v>0</v>
      </c>
      <c r="I155" s="349">
        <f t="shared" si="379"/>
        <v>0</v>
      </c>
      <c r="J155" s="279">
        <f t="shared" ref="J155" si="380">I155</f>
        <v>0</v>
      </c>
      <c r="K155" s="349">
        <f t="shared" ref="K155:N155" si="381">SUM(K152:K154)</f>
        <v>0</v>
      </c>
      <c r="L155" s="349">
        <f t="shared" si="381"/>
        <v>0</v>
      </c>
      <c r="M155" s="349">
        <f t="shared" si="381"/>
        <v>0</v>
      </c>
      <c r="N155" s="349">
        <f t="shared" si="381"/>
        <v>0</v>
      </c>
      <c r="O155" s="279">
        <f t="shared" ref="O155" si="382">N155</f>
        <v>0</v>
      </c>
      <c r="P155" s="349">
        <f t="shared" ref="P155:S155" si="383">SUM(P152:P154)</f>
        <v>0</v>
      </c>
      <c r="Q155" s="349">
        <f t="shared" si="383"/>
        <v>0</v>
      </c>
      <c r="R155" s="349">
        <f t="shared" si="383"/>
        <v>0</v>
      </c>
      <c r="S155" s="349">
        <f t="shared" si="383"/>
        <v>0</v>
      </c>
      <c r="T155" s="279">
        <f t="shared" si="376"/>
        <v>0</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0</v>
      </c>
      <c r="G157" s="349">
        <f t="shared" si="387"/>
        <v>0</v>
      </c>
      <c r="H157" s="349">
        <f t="shared" si="387"/>
        <v>0</v>
      </c>
      <c r="I157" s="349">
        <f t="shared" si="387"/>
        <v>0</v>
      </c>
      <c r="J157" s="279">
        <f t="shared" si="387"/>
        <v>0</v>
      </c>
      <c r="K157" s="349">
        <f t="shared" si="387"/>
        <v>0</v>
      </c>
      <c r="L157" s="349">
        <f t="shared" si="387"/>
        <v>0</v>
      </c>
      <c r="M157" s="349">
        <f t="shared" si="387"/>
        <v>0</v>
      </c>
      <c r="N157" s="349">
        <f t="shared" si="387"/>
        <v>0</v>
      </c>
      <c r="O157" s="279">
        <f t="shared" si="387"/>
        <v>0</v>
      </c>
      <c r="P157" s="349">
        <f t="shared" si="387"/>
        <v>0</v>
      </c>
      <c r="Q157" s="349">
        <f t="shared" si="387"/>
        <v>0</v>
      </c>
      <c r="R157" s="349">
        <f t="shared" si="387"/>
        <v>0</v>
      </c>
      <c r="S157" s="349">
        <f t="shared" ref="S157" si="388">SUM(S146,S155)</f>
        <v>0</v>
      </c>
      <c r="T157" s="279">
        <f>SUM(T146,T155)</f>
        <v>0</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0</v>
      </c>
      <c r="H159" s="412">
        <f t="shared" si="390"/>
        <v>0</v>
      </c>
      <c r="I159" s="412">
        <f t="shared" si="390"/>
        <v>0</v>
      </c>
      <c r="J159" s="413">
        <f t="shared" si="390"/>
        <v>0</v>
      </c>
      <c r="K159" s="412">
        <f t="shared" si="390"/>
        <v>0</v>
      </c>
      <c r="L159" s="412">
        <f t="shared" si="390"/>
        <v>0</v>
      </c>
      <c r="M159" s="412">
        <f t="shared" si="390"/>
        <v>0</v>
      </c>
      <c r="N159" s="412">
        <f t="shared" si="390"/>
        <v>0</v>
      </c>
      <c r="O159" s="413">
        <f t="shared" si="390"/>
        <v>0</v>
      </c>
      <c r="P159" s="412">
        <f t="shared" si="390"/>
        <v>0</v>
      </c>
      <c r="Q159" s="412">
        <f t="shared" si="390"/>
        <v>0</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35</v>
      </c>
      <c r="G197" s="360">
        <f>69-F197</f>
        <v>34</v>
      </c>
      <c r="H197" s="360">
        <f>105-SUM(F197:G197)</f>
        <v>36</v>
      </c>
      <c r="I197" s="360">
        <f>145-SUM(F197:H197)</f>
        <v>40</v>
      </c>
      <c r="J197" s="373">
        <f>SUM(F197:I197)</f>
        <v>145</v>
      </c>
      <c r="K197" s="360">
        <v>40</v>
      </c>
      <c r="L197" s="360">
        <f>81-K197</f>
        <v>41</v>
      </c>
      <c r="M197" s="360">
        <f>123-SUM(K197:L197)</f>
        <v>42</v>
      </c>
      <c r="N197" s="360">
        <f>165-SUM(K197:M197)</f>
        <v>42</v>
      </c>
      <c r="O197" s="373">
        <f t="shared" si="542"/>
        <v>165</v>
      </c>
      <c r="P197" s="360">
        <v>42</v>
      </c>
      <c r="Q197" s="360">
        <f>87-P197</f>
        <v>45</v>
      </c>
      <c r="R197" s="360">
        <f>132-SUM(P197:Q197)</f>
        <v>45</v>
      </c>
      <c r="S197" s="360">
        <f>165-SUM(P197:R197)</f>
        <v>33</v>
      </c>
      <c r="T197" s="325">
        <f t="shared" si="543"/>
        <v>165</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-0.010670800197690615</v>
      </c>
      <c r="G203" s="430">
        <f t="shared" si="556"/>
        <v>-0.013928909269507437</v>
      </c>
      <c r="H203" s="430">
        <f t="shared" si="556"/>
        <v>-0.012739552586913146</v>
      </c>
      <c r="I203" s="430">
        <f t="shared" si="556"/>
        <v>-0.011682895732695342</v>
      </c>
      <c r="J203" s="431">
        <f t="shared" si="556"/>
        <v>-0.012228914529294298</v>
      </c>
      <c r="K203" s="430">
        <f t="shared" si="556"/>
        <v>-0.01058035189466672</v>
      </c>
      <c r="L203" s="430">
        <f t="shared" si="556"/>
        <v>-0.016691637886838643</v>
      </c>
      <c r="M203" s="430">
        <f t="shared" si="556"/>
        <v>-0.020420114969100126</v>
      </c>
      <c r="N203" s="430">
        <f>N196/N28</f>
        <v>-0.017885580679925607</v>
      </c>
      <c r="O203" s="431">
        <f t="shared" ref="O203:R203" si="557">O196/O28</f>
        <v>-0.01645257867542286</v>
      </c>
      <c r="P203" s="430">
        <f t="shared" si="557"/>
        <v>-0.020219470217529144</v>
      </c>
      <c r="Q203" s="430">
        <f t="shared" si="557"/>
        <v>-0.019644671984091824</v>
      </c>
      <c r="R203" s="430">
        <f t="shared" si="557"/>
        <v>-0.019259380522025506</v>
      </c>
      <c r="S203" s="430">
        <f>S196/S28</f>
        <v>-0.006104128289786032</v>
      </c>
      <c r="T203" s="431">
        <f>T196/T28</f>
        <v>-0.01598347770355675</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-0.019656737206272184</v>
      </c>
      <c r="G205" s="430">
        <f t="shared" si="568"/>
        <v>-0.020590561528837082</v>
      </c>
      <c r="H205" s="430">
        <f t="shared" si="568"/>
        <v>-0.017639380504956663</v>
      </c>
      <c r="I205" s="430">
        <f t="shared" si="568"/>
        <v>-0.020318079535122335</v>
      </c>
      <c r="J205" s="431">
        <f t="shared" si="568"/>
        <v>-0.019485633041183222</v>
      </c>
      <c r="K205" s="430">
        <f t="shared" si="568"/>
        <v>-0.01567459539950625</v>
      </c>
      <c r="L205" s="430">
        <f t="shared" si="568"/>
        <v>-0.01629421793715201</v>
      </c>
      <c r="M205" s="430">
        <f t="shared" si="568"/>
        <v>-0.01618197790004161</v>
      </c>
      <c r="N205" s="430">
        <f t="shared" si="568"/>
        <v>-0.014729301736409324</v>
      </c>
      <c r="O205" s="431">
        <f t="shared" si="568"/>
        <v>-0.015691765788698103</v>
      </c>
      <c r="P205" s="430">
        <f t="shared" si="568"/>
        <v>-0.016984354982724482</v>
      </c>
      <c r="Q205" s="430">
        <f t="shared" si="568"/>
        <v>-0.0180410252915129</v>
      </c>
      <c r="R205" s="430">
        <f t="shared" si="568"/>
        <v>-0.015476287919484782</v>
      </c>
      <c r="S205" s="430">
        <f t="shared" ref="S205" si="569">-S197/S28</f>
        <v>-0.011190901864607727</v>
      </c>
      <c r="T205" s="431">
        <f t="shared" si="568"/>
        <v>-0.015244357347322912</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-35</v>
      </c>
      <c r="G211" s="324">
        <f t="shared" ref="F211:I211" si="601">G34-G197</f>
        <v>-34</v>
      </c>
      <c r="H211" s="324">
        <f t="shared" si="601"/>
        <v>-36</v>
      </c>
      <c r="I211" s="324">
        <f t="shared" si="601"/>
        <v>-40</v>
      </c>
      <c r="J211" s="325">
        <f t="shared" si="590"/>
        <v>-145</v>
      </c>
      <c r="K211" s="324">
        <f t="shared" ref="K211:N211" si="602">K34-K197</f>
        <v>-40</v>
      </c>
      <c r="L211" s="324">
        <f t="shared" si="602"/>
        <v>-41</v>
      </c>
      <c r="M211" s="324">
        <f t="shared" si="602"/>
        <v>-42</v>
      </c>
      <c r="N211" s="324">
        <f t="shared" si="602"/>
        <v>-42</v>
      </c>
      <c r="O211" s="325">
        <f t="shared" si="591"/>
        <v>-165</v>
      </c>
      <c r="P211" s="324">
        <f t="shared" ref="P211:S211" si="603">P34-P197</f>
        <v>-72.988</v>
      </c>
      <c r="Q211" s="324">
        <f t="shared" si="603"/>
        <v>-97.253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7.826637362637363</v>
      </c>
      <c r="G240" s="377">
        <f t="shared" si="705"/>
        <v>7.092963917525773</v>
      </c>
      <c r="H240" s="377">
        <f t="shared" si="705"/>
        <v>9.344725274725276</v>
      </c>
      <c r="I240" s="377">
        <f t="shared" si="705"/>
        <v>8.356069609507642</v>
      </c>
      <c r="J240" s="118">
        <f t="shared" si="705"/>
        <v>31.7668303094984</v>
      </c>
      <c r="K240" s="377">
        <f t="shared" si="705"/>
        <v>11.327178303519908</v>
      </c>
      <c r="L240" s="377">
        <f t="shared" si="705"/>
        <v>11.126573098794585</v>
      </c>
      <c r="M240" s="377">
        <f t="shared" si="705"/>
        <v>11.707699941359555</v>
      </c>
      <c r="N240" s="377">
        <f t="shared" si="705"/>
        <v>12.749649005141963</v>
      </c>
      <c r="O240" s="118">
        <f t="shared" si="705"/>
        <v>48.56844803695151</v>
      </c>
      <c r="P240" s="377">
        <f t="shared" si="705"/>
        <v>4.634386463353235</v>
      </c>
      <c r="Q240" s="377">
        <f t="shared" si="705"/>
        <v>4.483162828428502</v>
      </c>
      <c r="R240" s="377">
        <f t="shared" si="705"/>
        <v>5.352748091603056</v>
      </c>
      <c r="S240" s="377">
        <f t="shared" ref="S240" si="706">S53</f>
        <v>5.2682476661583575</v>
      </c>
      <c r="T240" s="118">
        <f t="shared" si="705"/>
        <v>19.72904343331058</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4.856491777867637</v>
      </c>
      <c r="G241" s="450">
        <f>G242/SUM(F240:G240,C240:D240)</f>
        <v>2.3291507157234186</v>
      </c>
      <c r="H241" s="450">
        <f>H242/SUM(F240:H240,D240)</f>
        <v>1.4317314730089266</v>
      </c>
      <c r="I241" s="450">
        <f>I242/SUM(F240:I240)</f>
        <v>1.0931810827889807</v>
      </c>
      <c r="J241" s="451">
        <f>J242/J240</f>
        <v>1.1176067465383708</v>
      </c>
      <c r="K241" s="450">
        <f>K242/SUM(K240,G240:I240)</f>
        <v>1.1248323896353858</v>
      </c>
      <c r="L241" s="450">
        <f>L242/SUM(K240:L240,H240:I240)</f>
        <v>1.012587708247171</v>
      </c>
      <c r="M241" s="450">
        <f>M242/SUM(K240:M240,I240)</f>
        <v>0.957722818431464</v>
      </c>
      <c r="N241" s="450">
        <f>N242/SUM(K240:N240)</f>
        <v>0.868024832016709</v>
      </c>
      <c r="O241" s="451">
        <f>O242/O240</f>
        <v>0.8376552299609317</v>
      </c>
      <c r="P241" s="450">
        <f>P242/SUM(P240,L240:N240)</f>
        <v>2.011273049501916</v>
      </c>
      <c r="Q241" s="450">
        <f>Q242/SUM(P240:Q240,M240:N240)</f>
        <v>2.386008720903756</v>
      </c>
      <c r="R241" s="450">
        <f>R242/SUM(P240:R240,N240)</f>
        <v>2.931673665369003</v>
      </c>
      <c r="S241" s="450">
        <f>S242/SUM(P240:S240)</f>
        <v>2.0629686685515085</v>
      </c>
      <c r="T241" s="451">
        <f>T242/T240</f>
        <v>4.0609839650046515</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f t="shared" ref="V247" si="729">U250</f>
        <v>711.2402008332034</v>
      </c>
      <c r="W247" s="278">
        <f t="shared" ref="W247" si="730">V250</f>
        <v>730.6671344191211</v>
      </c>
      <c r="X247" s="278">
        <f t="shared" ref="X247" si="731">W250</f>
        <v>753.0086565222545</v>
      </c>
      <c r="Y247" s="279"/>
      <c r="Z247" s="278">
        <f t="shared" ref="Z247:AC247" si="732">Y250</f>
        <v>775.3073356137127</v>
      </c>
      <c r="AA247" s="278">
        <f t="shared" si="732"/>
        <v>714.2935557330218</v>
      </c>
      <c r="AB247" s="278">
        <f t="shared" si="732"/>
        <v>776.3975260776601</v>
      </c>
      <c r="AC247" s="278">
        <f t="shared" si="732"/>
        <v>882.1617098558974</v>
      </c>
      <c r="AD247" s="279">
        <f>Y250</f>
        <v>775.3073356137127</v>
      </c>
      <c r="AE247" s="279">
        <f t="shared" ref="AE247:AG247" si="733">AD250</f>
        <v>946.9448150390924</v>
      </c>
      <c r="AF247" s="279">
        <f t="shared" si="733"/>
        <v>1043.1977542225084</v>
      </c>
      <c r="AG247" s="279">
        <f t="shared" si="733"/>
        <v>1143.9944015302942</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v>
      </c>
      <c r="G249" s="350">
        <v>10.5</v>
      </c>
      <c r="H249" s="350">
        <v>11.3</v>
      </c>
      <c r="I249" s="464">
        <v>9.9</v>
      </c>
      <c r="J249" s="351">
        <f t="shared" si="734"/>
        <v>45.4</v>
      </c>
      <c r="K249" s="350">
        <v>20.2</v>
      </c>
      <c r="L249" s="350">
        <v>14.4</v>
      </c>
      <c r="M249" s="464">
        <v>13.4</v>
      </c>
      <c r="N249" s="350">
        <v>15.2</v>
      </c>
      <c r="O249" s="351">
        <f t="shared" si="735"/>
        <v>63.2</v>
      </c>
      <c r="P249" s="350">
        <v>35.6</v>
      </c>
      <c r="Q249" s="350">
        <v>18.2</v>
      </c>
      <c r="R249" s="350">
        <v>14</v>
      </c>
      <c r="S249" s="350">
        <f>88.227-SUM(P249:R249)</f>
        <v>20.427000000000007</v>
      </c>
      <c r="T249" s="351">
        <f t="shared" si="736"/>
        <v>88.227</v>
      </c>
      <c r="U249" s="352">
        <f t="shared" ref="U249:X249" si="739">U252*U28</f>
        <v>19.000200833203355</v>
      </c>
      <c r="V249" s="352">
        <f t="shared" si="739"/>
        <v>19.426933585917656</v>
      </c>
      <c r="W249" s="352">
        <f t="shared" si="739"/>
        <v>22.341522103133336</v>
      </c>
      <c r="X249" s="352">
        <f t="shared" si="739"/>
        <v>22.298679091458162</v>
      </c>
      <c r="Y249" s="351">
        <f t="shared" si="737"/>
        <v>83.06733561371252</v>
      </c>
      <c r="Z249" s="352">
        <f t="shared" ref="Z249:AC249" si="740">Z252*Z28</f>
        <v>20.426220119309175</v>
      </c>
      <c r="AA249" s="352">
        <f t="shared" si="740"/>
        <v>21.38397034463829</v>
      </c>
      <c r="AB249" s="352">
        <f t="shared" si="740"/>
        <v>24.324183778237213</v>
      </c>
      <c r="AC249" s="352">
        <f t="shared" si="740"/>
        <v>24.063105183195074</v>
      </c>
      <c r="AD249" s="351">
        <f t="shared" si="738"/>
        <v>90.19747942537975</v>
      </c>
      <c r="AE249" s="351">
        <f t="shared" ref="AE249:AG249" si="741">AE252*AE28</f>
        <v>96.25293918341586</v>
      </c>
      <c r="AF249" s="351">
        <f t="shared" si="741"/>
        <v>100.7966473077859</v>
      </c>
      <c r="AG249" s="351">
        <f t="shared" si="741"/>
        <v>103.74906896255654</v>
      </c>
      <c r="AH249" s="8"/>
      <c r="AI249" s="8"/>
      <c r="AJ249" s="8"/>
      <c r="AK249" s="8"/>
    </row>
    <row r="250" ht="15.75" customHeight="1" spans="1:37" x14ac:dyDescent="0.25">
      <c r="A250" s="261"/>
      <c r="B250" s="8"/>
      <c r="C250" s="131" t="s">
        <v>397</v>
      </c>
      <c r="D250" s="8"/>
      <c r="E250" s="8"/>
      <c r="F250" s="349">
        <f t="shared" ref="F250:R250" si="742">F148</f>
        <v>0</v>
      </c>
      <c r="G250" s="349">
        <f t="shared" si="742"/>
        <v>0</v>
      </c>
      <c r="H250" s="349">
        <f t="shared" si="742"/>
        <v>0</v>
      </c>
      <c r="I250" s="465">
        <f t="shared" si="742"/>
        <v>0</v>
      </c>
      <c r="J250" s="279">
        <f t="shared" si="742"/>
        <v>0</v>
      </c>
      <c r="K250" s="349">
        <f t="shared" si="742"/>
        <v>0</v>
      </c>
      <c r="L250" s="349">
        <f t="shared" si="742"/>
        <v>0</v>
      </c>
      <c r="M250" s="465">
        <f t="shared" si="742"/>
        <v>0</v>
      </c>
      <c r="N250" s="349">
        <f t="shared" si="742"/>
        <v>0</v>
      </c>
      <c r="O250" s="279">
        <f t="shared" si="742"/>
        <v>0</v>
      </c>
      <c r="P250" s="349">
        <f t="shared" si="742"/>
        <v>0</v>
      </c>
      <c r="Q250" s="349">
        <f t="shared" si="742"/>
        <v>0</v>
      </c>
      <c r="R250" s="465">
        <f t="shared" si="742"/>
        <v>0</v>
      </c>
      <c r="S250" s="349">
        <f t="shared" ref="S250" si="743">S148</f>
        <v>0</v>
      </c>
      <c r="T250" s="279">
        <f>S250</f>
        <v>0</v>
      </c>
      <c r="U250" s="278">
        <f t="shared" ref="U250:X250" si="744">SUM(U247:U249)</f>
        <v>711.2402008332034</v>
      </c>
      <c r="V250" s="278">
        <f t="shared" si="744"/>
        <v>730.6671344191211</v>
      </c>
      <c r="W250" s="278">
        <f t="shared" si="744"/>
        <v>753.0086565222545</v>
      </c>
      <c r="X250" s="278">
        <f t="shared" si="744"/>
        <v>775.3073356137127</v>
      </c>
      <c r="Y250" s="279">
        <f>X250</f>
        <v>775.3073356137127</v>
      </c>
      <c r="Z250" s="278">
        <f t="shared" ref="Z250:AG250" si="745">SUM(Z247:Z249)</f>
        <v>714.2935557330218</v>
      </c>
      <c r="AA250" s="278">
        <f t="shared" si="745"/>
        <v>776.3975260776601</v>
      </c>
      <c r="AB250" s="278">
        <f t="shared" si="745"/>
        <v>882.1617098558974</v>
      </c>
      <c r="AC250" s="278">
        <f t="shared" si="745"/>
        <v>946.9448150390924</v>
      </c>
      <c r="AD250" s="279">
        <f t="shared" si="745"/>
        <v>946.9448150390924</v>
      </c>
      <c r="AE250" s="279">
        <f t="shared" si="745"/>
        <v>1043.1977542225084</v>
      </c>
      <c r="AF250" s="279">
        <f t="shared" si="745"/>
        <v>1143.9944015302942</v>
      </c>
      <c r="AG250" s="279">
        <f t="shared" si="745"/>
        <v>1247.7434704928507</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0.007694208563597969</v>
      </c>
      <c r="G252" s="466">
        <f t="shared" si="746"/>
        <v>0.006358849883905569</v>
      </c>
      <c r="H252" s="466">
        <f t="shared" si="746"/>
        <v>0.005536805547389175</v>
      </c>
      <c r="I252" s="467">
        <f t="shared" si="746"/>
        <v>0.005028724684942778</v>
      </c>
      <c r="J252" s="468">
        <f t="shared" si="746"/>
        <v>0.006101018897032539</v>
      </c>
      <c r="K252" s="466">
        <f t="shared" si="746"/>
        <v>0.007915670676750655</v>
      </c>
      <c r="L252" s="466">
        <f t="shared" si="746"/>
        <v>0.005722847275487535</v>
      </c>
      <c r="M252" s="467">
        <f t="shared" si="746"/>
        <v>0.005162821520489466</v>
      </c>
      <c r="N252" s="466">
        <f t="shared" si="746"/>
        <v>0.0053306044379386125</v>
      </c>
      <c r="O252" s="468">
        <f t="shared" si="746"/>
        <v>0.006010421805125577</v>
      </c>
      <c r="P252" s="466">
        <f t="shared" si="746"/>
        <v>0.014396262794880751</v>
      </c>
      <c r="Q252" s="466">
        <f t="shared" si="746"/>
        <v>0.007296592451234106</v>
      </c>
      <c r="R252" s="467">
        <f t="shared" si="746"/>
        <v>0.004814845130506376</v>
      </c>
      <c r="S252" s="466">
        <f t="shared" ref="S252" si="747">S249/S28</f>
        <v>0.006927168254192185</v>
      </c>
      <c r="T252" s="468">
        <f>T249/T28</f>
        <v>0.008151296458680355</v>
      </c>
      <c r="U252" s="469">
        <f>S252</f>
        <v>0.006927168254192185</v>
      </c>
      <c r="V252" s="469">
        <f t="shared" ref="V252" si="748">U252</f>
        <v>0.006927168254192185</v>
      </c>
      <c r="W252" s="469">
        <f t="shared" ref="W252" si="749">V252</f>
        <v>0.006927168254192185</v>
      </c>
      <c r="X252" s="469">
        <f t="shared" ref="X252" si="750">W252</f>
        <v>0.006927168254192185</v>
      </c>
      <c r="Y252" s="468">
        <f>Y249/Y28</f>
        <v>0.006927168254192185</v>
      </c>
      <c r="Z252" s="469">
        <f>X252</f>
        <v>0.006927168254192185</v>
      </c>
      <c r="AA252" s="469">
        <f t="shared" ref="AA252:AC252" si="751">Z252</f>
        <v>0.006927168254192185</v>
      </c>
      <c r="AB252" s="469">
        <f t="shared" si="751"/>
        <v>0.006927168254192185</v>
      </c>
      <c r="AC252" s="469">
        <f t="shared" si="751"/>
        <v>0.006927168254192185</v>
      </c>
      <c r="AD252" s="468">
        <f>AD249/AD28</f>
        <v>0.006927168254192185</v>
      </c>
      <c r="AE252" s="470">
        <f>AC252</f>
        <v>0.006927168254192185</v>
      </c>
      <c r="AF252" s="470">
        <f t="shared" ref="AF252:AG252" si="752">AE252</f>
        <v>0.006927168254192185</v>
      </c>
      <c r="AG252" s="470">
        <f t="shared" si="752"/>
        <v>0.006927168254192185</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8003</v>
      </c>
      <c r="G255" s="349">
        <f t="shared" ref="G255" si="753">F259</f>
        <v>0</v>
      </c>
      <c r="H255" s="349">
        <f t="shared" ref="H255" si="754">G259</f>
        <v>0</v>
      </c>
      <c r="I255" s="465">
        <f t="shared" ref="I255" si="755">H259</f>
        <v>0</v>
      </c>
      <c r="J255" s="279">
        <f>F255</f>
        <v>8003</v>
      </c>
      <c r="K255" s="349">
        <f t="shared" ref="K255" si="756">J259</f>
        <v>0</v>
      </c>
      <c r="L255" s="349">
        <f t="shared" ref="L255" si="757">K259</f>
        <v>0</v>
      </c>
      <c r="M255" s="465">
        <f t="shared" ref="M255" si="758">L259</f>
        <v>0</v>
      </c>
      <c r="N255" s="349">
        <f t="shared" ref="N255" si="759">M259</f>
        <v>0</v>
      </c>
      <c r="O255" s="279">
        <f>K255</f>
        <v>0</v>
      </c>
      <c r="P255" s="349">
        <f>O259</f>
        <v>0</v>
      </c>
      <c r="Q255" s="349">
        <f t="shared" ref="Q255" si="760">P259</f>
        <v>0</v>
      </c>
      <c r="R255" s="465">
        <f>Q259</f>
        <v>0</v>
      </c>
      <c r="S255" s="349">
        <f t="shared" ref="R255:S255" si="761">R259</f>
        <v>0</v>
      </c>
      <c r="T255" s="279">
        <f>O259</f>
        <v>0</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1780.56</v>
      </c>
      <c r="G256" s="354">
        <f t="shared" si="768"/>
        <v>1651.242</v>
      </c>
      <c r="H256" s="354">
        <f t="shared" si="768"/>
        <v>2040.8880000000001</v>
      </c>
      <c r="I256" s="457">
        <f t="shared" si="768"/>
        <v>1968.6900000000005</v>
      </c>
      <c r="J256" s="158">
        <f t="shared" ref="J256:J258" si="769">SUM(F256:I256)</f>
        <v>7441.38</v>
      </c>
      <c r="K256" s="354">
        <f t="shared" ref="K256:N256" si="770">K45</f>
        <v>2551.9</v>
      </c>
      <c r="L256" s="354">
        <f t="shared" si="770"/>
        <v>2516.23</v>
      </c>
      <c r="M256" s="457">
        <f t="shared" si="770"/>
        <v>2595.48</v>
      </c>
      <c r="N256" s="354">
        <f t="shared" si="770"/>
        <v>2851.4590000000003</v>
      </c>
      <c r="O256" s="158">
        <f t="shared" ref="O256:O258" si="771">SUM(K256:N256)</f>
        <v>10515.069000000001</v>
      </c>
      <c r="P256" s="354">
        <f t="shared" ref="P256:S256" si="772">P45</f>
        <v>1030.9100000000005</v>
      </c>
      <c r="Q256" s="354">
        <f t="shared" si="772"/>
        <v>994.7690000000002</v>
      </c>
      <c r="R256" s="457">
        <f t="shared" si="772"/>
        <v>1192.0570000000005</v>
      </c>
      <c r="S256" s="354">
        <f t="shared" si="772"/>
        <v>1133.178999999998</v>
      </c>
      <c r="T256" s="158">
        <f t="shared" ref="T256:T258" si="773">SUM(P256:S256)</f>
        <v>4350.914999999999</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v>
      </c>
      <c r="G257" s="360">
        <f>-138.7-F257</f>
        <v>-69.93999999999998</v>
      </c>
      <c r="H257" s="360">
        <f>-208.6-SUM(F257:G257)</f>
        <v>-69.9</v>
      </c>
      <c r="I257" s="459">
        <f>-169.4-SUM(F257:H257)</f>
        <v>39.19999999999999</v>
      </c>
      <c r="J257" s="158">
        <f t="shared" si="769"/>
        <v>-169.4</v>
      </c>
      <c r="K257" s="360">
        <f>-69.9</f>
        <v>-69.9</v>
      </c>
      <c r="L257" s="360">
        <f>-139.8-K257</f>
        <v>-69.9</v>
      </c>
      <c r="M257" s="459">
        <f>-221.4-SUM(K257:L257)</f>
        <v>-81.6</v>
      </c>
      <c r="N257" s="360">
        <f>-302.96-SUM(K257:M257)</f>
        <v>-81.55999999999997</v>
      </c>
      <c r="O257" s="158">
        <f t="shared" si="771"/>
        <v>-302.96</v>
      </c>
      <c r="P257" s="360">
        <f>-92.7</f>
        <v>-92.7</v>
      </c>
      <c r="Q257" s="360">
        <f>-187.1-P257</f>
        <v>-94.39999999999999</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-9714.8</v>
      </c>
      <c r="G258" s="379">
        <f>G259-SUM(G255:G257)</f>
        <v>-1581.302</v>
      </c>
      <c r="H258" s="379">
        <f>H259-SUM(H255:H257)</f>
        <v>-1970.988</v>
      </c>
      <c r="I258" s="471">
        <f>I259-SUM(I255:I257)</f>
        <v>-2007.8900000000006</v>
      </c>
      <c r="J258" s="351">
        <f t="shared" si="769"/>
        <v>-15274.98</v>
      </c>
      <c r="K258" s="379">
        <f>K259-SUM(K255:K257)</f>
        <v>-2482</v>
      </c>
      <c r="L258" s="379">
        <f>L259-SUM(L255:L257)</f>
        <v>-2446.33</v>
      </c>
      <c r="M258" s="471">
        <f>M259-SUM(M255:M257)</f>
        <v>-2513.88</v>
      </c>
      <c r="N258" s="379">
        <f>N259-SUM(N255:N257)</f>
        <v>-2769.8990000000003</v>
      </c>
      <c r="O258" s="351">
        <f t="shared" si="771"/>
        <v>-10212.109</v>
      </c>
      <c r="P258" s="379">
        <f>P259-SUM(P255:P257)</f>
        <v>-938.2100000000005</v>
      </c>
      <c r="Q258" s="379">
        <f>Q259-SUM(Q255:Q257)</f>
        <v>-900.3690000000003</v>
      </c>
      <c r="R258" s="471">
        <f>R259-SUM(R255:R257)</f>
        <v>-1098.5570000000005</v>
      </c>
      <c r="S258" s="379">
        <f>S259-SUM(S255:S257)</f>
        <v>-1039.648999999998</v>
      </c>
      <c r="T258" s="351">
        <f t="shared" si="773"/>
        <v>-3976.7849999999994</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0</v>
      </c>
      <c r="G259" s="349">
        <f t="shared" si="782"/>
        <v>0</v>
      </c>
      <c r="H259" s="349">
        <f t="shared" si="782"/>
        <v>0</v>
      </c>
      <c r="I259" s="465">
        <f t="shared" si="782"/>
        <v>0</v>
      </c>
      <c r="J259" s="279">
        <f t="shared" si="782"/>
        <v>0</v>
      </c>
      <c r="K259" s="349">
        <f t="shared" si="782"/>
        <v>0</v>
      </c>
      <c r="L259" s="349">
        <f t="shared" si="782"/>
        <v>0</v>
      </c>
      <c r="M259" s="465">
        <f t="shared" si="782"/>
        <v>0</v>
      </c>
      <c r="N259" s="349">
        <f t="shared" si="782"/>
        <v>0</v>
      </c>
      <c r="O259" s="279">
        <f t="shared" si="782"/>
        <v>0</v>
      </c>
      <c r="P259" s="349">
        <f t="shared" si="782"/>
        <v>0</v>
      </c>
      <c r="Q259" s="349">
        <f t="shared" si="782"/>
        <v>0</v>
      </c>
      <c r="R259" s="465">
        <f t="shared" si="782"/>
        <v>0</v>
      </c>
      <c r="S259" s="349">
        <f t="shared" ref="S259" si="783">S149</f>
        <v>0</v>
      </c>
      <c r="T259" s="279">
        <f t="shared" ref="T259" si="784">SUM(T255:T258)</f>
        <v>0</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8</v>
      </c>
      <c r="G262" s="349">
        <f t="shared" ref="G262" si="790">F264</f>
        <v>0</v>
      </c>
      <c r="H262" s="349">
        <f t="shared" ref="H262" si="791">G264</f>
        <v>0</v>
      </c>
      <c r="I262" s="465">
        <f t="shared" ref="I262" si="792">H264</f>
        <v>0</v>
      </c>
      <c r="J262" s="279">
        <f>F262</f>
        <v>8</v>
      </c>
      <c r="K262" s="349">
        <f t="shared" ref="K262" si="793">J264</f>
        <v>0</v>
      </c>
      <c r="L262" s="349">
        <f t="shared" ref="L262" si="794">K264</f>
        <v>0</v>
      </c>
      <c r="M262" s="349">
        <f t="shared" ref="M262" si="795">L264</f>
        <v>0</v>
      </c>
      <c r="N262" s="349">
        <f t="shared" ref="N262" si="796">M264</f>
        <v>0</v>
      </c>
      <c r="O262" s="279">
        <f>K262</f>
        <v>0</v>
      </c>
      <c r="P262" s="349">
        <f t="shared" ref="P262" si="797">O264</f>
        <v>0</v>
      </c>
      <c r="Q262" s="349">
        <f t="shared" ref="Q262" si="798">P264</f>
        <v>0</v>
      </c>
      <c r="R262" s="349">
        <f t="shared" ref="R262:S262" si="799">Q264</f>
        <v>0</v>
      </c>
      <c r="S262" s="349">
        <f t="shared" si="799"/>
        <v>0</v>
      </c>
      <c r="T262" s="279">
        <f>O264</f>
        <v>0</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-8</v>
      </c>
      <c r="G263" s="379">
        <f t="shared" si="806"/>
        <v>0</v>
      </c>
      <c r="H263" s="379">
        <f t="shared" si="806"/>
        <v>0</v>
      </c>
      <c r="I263" s="471">
        <f t="shared" si="806"/>
        <v>0</v>
      </c>
      <c r="J263" s="351">
        <f>SUM(F263:I263)</f>
        <v>-8</v>
      </c>
      <c r="K263" s="379">
        <f t="shared" ref="K263:N263" si="807">K264-K262</f>
        <v>0</v>
      </c>
      <c r="L263" s="379">
        <f t="shared" si="807"/>
        <v>0</v>
      </c>
      <c r="M263" s="379">
        <f t="shared" si="807"/>
        <v>0</v>
      </c>
      <c r="N263" s="379">
        <f t="shared" si="807"/>
        <v>0</v>
      </c>
      <c r="O263" s="351">
        <f>SUM(K263:N263)</f>
        <v>0</v>
      </c>
      <c r="P263" s="379">
        <f t="shared" ref="P263:S263" si="808">P264-P262</f>
        <v>0</v>
      </c>
      <c r="Q263" s="379">
        <f t="shared" si="808"/>
        <v>0</v>
      </c>
      <c r="R263" s="379">
        <f t="shared" si="808"/>
        <v>0</v>
      </c>
      <c r="S263" s="379">
        <f t="shared" si="808"/>
        <v>0</v>
      </c>
      <c r="T263" s="351">
        <f>SUM(P263:S263)</f>
        <v>0</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0</v>
      </c>
      <c r="G264" s="349">
        <f>G151</f>
        <v>0</v>
      </c>
      <c r="H264" s="349">
        <f>H151</f>
        <v>0</v>
      </c>
      <c r="I264" s="349">
        <f>I151</f>
        <v>0</v>
      </c>
      <c r="J264" s="279">
        <f>SUM(J262:J263)</f>
        <v>0</v>
      </c>
      <c r="K264" s="349">
        <f>K151</f>
        <v>0</v>
      </c>
      <c r="L264" s="349">
        <f>L151</f>
        <v>0</v>
      </c>
      <c r="M264" s="349">
        <f>M151</f>
        <v>0</v>
      </c>
      <c r="N264" s="349">
        <f>N151</f>
        <v>0</v>
      </c>
      <c r="O264" s="279">
        <f>SUM(O262:O263)</f>
        <v>0</v>
      </c>
      <c r="P264" s="349">
        <f>P151</f>
        <v>0</v>
      </c>
      <c r="Q264" s="349">
        <f>Q151</f>
        <v>0</v>
      </c>
      <c r="R264" s="349">
        <f>R151</f>
        <v>0</v>
      </c>
      <c r="S264" s="349">
        <f>S151</f>
        <v>0</v>
      </c>
      <c r="T264" s="279">
        <f t="shared" ref="T264:X264" si="809">SUM(T262:T263)</f>
        <v>0</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0.30224175824175825</v>
      </c>
      <c r="G267" s="377">
        <f t="shared" si="811"/>
        <v>0.30042955326460474</v>
      </c>
      <c r="H267" s="377">
        <f t="shared" si="811"/>
        <v>0.3200549450549451</v>
      </c>
      <c r="I267" s="377">
        <f t="shared" si="811"/>
        <v>-0.16638370118845497</v>
      </c>
      <c r="J267" s="118">
        <f t="shared" si="811"/>
        <v>0.7231590181430096</v>
      </c>
      <c r="K267" s="377">
        <f t="shared" si="811"/>
        <v>0.31026676727773095</v>
      </c>
      <c r="L267" s="377">
        <f t="shared" si="811"/>
        <v>0.3090923562654215</v>
      </c>
      <c r="M267" s="377">
        <f t="shared" si="811"/>
        <v>0.36808155532500336</v>
      </c>
      <c r="N267" s="377">
        <f t="shared" si="811"/>
        <v>0.3646769505924434</v>
      </c>
      <c r="O267" s="118">
        <f t="shared" si="811"/>
        <v>1.399353348729792</v>
      </c>
      <c r="P267" s="377">
        <f t="shared" si="811"/>
        <v>0.41672660576853915</v>
      </c>
      <c r="Q267" s="377">
        <f t="shared" si="811"/>
        <v>0.4254360268601559</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v>
      </c>
      <c r="G270" s="349">
        <f>-G257</f>
        <v>69.93999999999998</v>
      </c>
      <c r="H270" s="349">
        <f>-H257</f>
        <v>69.9</v>
      </c>
      <c r="I270" s="349">
        <f>-I257</f>
        <v>-39.19999999999999</v>
      </c>
      <c r="J270" s="279">
        <f>SUM(F270:I270)</f>
        <v>169.4</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0.016579406631762605</v>
      </c>
      <c r="L276" s="403">
        <f t="shared" ref="L276" si="833">L270/G270-1</f>
        <v>-0.0005719187875318221</v>
      </c>
      <c r="M276" s="403">
        <f t="shared" ref="M276" si="834">M270/H270-1</f>
        <v>0.16738197424892687</v>
      </c>
      <c r="N276" s="403">
        <f t="shared" ref="N276" si="835">N270/I270-1</f>
        <v>-3.080612244897959</v>
      </c>
      <c r="O276" s="404">
        <f t="shared" ref="O276" si="836">O270/J270-1</f>
        <v>0.7884297520661154</v>
      </c>
      <c r="P276" s="403">
        <f t="shared" ref="P276" si="837">P270/K270-1</f>
        <v>0.32618025751072954</v>
      </c>
      <c r="Q276" s="403">
        <f t="shared" ref="Q276" si="838">Q270/L270-1</f>
        <v>0.3505007153075821</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0">G$63</f>
        <v>2Q23</v>
      </c>
      <c r="H278" s="54" t="str">
        <f t="shared" si="840"/>
        <v>3Q23</v>
      </c>
      <c r="I278" s="54" t="str">
        <f t="shared" si="840"/>
        <v>4Q23</v>
      </c>
      <c r="J278" s="54">
        <f t="shared" si="840"/>
        <v>2023</v>
      </c>
      <c r="K278" s="54" t="str">
        <f t="shared" si="840"/>
        <v>1Q24</v>
      </c>
      <c r="L278" s="54" t="str">
        <f t="shared" si="840"/>
        <v>2Q24</v>
      </c>
      <c r="M278" s="54" t="str">
        <f t="shared" si="840"/>
        <v>3Q24</v>
      </c>
      <c r="N278" s="54" t="str">
        <f t="shared" si="840"/>
        <v>4Q24</v>
      </c>
      <c r="O278" s="54">
        <f t="shared" si="840"/>
        <v>2024</v>
      </c>
      <c r="P278" s="54" t="str">
        <f t="shared" si="840"/>
        <v>1Q25</v>
      </c>
      <c r="Q278" s="54" t="str">
        <f t="shared" si="840"/>
        <v>2Q25</v>
      </c>
      <c r="R278" s="54" t="str">
        <f t="shared" si="840"/>
        <v>3Q25</v>
      </c>
      <c r="S278" s="54" t="str">
        <f t="shared" si="840"/>
        <v>4Q25</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5">G$63</f>
        <v>2Q23</v>
      </c>
      <c r="H289" s="54" t="str">
        <f t="shared" si="865"/>
        <v>3Q23</v>
      </c>
      <c r="I289" s="54" t="str">
        <f t="shared" si="865"/>
        <v>4Q23</v>
      </c>
      <c r="J289" s="54">
        <f t="shared" si="865"/>
        <v>2023</v>
      </c>
      <c r="K289" s="54" t="str">
        <f t="shared" si="865"/>
        <v>1Q24</v>
      </c>
      <c r="L289" s="54" t="str">
        <f t="shared" si="865"/>
        <v>2Q24</v>
      </c>
      <c r="M289" s="54" t="str">
        <f t="shared" si="865"/>
        <v>3Q24</v>
      </c>
      <c r="N289" s="54" t="str">
        <f t="shared" si="865"/>
        <v>4Q24</v>
      </c>
      <c r="O289" s="54">
        <f t="shared" si="865"/>
        <v>2024</v>
      </c>
      <c r="P289" s="54" t="str">
        <f t="shared" si="865"/>
        <v>1Q25</v>
      </c>
      <c r="Q289" s="54" t="str">
        <f t="shared" si="865"/>
        <v>2Q25</v>
      </c>
      <c r="R289" s="54" t="str">
        <f t="shared" si="865"/>
        <v>3Q25</v>
      </c>
      <c r="S289" s="54" t="str">
        <f t="shared" si="865"/>
        <v>4Q25</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f t="shared" ref="F302:T302" si="876">F180/F28</f>
        <v>0</v>
      </c>
      <c r="G302" s="486">
        <f t="shared" si="876"/>
        <v>0</v>
      </c>
      <c r="H302" s="486">
        <f t="shared" si="876"/>
        <v>0</v>
      </c>
      <c r="I302" s="486">
        <f t="shared" si="876"/>
        <v>0</v>
      </c>
      <c r="J302" s="487">
        <f t="shared" si="876"/>
        <v>0</v>
      </c>
      <c r="K302" s="486">
        <f t="shared" si="876"/>
        <v>0</v>
      </c>
      <c r="L302" s="486">
        <f t="shared" si="876"/>
        <v>0</v>
      </c>
      <c r="M302" s="486">
        <f t="shared" si="876"/>
        <v>0</v>
      </c>
      <c r="N302" s="486">
        <f t="shared" si="876"/>
        <v>0</v>
      </c>
      <c r="O302" s="487">
        <f t="shared" si="876"/>
        <v>0</v>
      </c>
      <c r="P302" s="486">
        <f t="shared" si="876"/>
        <v>0</v>
      </c>
      <c r="Q302" s="486">
        <f t="shared" si="876"/>
        <v>0</v>
      </c>
      <c r="R302" s="486">
        <f t="shared" si="876"/>
        <v>0</v>
      </c>
      <c r="S302" s="486">
        <f t="shared" ref="S302" si="877">S180/S28</f>
        <v>0</v>
      </c>
      <c r="T302" s="487">
        <f t="shared" si="876"/>
        <v>0</v>
      </c>
      <c r="U302" s="488">
        <f>+AVERAGE(F302:T302)</f>
        <v>0</v>
      </c>
      <c r="V302" s="488">
        <f t="shared" ref="V302:X302" si="878">+AVERAGE(G302:U302)</f>
        <v>0</v>
      </c>
      <c r="W302" s="488">
        <f t="shared" si="878"/>
        <v>0</v>
      </c>
      <c r="X302" s="488">
        <f t="shared" si="878"/>
        <v>0</v>
      </c>
      <c r="Y302" s="8"/>
      <c r="Z302" s="488">
        <f t="shared" ref="Z302:AC302" si="879">AVERAGE($F$302:$V$302)</f>
        <v>0</v>
      </c>
      <c r="AA302" s="488">
        <f t="shared" si="879"/>
        <v>0</v>
      </c>
      <c r="AB302" s="488">
        <f t="shared" si="879"/>
        <v>0</v>
      </c>
      <c r="AC302" s="488">
        <f t="shared" si="879"/>
        <v>0</v>
      </c>
      <c r="AD302" s="8"/>
      <c r="AE302" s="487">
        <f t="shared" ref="AE302:AG302" si="880">AVERAGE($F$302:$V$302)</f>
        <v>0</v>
      </c>
      <c r="AF302" s="487">
        <f t="shared" si="880"/>
        <v>0</v>
      </c>
      <c r="AG302" s="487">
        <f t="shared" si="880"/>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2893</v>
      </c>
      <c r="G310" s="349">
        <f t="shared" ref="G310" si="908">F313</f>
        <v>0</v>
      </c>
      <c r="H310" s="349">
        <f t="shared" ref="H310" si="909">G313</f>
        <v>0</v>
      </c>
      <c r="I310" s="349">
        <f t="shared" ref="I310" si="910">H313</f>
        <v>0</v>
      </c>
      <c r="J310" s="279">
        <f>F310</f>
        <v>2893</v>
      </c>
      <c r="K310" s="349">
        <f t="shared" ref="K310" si="911">J313</f>
        <v>0</v>
      </c>
      <c r="L310" s="349">
        <f t="shared" ref="L310" si="912">K313</f>
        <v>0</v>
      </c>
      <c r="M310" s="349">
        <f t="shared" ref="M310" si="913">L313</f>
        <v>0</v>
      </c>
      <c r="N310" s="349">
        <f t="shared" ref="N310" si="914">M313</f>
        <v>0</v>
      </c>
      <c r="O310" s="279">
        <f>K310</f>
        <v>0</v>
      </c>
      <c r="P310" s="349">
        <f t="shared" ref="P310" si="915">O313</f>
        <v>0</v>
      </c>
      <c r="Q310" s="349">
        <f t="shared" ref="Q310" si="916">P313</f>
        <v>0</v>
      </c>
      <c r="R310" s="349">
        <f t="shared" ref="R310:S310" si="917">Q313</f>
        <v>0</v>
      </c>
      <c r="S310" s="349">
        <f t="shared" si="917"/>
        <v>0</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0</v>
      </c>
      <c r="G313" s="349">
        <f t="shared" si="933"/>
        <v>0</v>
      </c>
      <c r="H313" s="349">
        <f t="shared" si="933"/>
        <v>0</v>
      </c>
      <c r="I313" s="349">
        <f t="shared" si="933"/>
        <v>0</v>
      </c>
      <c r="J313" s="279">
        <f t="shared" si="933"/>
        <v>0</v>
      </c>
      <c r="K313" s="349">
        <f t="shared" si="933"/>
        <v>0</v>
      </c>
      <c r="L313" s="349">
        <f t="shared" si="933"/>
        <v>0</v>
      </c>
      <c r="M313" s="349">
        <f t="shared" si="933"/>
        <v>0</v>
      </c>
      <c r="N313" s="349">
        <f t="shared" si="933"/>
        <v>0</v>
      </c>
      <c r="O313" s="279">
        <f t="shared" si="933"/>
        <v>0</v>
      </c>
      <c r="P313" s="349">
        <f t="shared" si="933"/>
        <v>0</v>
      </c>
      <c r="Q313" s="349">
        <f t="shared" si="933"/>
        <v>0</v>
      </c>
      <c r="R313" s="349">
        <f t="shared" si="933"/>
        <v>0</v>
      </c>
      <c r="S313" s="349">
        <f t="shared" ref="S313" si="934">S141</f>
        <v>0</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F7" sqref="F7"/>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2">
        <f t="shared" si="1"/>
        <v>7356.97</v>
      </c>
      <c r="K8" s="355">
        <f>679.1+640.7+245.5+819.5</f>
        <v>2384.8</v>
      </c>
      <c r="L8" s="355">
        <f>738.58+416.19+271.78+879.72</f>
        <v>2306.27</v>
      </c>
      <c r="M8" s="355">
        <f>927.1+324.05+936.78+271.1</f>
        <v>2459.03</v>
      </c>
      <c r="N8" s="355">
        <f>3309.06+1816.963+1085.349+3543.497-SUM(K8:M8)</f>
        <v>2604.7690000000002</v>
      </c>
      <c r="O8" s="492">
        <f t="shared" si="3"/>
        <v>9754.869</v>
      </c>
      <c r="P8" s="355">
        <f>729.51+407.23+288.3+845.171</f>
        <v>2270.2110000000002</v>
      </c>
      <c r="Q8" s="355">
        <f>789.269+338.507+353.233+878.025</f>
        <v>2359.034</v>
      </c>
      <c r="R8" s="355">
        <f>1088.197+486.893+325.178+846.894</f>
        <v>2747.1620000000003</v>
      </c>
      <c r="S8" s="355">
        <f>+(3799.29+1610.96+1322.753+3402.317)-SUM(P8:R8)</f>
        <v>2758.9129999999986</v>
      </c>
      <c r="T8" s="492">
        <f t="shared" si="5"/>
        <v>10135.32</v>
      </c>
      <c r="U8" s="493">
        <f>'Revenue Build'!U32</f>
        <v>2519.9342100000003</v>
      </c>
      <c r="V8" s="493">
        <f>'Revenue Build'!V32</f>
        <v>2642.11808</v>
      </c>
      <c r="W8" s="493">
        <f>'Revenue Build'!W32</f>
        <v>3063.0856300000005</v>
      </c>
      <c r="X8" s="493">
        <f>'Revenue Build'!X32</f>
        <v>3034.804299999999</v>
      </c>
      <c r="Y8" s="492">
        <f t="shared" si="7"/>
        <v>11259.94222</v>
      </c>
      <c r="Z8" s="493">
        <f>'Revenue Build'!Z32</f>
        <v>2797.1269731000007</v>
      </c>
      <c r="AA8" s="493">
        <f>'Revenue Build'!AA32</f>
        <v>2932.7510688000007</v>
      </c>
      <c r="AB8" s="493">
        <f>'Revenue Build'!AB32</f>
        <v>3338.7633367000008</v>
      </c>
      <c r="AC8" s="493">
        <f>'Revenue Build'!AC32</f>
        <v>3307.936686999999</v>
      </c>
      <c r="AD8" s="492">
        <f t="shared" si="9"/>
        <v>12376.5780656</v>
      </c>
      <c r="AE8" s="494">
        <f>'Revenue Build'!AE32</f>
        <v>13366.704310848001</v>
      </c>
      <c r="AF8" s="494">
        <f>'Revenue Build'!AF32</f>
        <v>14101.87304794464</v>
      </c>
      <c r="AG8" s="494">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2">
        <f t="shared" si="1"/>
        <v>84.41</v>
      </c>
      <c r="K9" s="355">
        <f>50.4+116.7</f>
        <v>167.1</v>
      </c>
      <c r="L9" s="355">
        <f>11.76+198.2</f>
        <v>209.95999999999998</v>
      </c>
      <c r="M9" s="355">
        <f>11.85+124.6</f>
        <v>136.45</v>
      </c>
      <c r="N9" s="355">
        <f>86.106+674.094-SUM(K9:M9)</f>
        <v>246.69000000000005</v>
      </c>
      <c r="O9" s="492">
        <f t="shared" si="3"/>
        <v>760.2</v>
      </c>
      <c r="P9" s="355">
        <f>85.408+117.245</f>
        <v>202.65300000000002</v>
      </c>
      <c r="Q9" s="355">
        <f>20.076+115.205</f>
        <v>135.281</v>
      </c>
      <c r="R9" s="355">
        <f>13.079+147.433</f>
        <v>160.512</v>
      </c>
      <c r="S9" s="355">
        <f>130.673+557.684-SUM(P9:R9)</f>
        <v>189.91099999999994</v>
      </c>
      <c r="T9" s="492">
        <f t="shared" si="5"/>
        <v>688.357</v>
      </c>
      <c r="U9" s="493">
        <f>'Revenue Build'!U35</f>
        <v>222.91830000000004</v>
      </c>
      <c r="V9" s="493">
        <f>'Revenue Build'!V35</f>
        <v>162.3372</v>
      </c>
      <c r="W9" s="493">
        <f>'Revenue Build'!W35</f>
        <v>162.11712</v>
      </c>
      <c r="X9" s="493">
        <f>'Revenue Build'!X35</f>
        <v>184.21366999999995</v>
      </c>
      <c r="Y9" s="492">
        <f t="shared" si="7"/>
        <v>731.5862900000001</v>
      </c>
      <c r="Z9" s="493">
        <f>'Revenue Build'!Z35</f>
        <v>151.58444400000002</v>
      </c>
      <c r="AA9" s="493">
        <f>'Revenue Build'!AA35</f>
        <v>154.22034</v>
      </c>
      <c r="AB9" s="493">
        <f>'Revenue Build'!AB35</f>
        <v>172.6547328</v>
      </c>
      <c r="AC9" s="493">
        <f>'Revenue Build'!AC35</f>
        <v>165.79230299999995</v>
      </c>
      <c r="AD9" s="492">
        <f t="shared" si="9"/>
        <v>644.2518198</v>
      </c>
      <c r="AE9" s="494">
        <f>'Revenue Build'!AE35</f>
        <v>528.2864922360001</v>
      </c>
      <c r="AF9" s="494">
        <f>'Revenue Build'!AF35</f>
        <v>449.0435184006</v>
      </c>
      <c r="AG9" s="494">
        <f>'Revenue Build'!AG35</f>
        <v>381.68699064051003</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8"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8"/>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8"/>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8"/>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8"/>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9">
        <v>195</v>
      </c>
      <c r="G34" s="499">
        <v>213</v>
      </c>
      <c r="H34" s="499">
        <v>251</v>
      </c>
      <c r="I34" s="499">
        <f>1030-SUM(F34:H34)</f>
        <v>371</v>
      </c>
      <c r="J34" s="492">
        <f t="shared" si="43"/>
        <v>1030</v>
      </c>
      <c r="K34" s="499">
        <v>434</v>
      </c>
      <c r="L34" s="499">
        <v>441</v>
      </c>
      <c r="M34" s="499">
        <v>411</v>
      </c>
      <c r="N34" s="499">
        <f>1763-SUM(K34:M34)</f>
        <v>477</v>
      </c>
      <c r="O34" s="492">
        <f t="shared" si="45"/>
        <v>1763</v>
      </c>
      <c r="P34" s="499">
        <v>434</v>
      </c>
      <c r="Q34" s="499">
        <v>441</v>
      </c>
      <c r="R34" s="499">
        <v>411</v>
      </c>
      <c r="S34" s="499">
        <f>1763-SUM(P34:R34)</f>
        <v>477</v>
      </c>
      <c r="T34" s="492">
        <f t="shared" si="47"/>
        <v>1763</v>
      </c>
      <c r="U34" s="504">
        <f>U8*Drivers!U$7</f>
        <v>2519.9342100000003</v>
      </c>
      <c r="V34" s="504">
        <f>V8*Drivers!V$7</f>
        <v>2642.11808</v>
      </c>
      <c r="W34" s="504">
        <f>W8*Drivers!W$7</f>
        <v>3063.0856300000005</v>
      </c>
      <c r="X34" s="504">
        <f>X8*Drivers!X$7</f>
        <v>3034.804299999999</v>
      </c>
      <c r="Y34" s="492">
        <f t="shared" si="49"/>
        <v>11259.94222</v>
      </c>
      <c r="Z34" s="504">
        <f>Z8*Drivers!Z$7</f>
        <v>2797.1269731000007</v>
      </c>
      <c r="AA34" s="504">
        <f>AA8*Drivers!AA$7</f>
        <v>2932.7510688000007</v>
      </c>
      <c r="AB34" s="504">
        <f>AB8*Drivers!AB$7</f>
        <v>3338.7633367000008</v>
      </c>
      <c r="AC34" s="504">
        <f>AC8*Drivers!AC$7</f>
        <v>3307.936686999999</v>
      </c>
      <c r="AD34" s="492">
        <f t="shared" si="51"/>
        <v>12376.5780656</v>
      </c>
      <c r="AE34" s="492">
        <f>AE8*Drivers!AE$7</f>
        <v>13366.704310848001</v>
      </c>
      <c r="AF34" s="492">
        <f>AF8*Drivers!AF$7</f>
        <v>14101.87304794464</v>
      </c>
      <c r="AG34" s="492">
        <f>AG8*Drivers!AG$7</f>
        <v>14595.438604622701</v>
      </c>
    </row>
    <row r="35" ht="15.75" customHeight="1" spans="1:33" x14ac:dyDescent="0.25">
      <c r="C35" s="458" t="str">
        <f t="shared" si="53"/>
        <v>Asset Management and Other Operating Income</v>
      </c>
      <c r="D35" s="8"/>
      <c r="E35" s="8"/>
      <c r="F35" s="499">
        <v>201</v>
      </c>
      <c r="G35" s="499">
        <v>87</v>
      </c>
      <c r="H35" s="499">
        <v>61</v>
      </c>
      <c r="I35" s="499">
        <f>415-SUM(F35:H35)</f>
        <v>66</v>
      </c>
      <c r="J35" s="492">
        <f t="shared" si="43"/>
        <v>415</v>
      </c>
      <c r="K35" s="499">
        <v>-16</v>
      </c>
      <c r="L35" s="499">
        <v>-34</v>
      </c>
      <c r="M35" s="499">
        <v>-34</v>
      </c>
      <c r="N35" s="499">
        <f>-91-SUM(K35:M35)</f>
        <v>-7</v>
      </c>
      <c r="O35" s="492">
        <f t="shared" si="45"/>
        <v>-91</v>
      </c>
      <c r="P35" s="499">
        <v>-16</v>
      </c>
      <c r="Q35" s="499">
        <v>-34</v>
      </c>
      <c r="R35" s="499">
        <v>-34</v>
      </c>
      <c r="S35" s="499">
        <f>-91-SUM(P35:R35)</f>
        <v>-7</v>
      </c>
      <c r="T35" s="492">
        <f t="shared" si="47"/>
        <v>-91</v>
      </c>
      <c r="U35" s="504">
        <f>U9*Drivers!U$12</f>
        <v>31.208562000000008</v>
      </c>
      <c r="V35" s="504">
        <f>V9*Drivers!V$12</f>
        <v>23.538894</v>
      </c>
      <c r="W35" s="504">
        <f>W9*Drivers!W$12</f>
        <v>19.4540544</v>
      </c>
      <c r="X35" s="504">
        <f>X9*Drivers!X$12</f>
        <v>24.868845449999995</v>
      </c>
      <c r="Y35" s="492">
        <f t="shared" si="49"/>
        <v>99.07035585</v>
      </c>
      <c r="Z35" s="504">
        <f>Z9*Drivers!Z$12</f>
        <v>21.221822160000006</v>
      </c>
      <c r="AA35" s="504">
        <f>AA9*Drivers!AA$12</f>
        <v>22.3619493</v>
      </c>
      <c r="AB35" s="504">
        <f>AB9*Drivers!AB$12</f>
        <v>20.718567936</v>
      </c>
      <c r="AC35" s="504">
        <f>AC9*Drivers!AC$12</f>
        <v>22.381960904999993</v>
      </c>
      <c r="AD35" s="492">
        <f t="shared" si="51"/>
        <v>86.68430030100001</v>
      </c>
      <c r="AE35" s="492">
        <f>AE9*Drivers!AE$12</f>
        <v>73.43182242080401</v>
      </c>
      <c r="AF35" s="492">
        <f>AF9*Drivers!AF$12</f>
        <v>62.86609257608401</v>
      </c>
      <c r="AG35" s="492">
        <f>AG9*Drivers!AG$12</f>
        <v>54.19955267095242</v>
      </c>
    </row>
    <row r="36" ht="15.75" customHeight="1" hidden="1" spans="1:33" x14ac:dyDescent="0.25" outlineLevel="1">
      <c r="C36" s="131" t="str">
        <f t="shared" si="53"/>
        <v> Operating Income</v>
      </c>
      <c r="D36" s="8"/>
      <c r="E36" s="8"/>
      <c r="F36" s="499">
        <v>0</v>
      </c>
      <c r="G36" s="499">
        <v>0</v>
      </c>
      <c r="H36" s="499">
        <v>0</v>
      </c>
      <c r="I36" s="499">
        <f>284-SUM(F36:H36)</f>
        <v>78</v>
      </c>
      <c r="J36" s="492">
        <f t="shared" si="43"/>
        <v>284</v>
      </c>
      <c r="K36" s="499">
        <v>0</v>
      </c>
      <c r="L36" s="499">
        <v>0</v>
      </c>
      <c r="M36" s="499">
        <v>0</v>
      </c>
      <c r="N36" s="499">
        <f>386-SUM(K36:M36)</f>
        <v>83</v>
      </c>
      <c r="O36" s="492">
        <f t="shared" si="45"/>
        <v>386</v>
      </c>
      <c r="P36" s="499">
        <v>0</v>
      </c>
      <c r="Q36" s="499">
        <v>0</v>
      </c>
      <c r="R36" s="499">
        <v>0</v>
      </c>
      <c r="S36" s="499">
        <f>351-SUM(P36:R36)</f>
        <v>100</v>
      </c>
      <c r="T36" s="492">
        <f t="shared" si="47"/>
        <v>351</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v>0</v>
      </c>
      <c r="G37" s="499">
        <v>0</v>
      </c>
      <c r="H37" s="499">
        <v>0</v>
      </c>
      <c r="I37" s="499">
        <f>196-SUM(F37:H37)</f>
        <v>33</v>
      </c>
      <c r="J37" s="492">
        <f t="shared" si="43"/>
        <v>196</v>
      </c>
      <c r="K37" s="499">
        <v>0</v>
      </c>
      <c r="L37" s="499">
        <v>0</v>
      </c>
      <c r="M37" s="499">
        <v>0</v>
      </c>
      <c r="N37" s="499">
        <f>382-SUM(K37:M37)</f>
        <v>123</v>
      </c>
      <c r="O37" s="492">
        <f t="shared" si="45"/>
        <v>382</v>
      </c>
      <c r="P37" s="499">
        <v>0</v>
      </c>
      <c r="Q37" s="499">
        <v>0</v>
      </c>
      <c r="R37" s="499">
        <v>0</v>
      </c>
      <c r="S37" s="499">
        <f>371-SUM(P37:R37)</f>
        <v>78</v>
      </c>
      <c r="T37" s="492">
        <f t="shared" si="47"/>
        <v>371</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v>0</v>
      </c>
      <c r="G38" s="499">
        <v>0</v>
      </c>
      <c r="H38" s="499">
        <v>0</v>
      </c>
      <c r="I38" s="499">
        <f>-192-SUM(F38:H38)</f>
        <v>-86</v>
      </c>
      <c r="J38" s="492">
        <f t="shared" si="43"/>
        <v>-192</v>
      </c>
      <c r="K38" s="499">
        <v>0</v>
      </c>
      <c r="L38" s="499">
        <v>0</v>
      </c>
      <c r="M38" s="499">
        <v>0</v>
      </c>
      <c r="N38" s="499">
        <f>-191-SUM(K38:M38)</f>
        <v>-27</v>
      </c>
      <c r="O38" s="492">
        <f t="shared" si="45"/>
        <v>-191</v>
      </c>
      <c r="P38" s="499">
        <v>0</v>
      </c>
      <c r="Q38" s="499">
        <v>0</v>
      </c>
      <c r="R38" s="499">
        <v>0</v>
      </c>
      <c r="S38" s="499">
        <f>-114-SUM(P38:R38)</f>
        <v>-63</v>
      </c>
      <c r="T38" s="492">
        <f t="shared" si="47"/>
        <v>-114</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v>0</v>
      </c>
      <c r="G39" s="499">
        <v>0</v>
      </c>
      <c r="H39" s="499">
        <v>0</v>
      </c>
      <c r="I39" s="499">
        <v>0</v>
      </c>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0</v>
      </c>
      <c r="P41" s="507">
        <f t="shared" si="54"/>
        <v>0</v>
      </c>
      <c r="Q41" s="507">
        <f t="shared" si="54"/>
        <v>0</v>
      </c>
      <c r="R41" s="507">
        <f t="shared" si="54"/>
        <v>0</v>
      </c>
      <c r="S41" s="507">
        <f t="shared" si="54"/>
        <v>0</v>
      </c>
      <c r="T41" s="508">
        <f t="shared" si="54"/>
        <v>0</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10">
        <f>Model!U76</f>
        <v>0</v>
      </c>
      <c r="V51" s="510">
        <f>Model!V76</f>
        <v>1.5119974461375003</v>
      </c>
      <c r="W51" s="510">
        <f>Model!W76</f>
        <v>3.113519325383053</v>
      </c>
      <c r="X51" s="510">
        <f>Model!X76</f>
        <v>5.1079940576820215</v>
      </c>
      <c r="Y51" s="284">
        <f>SUM(Y52:Y57)</f>
        <v>9.733510829202576</v>
      </c>
      <c r="Z51" s="510">
        <f>Model!Z76</f>
        <v>6.873233394871093</v>
      </c>
      <c r="AA51" s="510">
        <f>Model!AA76</f>
        <v>8.846105110048581</v>
      </c>
      <c r="AB51" s="510">
        <f>Model!AB76</f>
        <v>10.87289246194387</v>
      </c>
      <c r="AC51" s="510">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9">
        <v>32</v>
      </c>
      <c r="G52" s="499">
        <f>64-F52</f>
        <v>32</v>
      </c>
      <c r="H52" s="499">
        <f>97-SUM(F52:G52)</f>
        <v>33</v>
      </c>
      <c r="I52" s="499">
        <f>134-SUM(F52:H52)</f>
        <v>37</v>
      </c>
      <c r="J52" s="511">
        <f t="shared" ref="J52:J57" si="71">SUM(F52:I52)</f>
        <v>134</v>
      </c>
      <c r="K52" s="499">
        <v>35</v>
      </c>
      <c r="L52" s="499">
        <f>69-SUM(K52)</f>
        <v>34</v>
      </c>
      <c r="M52" s="499">
        <f>105-SUM(K52:L52)</f>
        <v>36</v>
      </c>
      <c r="N52" s="499">
        <f>145-SUM(K52:M52)</f>
        <v>40</v>
      </c>
      <c r="O52" s="511">
        <f t="shared" ref="O52:O57" si="72">SUM(K52:N52)</f>
        <v>145</v>
      </c>
      <c r="P52" s="499">
        <v>40</v>
      </c>
      <c r="Q52" s="499">
        <f>81-P52</f>
        <v>41</v>
      </c>
      <c r="R52" s="499">
        <f>123-SUM(P52:Q52)</f>
        <v>42</v>
      </c>
      <c r="S52" s="499">
        <f>165-SUM(P52:R52)</f>
        <v>42</v>
      </c>
      <c r="T52" s="511">
        <f t="shared" ref="T52:T57" si="73">SUM(P52:S52)</f>
        <v>165</v>
      </c>
      <c r="U52" s="512">
        <f t="shared" ref="U52:X52" si="74">U62*U$51</f>
        <v>0</v>
      </c>
      <c r="V52" s="512">
        <f t="shared" si="74"/>
        <v>1.5119974461375003</v>
      </c>
      <c r="W52" s="512">
        <f t="shared" si="74"/>
        <v>3.113519325383053</v>
      </c>
      <c r="X52" s="512">
        <f t="shared" si="74"/>
        <v>5.1079940576820215</v>
      </c>
      <c r="Y52" s="492">
        <f t="shared" ref="Y52:Y57" si="75">SUM(U52:X52)</f>
        <v>9.733510829202576</v>
      </c>
      <c r="Z52" s="512">
        <f t="shared" ref="Z52:AC52" si="76">Z62*Z$51</f>
        <v>6.873233394871093</v>
      </c>
      <c r="AA52" s="512">
        <f t="shared" si="76"/>
        <v>8.846105110048581</v>
      </c>
      <c r="AB52" s="512">
        <f t="shared" si="76"/>
        <v>10.87289246194387</v>
      </c>
      <c r="AC52" s="512">
        <f t="shared" si="76"/>
        <v>13.20814047073218</v>
      </c>
      <c r="AD52" s="492">
        <f t="shared" ref="AD52:AD57" si="77">SUM(Z52:AC52)</f>
        <v>39.80037143759573</v>
      </c>
      <c r="AE52" s="492">
        <f t="shared" ref="AE52:AG52" si="78">AE62*AE$51</f>
        <v>62.43373095507635</v>
      </c>
      <c r="AF52" s="492">
        <f t="shared" si="78"/>
        <v>102.2499441262728</v>
      </c>
      <c r="AG52" s="492">
        <f t="shared" si="78"/>
        <v>147.33327385398496</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0</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32</v>
      </c>
      <c r="G59" s="513">
        <f>G51-Model!G60</f>
        <v>32</v>
      </c>
      <c r="H59" s="513">
        <f>H51-Model!H60</f>
        <v>33</v>
      </c>
      <c r="I59" s="513">
        <f>I51-Model!I60</f>
        <v>37</v>
      </c>
      <c r="J59" s="508">
        <f>J51-Model!J60</f>
        <v>134</v>
      </c>
      <c r="K59" s="513">
        <f>K51-Model!K60</f>
        <v>35</v>
      </c>
      <c r="L59" s="513">
        <f>L51-Model!L60</f>
        <v>34</v>
      </c>
      <c r="M59" s="513">
        <f>M51-Model!M60</f>
        <v>36</v>
      </c>
      <c r="N59" s="513">
        <f>N51-Model!N60</f>
        <v>40</v>
      </c>
      <c r="O59" s="508">
        <f>O51-Model!O60</f>
        <v>145</v>
      </c>
      <c r="P59" s="513">
        <f>P51-Model!P60</f>
        <v>9.012</v>
      </c>
      <c r="Q59" s="513">
        <f>Q51-Model!Q60</f>
        <v>-11.253</v>
      </c>
      <c r="R59" s="513">
        <f>R51-Model!R60</f>
        <v>-11.229999999999997</v>
      </c>
      <c r="S59" s="513">
        <f>S51-Model!S60</f>
        <v>-13.810000000000002</v>
      </c>
      <c r="T59" s="508">
        <f>T51-Model!T60</f>
        <v>-27.281000000000006</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f t="shared" ref="Y62:Y67" si="98">Y52/Y$51</f>
        <v>1</v>
      </c>
      <c r="Z62" s="387">
        <f>Drivers!Z78</f>
        <v>1</v>
      </c>
      <c r="AA62" s="387">
        <f>Drivers!AA78</f>
        <v>1</v>
      </c>
      <c r="AB62" s="387">
        <f>Drivers!AB78</f>
        <v>1</v>
      </c>
      <c r="AC62" s="387">
        <f>Drivers!AC78</f>
        <v>1</v>
      </c>
      <c r="AD62" s="516">
        <f t="shared" ref="AD62:AD67" si="99">AD52/AD$51</f>
        <v>1</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f t="shared" si="98"/>
        <v>0</v>
      </c>
      <c r="Z63" s="387">
        <f>Drivers!Z79</f>
        <v>0</v>
      </c>
      <c r="AA63" s="387">
        <f>Drivers!AA79</f>
        <v>0</v>
      </c>
      <c r="AB63" s="387">
        <f>Drivers!AB79</f>
        <v>0</v>
      </c>
      <c r="AC63" s="387">
        <f>Drivers!AC79</f>
        <v>0</v>
      </c>
      <c r="AD63" s="516">
        <f t="shared" si="99"/>
        <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f t="shared" si="98"/>
        <v>0</v>
      </c>
      <c r="Z64" s="387">
        <f>Drivers!Z80</f>
        <v>0</v>
      </c>
      <c r="AA64" s="387">
        <f>Drivers!AA80</f>
        <v>0</v>
      </c>
      <c r="AB64" s="387">
        <f>Drivers!AB80</f>
        <v>0</v>
      </c>
      <c r="AC64" s="387">
        <f>Drivers!AC80</f>
        <v>0</v>
      </c>
      <c r="AD64" s="516">
        <f t="shared" si="99"/>
        <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f t="shared" si="98"/>
        <v>0</v>
      </c>
      <c r="Z65" s="387">
        <f>Drivers!Z81</f>
        <v>0</v>
      </c>
      <c r="AA65" s="387">
        <f>Drivers!AA81</f>
        <v>0</v>
      </c>
      <c r="AB65" s="387">
        <f>Drivers!AB81</f>
        <v>0</v>
      </c>
      <c r="AC65" s="387">
        <f>Drivers!AC81</f>
        <v>0</v>
      </c>
      <c r="AD65" s="516">
        <f t="shared" si="99"/>
        <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f t="shared" si="98"/>
        <v>0</v>
      </c>
      <c r="Z66" s="387">
        <f>Drivers!Z82</f>
        <v>0</v>
      </c>
      <c r="AA66" s="387">
        <f>Drivers!AA82</f>
        <v>0</v>
      </c>
      <c r="AB66" s="387">
        <f>Drivers!AB82</f>
        <v>0</v>
      </c>
      <c r="AC66" s="387">
        <f>Drivers!AC82</f>
        <v>0</v>
      </c>
      <c r="AD66" s="516">
        <f t="shared" si="99"/>
        <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f t="shared" si="98"/>
        <v>0</v>
      </c>
      <c r="Z67" s="387">
        <f>Drivers!Z83</f>
        <v>0</v>
      </c>
      <c r="AA67" s="387">
        <f>Drivers!AA83</f>
        <v>0</v>
      </c>
      <c r="AB67" s="387">
        <f>Drivers!AB83</f>
        <v>0</v>
      </c>
      <c r="AC67" s="387">
        <f>Drivers!AC83</f>
        <v>0</v>
      </c>
      <c r="AD67" s="516">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7">
        <f t="shared" ref="U69:X69" si="106">U51+U33</f>
        <v>2551.142772</v>
      </c>
      <c r="V69" s="517">
        <f t="shared" si="106"/>
        <v>2667.1689714461377</v>
      </c>
      <c r="W69" s="517">
        <f t="shared" si="106"/>
        <v>3085.6532037253837</v>
      </c>
      <c r="X69" s="517">
        <f t="shared" si="106"/>
        <v>3064.781139507681</v>
      </c>
      <c r="Y69" s="284">
        <f t="shared" si="105"/>
        <v>11368.746086679203</v>
      </c>
      <c r="Z69" s="517">
        <f t="shared" si="105"/>
        <v>2825.222028654872</v>
      </c>
      <c r="AA69" s="517">
        <f t="shared" si="105"/>
        <v>2963.9591232100493</v>
      </c>
      <c r="AB69" s="517">
        <f t="shared" si="105"/>
        <v>3370.354797097945</v>
      </c>
      <c r="AC69" s="517">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8">
        <f t="shared" si="108"/>
        <v>1164</v>
      </c>
      <c r="K70" s="311">
        <f t="shared" si="108"/>
        <v>469</v>
      </c>
      <c r="L70" s="311">
        <f t="shared" si="108"/>
        <v>475</v>
      </c>
      <c r="M70" s="311">
        <f t="shared" si="108"/>
        <v>447</v>
      </c>
      <c r="N70" s="311">
        <f t="shared" si="108"/>
        <v>517</v>
      </c>
      <c r="O70" s="518">
        <f t="shared" si="108"/>
        <v>1908</v>
      </c>
      <c r="P70" s="311">
        <f t="shared" si="108"/>
        <v>474</v>
      </c>
      <c r="Q70" s="311">
        <f t="shared" si="108"/>
        <v>482</v>
      </c>
      <c r="R70" s="311">
        <f t="shared" si="108"/>
        <v>453</v>
      </c>
      <c r="S70" s="311">
        <f t="shared" si="108"/>
        <v>519</v>
      </c>
      <c r="T70" s="518">
        <f t="shared" si="108"/>
        <v>1928</v>
      </c>
      <c r="U70" s="517">
        <f t="shared" ref="U70:X70" si="109">U52+U34</f>
        <v>2519.9342100000003</v>
      </c>
      <c r="V70" s="517">
        <f t="shared" si="109"/>
        <v>2643.630077446138</v>
      </c>
      <c r="W70" s="517">
        <f t="shared" si="109"/>
        <v>3066.1991493253836</v>
      </c>
      <c r="X70" s="517">
        <f t="shared" si="109"/>
        <v>3039.912294057681</v>
      </c>
      <c r="Y70" s="518">
        <f t="shared" si="108"/>
        <v>11269.675730829204</v>
      </c>
      <c r="Z70" s="517">
        <f t="shared" si="108"/>
        <v>2804.0002064948717</v>
      </c>
      <c r="AA70" s="517">
        <f t="shared" si="108"/>
        <v>2941.597173910049</v>
      </c>
      <c r="AB70" s="517">
        <f t="shared" si="108"/>
        <v>3349.636229161945</v>
      </c>
      <c r="AC70" s="517">
        <f t="shared" si="108"/>
        <v>3321.1448274707313</v>
      </c>
      <c r="AD70" s="518">
        <f t="shared" si="108"/>
        <v>12416.378437037596</v>
      </c>
      <c r="AE70" s="518">
        <f t="shared" si="108"/>
        <v>13429.138041803077</v>
      </c>
      <c r="AF70" s="518">
        <f t="shared" si="108"/>
        <v>14204.122992070914</v>
      </c>
      <c r="AG70" s="518">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8">
        <f t="shared" si="110"/>
        <v>415</v>
      </c>
      <c r="K71" s="311">
        <f t="shared" si="110"/>
        <v>-16</v>
      </c>
      <c r="L71" s="311">
        <f t="shared" si="110"/>
        <v>-34</v>
      </c>
      <c r="M71" s="311">
        <f t="shared" si="110"/>
        <v>-34</v>
      </c>
      <c r="N71" s="311">
        <f t="shared" si="110"/>
        <v>-7</v>
      </c>
      <c r="O71" s="518">
        <f t="shared" si="110"/>
        <v>-91</v>
      </c>
      <c r="P71" s="311">
        <f t="shared" si="110"/>
        <v>-16</v>
      </c>
      <c r="Q71" s="311">
        <f t="shared" si="110"/>
        <v>-34</v>
      </c>
      <c r="R71" s="311">
        <f t="shared" si="110"/>
        <v>-34</v>
      </c>
      <c r="S71" s="311">
        <f t="shared" si="110"/>
        <v>-7</v>
      </c>
      <c r="T71" s="518">
        <f t="shared" si="110"/>
        <v>-91</v>
      </c>
      <c r="U71" s="517">
        <f t="shared" ref="U71:X71" si="111">U53+U35</f>
        <v>31.208562000000008</v>
      </c>
      <c r="V71" s="517">
        <f t="shared" si="111"/>
        <v>23.538894</v>
      </c>
      <c r="W71" s="517">
        <f t="shared" si="111"/>
        <v>19.4540544</v>
      </c>
      <c r="X71" s="517">
        <f t="shared" si="111"/>
        <v>24.868845449999995</v>
      </c>
      <c r="Y71" s="518">
        <f t="shared" si="110"/>
        <v>99.07035585</v>
      </c>
      <c r="Z71" s="517">
        <f t="shared" si="110"/>
        <v>21.221822160000006</v>
      </c>
      <c r="AA71" s="517">
        <f t="shared" si="110"/>
        <v>22.3619493</v>
      </c>
      <c r="AB71" s="517">
        <f t="shared" si="110"/>
        <v>20.718567936</v>
      </c>
      <c r="AC71" s="517">
        <f t="shared" si="110"/>
        <v>22.381960904999993</v>
      </c>
      <c r="AD71" s="518">
        <f t="shared" si="110"/>
        <v>86.68430030100001</v>
      </c>
      <c r="AE71" s="518">
        <f t="shared" si="110"/>
        <v>73.43182242080401</v>
      </c>
      <c r="AF71" s="518">
        <f t="shared" si="110"/>
        <v>62.86609257608401</v>
      </c>
      <c r="AG71" s="518">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8">
        <f t="shared" si="112"/>
        <v>284</v>
      </c>
      <c r="K72" s="311">
        <f t="shared" si="112"/>
        <v>107</v>
      </c>
      <c r="L72" s="311">
        <f t="shared" si="112"/>
        <v>103</v>
      </c>
      <c r="M72" s="311">
        <f t="shared" si="112"/>
        <v>93</v>
      </c>
      <c r="N72" s="311">
        <f t="shared" si="112"/>
        <v>83</v>
      </c>
      <c r="O72" s="518">
        <f t="shared" si="112"/>
        <v>386</v>
      </c>
      <c r="P72" s="311">
        <f t="shared" si="112"/>
        <v>80</v>
      </c>
      <c r="Q72" s="311">
        <f t="shared" si="112"/>
        <v>82</v>
      </c>
      <c r="R72" s="311">
        <f t="shared" si="112"/>
        <v>89</v>
      </c>
      <c r="S72" s="311">
        <f t="shared" si="112"/>
        <v>100</v>
      </c>
      <c r="T72" s="518">
        <f t="shared" si="112"/>
        <v>351</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8">
        <f t="shared" si="114"/>
        <v>196</v>
      </c>
      <c r="K73" s="311">
        <f t="shared" si="114"/>
        <v>102</v>
      </c>
      <c r="L73" s="311">
        <f t="shared" si="114"/>
        <v>83</v>
      </c>
      <c r="M73" s="311">
        <f t="shared" si="114"/>
        <v>74</v>
      </c>
      <c r="N73" s="311">
        <f t="shared" si="114"/>
        <v>123</v>
      </c>
      <c r="O73" s="518">
        <f t="shared" si="114"/>
        <v>382</v>
      </c>
      <c r="P73" s="311">
        <f t="shared" si="114"/>
        <v>136</v>
      </c>
      <c r="Q73" s="311">
        <f t="shared" si="114"/>
        <v>91</v>
      </c>
      <c r="R73" s="311">
        <f t="shared" si="114"/>
        <v>66</v>
      </c>
      <c r="S73" s="311">
        <f t="shared" si="114"/>
        <v>78</v>
      </c>
      <c r="T73" s="518">
        <f t="shared" si="114"/>
        <v>371</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8">
        <f t="shared" si="116"/>
        <v>-192</v>
      </c>
      <c r="K74" s="311">
        <f t="shared" si="116"/>
        <v>-47</v>
      </c>
      <c r="L74" s="311">
        <f t="shared" si="116"/>
        <v>-53</v>
      </c>
      <c r="M74" s="311">
        <f t="shared" si="116"/>
        <v>-64</v>
      </c>
      <c r="N74" s="311">
        <f t="shared" si="116"/>
        <v>-27</v>
      </c>
      <c r="O74" s="518">
        <f t="shared" si="116"/>
        <v>-191</v>
      </c>
      <c r="P74" s="311">
        <f t="shared" si="116"/>
        <v>18</v>
      </c>
      <c r="Q74" s="311">
        <f t="shared" si="116"/>
        <v>-23</v>
      </c>
      <c r="R74" s="311">
        <f t="shared" si="116"/>
        <v>-46</v>
      </c>
      <c r="S74" s="311">
        <f t="shared" si="116"/>
        <v>-63</v>
      </c>
      <c r="T74" s="518">
        <f t="shared" si="116"/>
        <v>-114</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0.4294202997010755</v>
      </c>
      <c r="Q146" s="384">
        <f>IFERROR(Model!Q61/Model!Q28,"N/A")</f>
        <v>0.4197633418393427</v>
      </c>
      <c r="R146" s="384">
        <f>IFERROR(Model!R61/Model!R28,"N/A")</f>
        <v>0.4282760034309212</v>
      </c>
      <c r="S146" s="384">
        <f>IFERROR(Model!S61/Model!S28,"N/A")</f>
        <v>0.40320785506357737</v>
      </c>
      <c r="T146" s="385">
        <f>IFERROR(Model!T61/Model!T28,"N/A")</f>
        <v>0.41974608074501846</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0.4168890808390596</v>
      </c>
      <c r="Q154" s="384">
        <f>IFERROR(Model!Q36/Model!Q28,"N/A")</f>
        <v>0.39881450418251113</v>
      </c>
      <c r="R154" s="384">
        <f>IFERROR(Model!R36/Model!R28,"N/A")</f>
        <v>0.4099692744097173</v>
      </c>
      <c r="S154" s="384">
        <f>IFERROR(Model!S36/Model!S28,"N/A")</f>
        <v>0.3842816661828575</v>
      </c>
      <c r="T154" s="385">
        <f>IFERROR(Model!T36/Model!T28,"N/A")</f>
        <v>0.40198123059289365</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4.80869794899563</v>
      </c>
      <c r="Q162" s="384">
        <f>IFERROR((Model!Q36-Model!P36)/('Segment Analysis'!Q7-'Segment Analysis'!P7),"N/A")</f>
        <v>-1.6848165586686417</v>
      </c>
      <c r="R162" s="384">
        <f>IFERROR((Model!R36-Model!Q36)/('Segment Analysis'!R7-'Segment Analysis'!Q7),"N/A")</f>
        <v>0.47728003986849216</v>
      </c>
      <c r="S162" s="384">
        <f>IFERROR((Model!S36-Model!R36)/('Segment Analysis'!S7-'Segment Analysis'!R7),"N/A")</f>
        <v>-1.4308140947753318</v>
      </c>
      <c r="T162" s="385"/>
      <c r="U162" s="386">
        <f>IFERROR((Model!U36-Model!S36)/('Segment Analysis'!U7-'Segment Analysis'!S7),"N/A")</f>
        <v>2.8793161399424925</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6"/>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6"/>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-0.596022571417375</v>
      </c>
      <c r="Q186" s="384">
        <f>IFERROR(Model!Q36/Model!L36-1,"N/A")</f>
        <v>-0.6046589540701763</v>
      </c>
      <c r="R186" s="384">
        <f>IFERROR(Model!R36/Model!M36-1,"N/A")</f>
        <v>-0.5407180945335736</v>
      </c>
      <c r="S186" s="384">
        <f>IFERROR(Model!S36/Model!N36-1,"N/A")</f>
        <v>-0.6025967758961297</v>
      </c>
      <c r="T186" s="385">
        <f>IFERROR(Model!T36/Model!O36-1,"N/A")</f>
        <v>-0.5862209748694946</v>
      </c>
      <c r="U186" s="386">
        <f>IFERROR(Model!U36/Model!P36-1,"N/A")</f>
        <v>-0.4760726305157583</v>
      </c>
      <c r="V186" s="386">
        <f>IFERROR(Model!V36/Model!Q36-1,"N/A")</f>
        <v>-0.4395119083464224</v>
      </c>
      <c r="W186" s="386">
        <f>IFERROR(Model!W36/Model!R36-1,"N/A")</f>
        <v>-0.47688512959079754</v>
      </c>
      <c r="X186" s="386">
        <f>IFERROR(Model!X36/Model!S36-1,"N/A")</f>
        <v>-0.4586384160995899</v>
      </c>
      <c r="Y186" s="385">
        <f>IFERROR(Model!Y36/Model!T36-1,"N/A")</f>
        <v>-0.4633955238658528</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-0.5838794623613776</v>
      </c>
      <c r="Q188" s="384">
        <f>IFERROR(Model!Q61/Model!L61-1,"N/A")</f>
        <v>-0.5838925694392006</v>
      </c>
      <c r="R188" s="384">
        <f>IFERROR(Model!R61/Model!M61-1,"N/A")</f>
        <v>-0.5202093639712113</v>
      </c>
      <c r="S188" s="384">
        <f>IFERROR(Model!S61/Model!N61-1,"N/A")</f>
        <v>-0.5830243394697248</v>
      </c>
      <c r="T188" s="385">
        <f>IFERROR(Model!T61/Model!O61-1,"N/A")</f>
        <v>-0.5679347420354542</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6"/>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6"/>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-0.9019587983683226</v>
      </c>
      <c r="Q206" s="384">
        <f>IFERROR(Model!Q36/Model!P36-1,"N/A")</f>
        <v>-0.035057376492613646</v>
      </c>
      <c r="R206" s="384">
        <f>IFERROR(Model!R36/Model!Q36-1,"N/A")</f>
        <v>0.19832544037862077</v>
      </c>
      <c r="S206" s="384">
        <f>IFERROR(Model!S36/Model!R36-1,"N/A")</f>
        <v>-0.049391933439426494</v>
      </c>
      <c r="T206" s="385"/>
      <c r="U206" s="386">
        <f>IFERROR(Model!U36/Model!T36-1,"N/A")</f>
        <v>-0.8758601433319199</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-0.6275948558264381</v>
      </c>
      <c r="Q208" s="384">
        <f>IFERROR(Model!Q61/Model!P61-1,"N/A")</f>
        <v>-0.014008878442186012</v>
      </c>
      <c r="R208" s="384">
        <f>IFERROR(Model!R61/Model!Q61-1,"N/A")</f>
        <v>0.18936087302845617</v>
      </c>
      <c r="S208" s="384">
        <f>IFERROR(Model!S61/Model!R61-1,"N/A")</f>
        <v>-0.04520885546866105</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-0.3401428465131927</v>
      </c>
      <c r="Q40" s="384">
        <f>Model!Q67</f>
        <v>-0.34271493375936884</v>
      </c>
      <c r="R40" s="384">
        <f>Model!R67</f>
        <v>-0.3726380605253546</v>
      </c>
      <c r="S40" s="384">
        <f>Model!S67</f>
        <v>-0.36651187049481454</v>
      </c>
      <c r="T40" s="385">
        <f>Model!T67</f>
        <v>-0.35664913134418186</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-0.17862405696390904</v>
      </c>
      <c r="Q45" s="384">
        <f>Model!Q68</f>
        <v>-0.19204350693476965</v>
      </c>
      <c r="R45" s="384">
        <f>Model!R68</f>
        <v>-0.16642271451338767</v>
      </c>
      <c r="S45" s="384">
        <f>Model!S68</f>
        <v>-0.18465428930312572</v>
      </c>
      <c r="T45" s="385">
        <f>Model!T68</f>
        <v>-0.1800816857339701</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-0.051812796821822785</v>
      </c>
      <c r="Q50" s="384">
        <f>Model!Q69</f>
        <v>-0.04547821746651886</v>
      </c>
      <c r="R50" s="384">
        <f>Model!R69</f>
        <v>-0.032663221530336614</v>
      </c>
      <c r="S50" s="384">
        <f>Model!S69</f>
        <v>-0.045625985138482365</v>
      </c>
      <c r="T50" s="385">
        <f>Model!T69</f>
        <v>-0.04352310217682956</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-0.010670800197690615</v>
      </c>
      <c r="G92" s="384">
        <f>Model!G203</f>
        <v>-0.013928909269507437</v>
      </c>
      <c r="H92" s="384">
        <f>Model!H203</f>
        <v>-0.012739552586913146</v>
      </c>
      <c r="I92" s="384">
        <f>Model!I203</f>
        <v>-0.011682895732695342</v>
      </c>
      <c r="J92" s="385">
        <f>Model!J203</f>
        <v>-0.012228914529294298</v>
      </c>
      <c r="K92" s="384">
        <f>Model!K203</f>
        <v>-0.01058035189466672</v>
      </c>
      <c r="L92" s="384">
        <f>Model!L203</f>
        <v>-0.016691637886838643</v>
      </c>
      <c r="M92" s="384">
        <f>Model!M203</f>
        <v>-0.020420114969100126</v>
      </c>
      <c r="N92" s="384">
        <f>Model!N203</f>
        <v>-0.017885580679925607</v>
      </c>
      <c r="O92" s="385">
        <f>Model!O203</f>
        <v>-0.01645257867542286</v>
      </c>
      <c r="P92" s="384">
        <f>Model!P203</f>
        <v>-0.020219470217529144</v>
      </c>
      <c r="Q92" s="384">
        <f>Model!Q203</f>
        <v>-0.019644671984091824</v>
      </c>
      <c r="R92" s="384">
        <f>Model!R203</f>
        <v>-0.019259380522025506</v>
      </c>
      <c r="S92" s="384">
        <f>Model!S203</f>
        <v>-0.006104128289786032</v>
      </c>
      <c r="T92" s="385">
        <f>Model!T203</f>
        <v>-0.01598347770355675</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f>Model!G184</f>
        <v>0</v>
      </c>
      <c r="H113" s="547">
        <f>Model!H184</f>
        <v>0</v>
      </c>
      <c r="I113" s="547">
        <f>Model!I184</f>
        <v>0</v>
      </c>
      <c r="J113" s="548">
        <f>Model!J184</f>
        <v>0</v>
      </c>
      <c r="K113" s="547">
        <f>Model!K184</f>
        <v>0</v>
      </c>
      <c r="L113" s="547">
        <f>Model!L184</f>
        <v>0</v>
      </c>
      <c r="M113" s="547">
        <f>Model!M184</f>
        <v>0</v>
      </c>
      <c r="N113" s="547">
        <f>Model!N184</f>
        <v>0</v>
      </c>
      <c r="O113" s="548">
        <f>Model!O184</f>
        <v>0</v>
      </c>
      <c r="P113" s="547">
        <f>Model!P184</f>
        <v>0</v>
      </c>
      <c r="Q113" s="547">
        <f>Model!Q184</f>
        <v>0</v>
      </c>
      <c r="R113" s="547">
        <f>Model!R184</f>
        <v>0</v>
      </c>
      <c r="S113" s="547">
        <f>Model!S184</f>
        <v>0</v>
      </c>
      <c r="T113" s="548">
        <f>Model!T184</f>
        <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f>Model!Y184</f>
        <v>0.6442584130586366</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f>Model!AD184</f>
        <v>0.6402778969832064</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90">
        <f>Model!U28</f>
        <v>2742.8525100000006</v>
      </c>
      <c r="K31" s="791">
        <f>Model!V28</f>
        <v>2804.45528</v>
      </c>
      <c r="L31" s="791">
        <f>Model!W28</f>
        <v>3225.2027500000004</v>
      </c>
      <c r="M31" s="792">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4543.195999999999</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4350.914999999999</v>
      </c>
      <c r="J33" s="793">
        <f>Model!U36</f>
        <v>540.1219644749999</v>
      </c>
      <c r="K33" s="794">
        <f>Model!V36</f>
        <v>557.5561784461379</v>
      </c>
      <c r="L33" s="794">
        <f>Model!W36</f>
        <v>623.582743075383</v>
      </c>
      <c r="M33" s="795">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4350.914999999999</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f t="shared" ref="H36:I36" si="12">H35/G35-1</f>
        <v>0.4130536271498031</v>
      </c>
      <c r="I36" s="487">
        <f t="shared" si="12"/>
        <v>-0.5862209748694946</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4350.914999999999</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-1.5119974461375003</v>
      </c>
      <c r="L41" s="794">
        <f>-Model!W34</f>
        <v>-3.113519325383053</v>
      </c>
      <c r="M41" s="795">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f>Model!U249</f>
        <v>19.000200833203355</v>
      </c>
      <c r="K42" s="794">
        <f>Model!V249</f>
        <v>19.426933585917656</v>
      </c>
      <c r="L42" s="794">
        <f>Model!W249</f>
        <v>22.341522103133336</v>
      </c>
      <c r="M42" s="795">
        <f>Model!X249</f>
        <v>22.298679091458162</v>
      </c>
      <c r="N42" s="325">
        <f>Model!Y249</f>
        <v>83.06733561371252</v>
      </c>
      <c r="O42" s="325">
        <f>Model!AD249</f>
        <v>90.19747942537975</v>
      </c>
      <c r="P42" s="325">
        <f>Model!AE249</f>
        <v>96.25293918341586</v>
      </c>
      <c r="Q42" s="325">
        <f>Model!AF249</f>
        <v>100.7966473077859</v>
      </c>
      <c r="R42" s="325">
        <f>Model!AG249</f>
        <v>103.74906896255654</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41.14278765000001</v>
      </c>
      <c r="K43" s="794">
        <f>-Model!V196</f>
        <v>42.0668292</v>
      </c>
      <c r="L43" s="794">
        <f>-Model!W196</f>
        <v>48.37804125</v>
      </c>
      <c r="M43" s="795">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767.9987027999996</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11851.708823787985</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87.90667131000001</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f>Summary!T16</f>
        <v>1</v>
      </c>
      <c r="E7" s="901">
        <f>Summary!U16</f>
        <v>1</v>
      </c>
      <c r="F7" s="901">
        <f>Summary!V16</f>
        <v>0.40198123059289365</v>
      </c>
      <c r="G7" s="901">
        <f>Summary!W16</f>
        <v>0.1946974868410001</v>
      </c>
      <c r="H7" s="901">
        <f>Summary!X16</f>
        <v>0.2121522986531196</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f>Summary!T28</f>
        <v>1</v>
      </c>
      <c r="E8" s="901">
        <f>Summary!U28</f>
        <v>1</v>
      </c>
      <c r="F8" s="901">
        <f>Summary!V28</f>
        <v>0.41974608074501846</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f>Summary!T20</f>
        <v>1</v>
      </c>
      <c r="E9" s="904">
        <f>Summary!U20</f>
        <v>1</v>
      </c>
      <c r="F9" s="904">
        <f>Summary!V20</f>
        <v>0.40198123059289365</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7356.97</v>
      </c>
      <c r="E31" s="878">
        <f t="array" ref="E31">INDEX(Revenue_Data_Summary,MATCH($C31,'Revenue Build'!$C$28:$C$49,0),MATCH(Charts!E$30,'Revenue Build'!$C$28:$AG$28,0))</f>
        <v>9754.869</v>
      </c>
      <c r="F31" s="878">
        <f t="array" ref="F31">INDEX(Revenue_Data_Summary,MATCH($C31,'Revenue Build'!$C$28:$C$49,0),MATCH(Charts!F$30,'Revenue Build'!$C$28:$AG$28,0))</f>
        <v>10135.32</v>
      </c>
      <c r="G31" s="878">
        <f t="array" ref="G31">INDEX(Revenue_Data_Summary,MATCH($C31,'Revenue Build'!$C$28:$C$49,0),MATCH(Charts!G$30,'Revenue Build'!$C$28:$AG$28,0))</f>
        <v>11259.94222</v>
      </c>
      <c r="H31" s="878">
        <f t="array" ref="H31">INDEX(Revenue_Data_Summary,MATCH($C31,'Revenue Build'!$C$28:$C$49,0),MATCH(Charts!H$30,'Revenue Build'!$C$28:$AG$28,0))</f>
        <v>12376.5780656</v>
      </c>
      <c r="I31" s="878">
        <f t="array" ref="I31">INDEX(Revenue_Data_Summary,MATCH($C31,'Revenue Build'!$C$28:$C$49,0),MATCH(Charts!I$30,'Revenue Build'!$C$28:$AG$28,0))</f>
        <v>13366.704310848001</v>
      </c>
      <c r="J31" s="8"/>
      <c r="K31" s="905" t="str">
        <f>K28</f>
        <v>Total Company Revenue</v>
      </c>
      <c r="L31" s="878">
        <f t="array" ref="L31">INDEX(Revenue_Data_Summary,MATCH($K31,'Revenue Build'!$C$28:$C$49,0),MATCH(Charts!L$30,'Revenue Build'!$C$28:$AG$28,0))</f>
        <v>7441.38</v>
      </c>
      <c r="M31" s="878">
        <f t="array" ref="M31">INDEX(Revenue_Data_Summary,MATCH($K31,'Revenue Build'!$C$28:$C$49,0),MATCH(Charts!M$30,'Revenue Build'!$C$28:$AG$28,0))</f>
        <v>10515.069000000001</v>
      </c>
      <c r="N31" s="878">
        <f t="array" ref="N31">INDEX(Revenue_Data_Summary,MATCH($K31,'Revenue Build'!$C$28:$C$49,0),MATCH(Charts!N$30,'Revenue Build'!$C$28:$AG$28,0))</f>
        <v>10823.677</v>
      </c>
      <c r="O31" s="878">
        <f t="array" ref="O31">INDEX(Revenue_Data_Summary,MATCH($K31,'Revenue Build'!$C$28:$C$49,0),MATCH(Charts!O$30,'Revenue Build'!$C$28:$AG$28,0))</f>
        <v>11991.52851</v>
      </c>
      <c r="P31" s="878">
        <f t="array" ref="P31">INDEX(Revenue_Data_Summary,MATCH($K31,'Revenue Build'!$C$28:$C$49,0),MATCH(Charts!P$30,'Revenue Build'!$C$28:$AG$28,0))</f>
        <v>13020.829885400002</v>
      </c>
      <c r="Q31" s="878">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3" t="s">
        <v>1076</v>
      </c>
      <c r="D32" s="906">
        <v>0.213</v>
      </c>
      <c r="E32" s="907">
        <f t="shared" ref="E32:I32" si="2">E31/D31-1</f>
        <v>0.3259356773236808</v>
      </c>
      <c r="F32" s="907">
        <f t="shared" si="2"/>
        <v>0.039001138815908165</v>
      </c>
      <c r="G32" s="907">
        <f t="shared" si="2"/>
        <v>0.11096070178346618</v>
      </c>
      <c r="H32" s="907">
        <f t="shared" si="2"/>
        <v>0.09916887882573877</v>
      </c>
      <c r="I32" s="907">
        <f t="shared" si="2"/>
        <v>0.08000000000000007</v>
      </c>
      <c r="J32" s="8"/>
      <c r="K32" s="903" t="s">
        <v>1076</v>
      </c>
      <c r="L32" s="906">
        <v>0.213</v>
      </c>
      <c r="M32" s="907">
        <f t="shared" ref="M32:Q32" si="3">M31/L31-1</f>
        <v>0.4130536271498031</v>
      </c>
      <c r="N32" s="907">
        <f t="shared" si="3"/>
        <v>0.029349117918294088</v>
      </c>
      <c r="O32" s="907">
        <f t="shared" si="3"/>
        <v>0.10789785301242816</v>
      </c>
      <c r="P32" s="907">
        <f t="shared" si="3"/>
        <v>0.08583571098060139</v>
      </c>
      <c r="Q32" s="907">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84.41</v>
      </c>
      <c r="E51" s="878">
        <f t="array" ref="E51">INDEX(Revenue_Data_Summary,MATCH($C51,'Revenue Build'!$C$28:$C$49,0),MATCH(Charts!E$50,'Revenue Build'!$C$28:$AG$28,0))</f>
        <v>760.2</v>
      </c>
      <c r="F51" s="878">
        <f t="array" ref="F51">INDEX(Revenue_Data_Summary,MATCH($C51,'Revenue Build'!$C$28:$C$49,0),MATCH(Charts!F$50,'Revenue Build'!$C$28:$AG$28,0))</f>
        <v>688.357</v>
      </c>
      <c r="G51" s="878">
        <f t="array" ref="G51">INDEX(Revenue_Data_Summary,MATCH($C51,'Revenue Build'!$C$28:$C$49,0),MATCH(Charts!G$50,'Revenue Build'!$C$28:$AG$28,0))</f>
        <v>731.5862900000001</v>
      </c>
      <c r="H51" s="878">
        <f t="array" ref="H51">INDEX(Revenue_Data_Summary,MATCH($C51,'Revenue Build'!$C$28:$C$49,0),MATCH(Charts!H$50,'Revenue Build'!$C$28:$AG$28,0))</f>
        <v>644.2518198</v>
      </c>
      <c r="I51" s="878">
        <f t="array" ref="I51">INDEX(Revenue_Data_Summary,MATCH($C51,'Revenue Build'!$C$28:$C$49,0),MATCH(Charts!I$50,'Revenue Build'!$C$28:$AG$28,0))</f>
        <v>528.2864922360001</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f t="shared" ref="E52:I52" si="6">E51/D51-1</f>
        <v>8.006041938158987</v>
      </c>
      <c r="F52" s="907">
        <f t="shared" si="6"/>
        <v>-0.09450539331754815</v>
      </c>
      <c r="G52" s="907">
        <f t="shared" si="6"/>
        <v>0.06280068336633482</v>
      </c>
      <c r="H52" s="907">
        <f t="shared" si="6"/>
        <v>-0.11937685464280645</v>
      </c>
      <c r="I52" s="907">
        <f t="shared" si="6"/>
        <v>-0.17999999999999994</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7350.38</v>
      </c>
      <c r="E71" s="878">
        <f t="array" ref="E71">INDEX(Data,MATCH($C71,Line_Items,0),MATCH(Charts!E$70,Fiscal_Periods,0))</f>
        <v>10342.069000000001</v>
      </c>
      <c r="F71" s="878">
        <f t="array" ref="F71">INDEX(Data,MATCH($C71,Line_Items,0),MATCH(Charts!F$70,Fiscal_Periods,0))</f>
        <v>4370.195999999999</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31.584804753820034</v>
      </c>
      <c r="M71" s="909">
        <f t="array" ref="M71">INDEX(Data,MATCH($K71,Line_Items,0),MATCH(Charts!M$70,Fiscal_Periods,0))</f>
        <v>47.005225748770684</v>
      </c>
      <c r="N71" s="909">
        <f t="array" ref="N71">INDEX(Data,MATCH($K71,Line_Items,0),MATCH(Charts!N$70,Fiscal_Periods,0))</f>
        <v>19.559421162888967</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0.40701147423670636</v>
      </c>
      <c r="F72" s="907">
        <f t="shared" si="10"/>
        <v>-0.5774350374185283</v>
      </c>
      <c r="G72" s="907">
        <f>G71/F71-1</f>
        <v>-1.9170284869442793</v>
      </c>
      <c r="H72" s="907">
        <f t="shared" si="10"/>
        <v>-1.4300227588450256</v>
      </c>
      <c r="I72" s="907">
        <f t="shared" si="10"/>
        <v>-0.0024383344485484626</v>
      </c>
      <c r="J72" s="8"/>
      <c r="K72" s="903" t="s">
        <v>1076</v>
      </c>
      <c r="L72" s="906">
        <v>0.26</v>
      </c>
      <c r="M72" s="907">
        <f t="shared" ref="M72:Q72" si="11">M71/L71-1</f>
        <v>0.48822277405674397</v>
      </c>
      <c r="N72" s="907">
        <f t="shared" si="11"/>
        <v>-0.5838883687650304</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7441.38</v>
      </c>
      <c r="I91" s="878">
        <f t="array" ref="I91">INDEX(Revenue_Data_Summary,MATCH($C91,'Revenue Build'!$C$28:$C$49,0),MATCH(Charts!I$90,'Revenue Build'!$C$28:$AG$28,0))</f>
        <v>10515.069000000001</v>
      </c>
      <c r="J91" s="878">
        <f t="array" ref="J91">INDEX(Revenue_Data_Summary,MATCH($C91,'Revenue Build'!$C$28:$C$49,0),MATCH(Charts!J$90,'Revenue Build'!$C$28:$AG$28,0))</f>
        <v>10823.677</v>
      </c>
      <c r="K91" s="878">
        <f t="array" ref="K91">INDEX(Revenue_Data_Summary,MATCH($C91,'Revenue Build'!$C$28:$C$49,0),MATCH(Charts!K$90,'Revenue Build'!$C$28:$AG$28,0))</f>
        <v>11991.52851</v>
      </c>
      <c r="L91" s="878">
        <f t="array" ref="L91">INDEX(Revenue_Data_Summary,MATCH($C91,'Revenue Build'!$C$28:$C$49,0),MATCH(Charts!L$90,'Revenue Build'!$C$28:$AG$28,0))</f>
        <v>13020.829885400002</v>
      </c>
      <c r="M91" s="878">
        <f t="array" ref="M91">INDEX(Revenue_Data_Summary,MATCH($C91,'Revenue Build'!$C$28:$C$49,0),MATCH(Charts!M$90,'Revenue Build'!$C$28:$AG$28,0))</f>
        <v>13894.990803084002</v>
      </c>
      <c r="N91" s="878">
        <f>IF(Charts!$R$88="1Q",SUM('Revenue Build'!K30),IF(Charts!$R$88="2Q",SUM('Revenue Build'!K30:L30),IF(Charts!$R$88="3Q",SUM('Revenue Build'!K30:M30),IF(Charts!$R$88="4Q",SUM('Revenue Build'!K30:N30),"N/A"))))</f>
        <v>10515.069000000001</v>
      </c>
      <c r="O91" s="878">
        <f>IF(Charts!$R$88="1Q",SUM('Revenue Build'!P30),IF(Charts!$R$88="2Q",SUM('Revenue Build'!P30:Q30),IF(Charts!$R$88="3Q",SUM('Revenue Build'!P30:R30),IF(Charts!$R$88="4Q",SUM('Revenue Build'!P30:S30),"N/A"))))</f>
        <v>10823.677</v>
      </c>
      <c r="P91" s="878">
        <f>IF(Charts!$R$88="1Q",SUM('Revenue Build'!U30),IF(Charts!$R$88="2Q",SUM('Revenue Build'!U30:V30),IF(Charts!$R$88="3Q",SUM('Revenue Build'!U30:W30),IF(Charts!$R$88="4Q",SUM('Revenue Build'!U30:X30),"N/A"))))</f>
        <v>11991.52851</v>
      </c>
      <c r="Q91" s="878">
        <f>IF(Charts!$R$88="1Q",SUM('Revenue Build'!V30),IF(Charts!$R$88="2Q",SUM('Revenue Build'!V30:W30),IF(Charts!$R$88="3Q",SUM('Revenue Build'!V30:X30),IF(Charts!$R$88="4Q",SUM('Revenue Build'!V30:Y30),"N/A"))))</f>
        <v>21240.20451</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-0.8915551086433786</v>
      </c>
      <c r="I92" s="907">
        <f t="shared" si="15"/>
        <v>0.4130536271498031</v>
      </c>
      <c r="J92" s="907">
        <f t="shared" si="15"/>
        <v>0.029349117918294088</v>
      </c>
      <c r="K92" s="907">
        <f t="shared" si="15"/>
        <v>0.10789785301242816</v>
      </c>
      <c r="L92" s="907">
        <f t="shared" si="15"/>
        <v>0.08583571098060139</v>
      </c>
      <c r="M92" s="907">
        <f t="shared" si="15"/>
        <v>0.06713557625571775</v>
      </c>
      <c r="N92" s="907">
        <v>0.175</v>
      </c>
      <c r="O92" s="907">
        <f t="shared" ref="O92:Q92" si="16">O91/N91-1</f>
        <v>0.029349117918294088</v>
      </c>
      <c r="P92" s="907">
        <f t="shared" si="16"/>
        <v>0.10789785301242816</v>
      </c>
      <c r="Q92" s="907">
        <f t="shared" si="16"/>
        <v>0.7712674820634688</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f>'Segment Analysis'!$T$16</f>
        <v>0.9364026661179929</v>
      </c>
      <c r="E117" s="914">
        <f>'Segment Analysis'!$T$17</f>
        <v>0.06359733388200701</v>
      </c>
      <c r="F117" s="914">
        <f>'Segment Analysis'!$T$20</f>
        <v>0</v>
      </c>
      <c r="G117" s="914">
        <f>'Segment Analysis'!$T$18</f>
        <v>0</v>
      </c>
      <c r="H117" s="914">
        <f>'Segment Analysis'!$T$19</f>
        <v>0</v>
      </c>
      <c r="I117" s="914">
        <f>'Segment Analysis'!$T$21</f>
        <v>0</v>
      </c>
      <c r="J117" s="166" t="s">
        <v>1079</v>
      </c>
      <c r="K117" s="915">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0.21900066061287374</v>
      </c>
      <c r="E29" s="937">
        <f>MEDIAN(D29:D32)</f>
        <v>0.17515067284014957</v>
      </c>
      <c r="F29" s="8"/>
      <c r="G29" s="8"/>
      <c r="H29" s="8"/>
      <c r="I29" s="8"/>
      <c r="J29" s="8"/>
      <c r="K29" s="8"/>
      <c r="L29" s="8"/>
      <c r="M29" s="8"/>
      <c r="N29" s="8"/>
      <c r="O29" s="782" t="str">
        <f t="shared" ref="O29:O33" si="8">INDEX($C$29:$C$33,MATCH(P29,$D$29:$D$33,0),1)</f>
        <v>Houlihan Lokey, Inc.</v>
      </c>
      <c r="P29" s="937">
        <f t="shared" ref="P29:P33" si="9">LARGE($D$29:$D$33,B29)</f>
        <v>0.36860544919456933</v>
      </c>
      <c r="Q29" s="937">
        <f t="shared" ref="Q29:Q33" si="10">E29</f>
        <v>0.17515067284014957</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0.007000769058570619</v>
      </c>
      <c r="E30" s="937">
        <f t="shared" ref="E30:E33" si="12">E29</f>
        <v>0.17515067284014957</v>
      </c>
      <c r="F30" s="8"/>
      <c r="G30" s="8"/>
      <c r="H30" s="8"/>
      <c r="I30" s="8"/>
      <c r="J30" s="8"/>
      <c r="K30" s="8"/>
      <c r="L30" s="8"/>
      <c r="M30" s="8"/>
      <c r="N30" s="8"/>
      <c r="O30" s="782" t="str">
        <f t="shared" si="8"/>
        <v>Piper Sandler Companies</v>
      </c>
      <c r="P30" s="937">
        <f t="shared" si="9"/>
        <v>0.21900066061287374</v>
      </c>
      <c r="Q30" s="937">
        <f t="shared" si="10"/>
        <v>0.17515067284014957</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0.1313006850674254</v>
      </c>
      <c r="E31" s="937">
        <f t="shared" si="12"/>
        <v>0.17515067284014957</v>
      </c>
      <c r="F31" s="8"/>
      <c r="G31" s="8"/>
      <c r="H31" s="8"/>
      <c r="I31" s="8"/>
      <c r="J31" s="8"/>
      <c r="K31" s="8"/>
      <c r="L31" s="8"/>
      <c r="M31" s="8"/>
      <c r="N31" s="8"/>
      <c r="O31" s="782" t="str">
        <f t="shared" si="8"/>
        <v>Raymond James Financial, Inc.</v>
      </c>
      <c r="P31" s="937">
        <f t="shared" si="9"/>
        <v>0.1313006850674254</v>
      </c>
      <c r="Q31" s="937">
        <f t="shared" si="10"/>
        <v>0.17515067284014957</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0.36860544919456933</v>
      </c>
      <c r="E32" s="937">
        <f t="shared" si="12"/>
        <v>0.17515067284014957</v>
      </c>
      <c r="F32" s="8"/>
      <c r="G32" s="8"/>
      <c r="H32" s="8"/>
      <c r="I32" s="8"/>
      <c r="J32" s="8"/>
      <c r="K32" s="8"/>
      <c r="L32" s="8"/>
      <c r="M32" s="8"/>
      <c r="N32" s="8"/>
      <c r="O32" s="782" t="str">
        <f t="shared" si="8"/>
        <v>Stifel Financial Corp.</v>
      </c>
      <c r="P32" s="937">
        <f t="shared" si="9"/>
        <v>0.007000769058570619</v>
      </c>
      <c r="Q32" s="937">
        <f t="shared" si="10"/>
        <v>0.17515067284014957</v>
      </c>
      <c r="R32" s="8"/>
      <c r="S32" s="8"/>
      <c r="T32" s="8"/>
      <c r="U32" s="8"/>
      <c r="V32" s="8"/>
      <c r="W32" s="8"/>
      <c r="X32" s="8"/>
      <c r="Y32" s="8"/>
      <c r="Z32" s="8"/>
    </row>
    <row r="33" ht="15.75" customHeight="1" spans="1:26" x14ac:dyDescent="0.25">
      <c r="A33" s="9"/>
      <c r="B33" s="8">
        <f t="shared" si="11"/>
        <v>5</v>
      </c>
      <c r="C33" s="782">
        <f t="shared" si="6"/>
        <v>0</v>
      </c>
      <c r="D33" s="936">
        <f>'MM Banking Comparables'!L16+RAND()/1000000</f>
        <v>2.387016118989327e-7</v>
      </c>
      <c r="E33" s="937">
        <f t="shared" si="12"/>
        <v>0.17515067284014957</v>
      </c>
      <c r="F33" s="8"/>
      <c r="G33" s="8"/>
      <c r="H33" s="8"/>
      <c r="I33" s="8"/>
      <c r="J33" s="8"/>
      <c r="K33" s="8"/>
      <c r="L33" s="8"/>
      <c r="M33" s="8"/>
      <c r="N33" s="8"/>
      <c r="O33" s="782">
        <f t="shared" si="8"/>
        <v>0</v>
      </c>
      <c r="P33" s="937">
        <f t="shared" si="9"/>
        <v>2.387016118989327e-7</v>
      </c>
      <c r="Q33" s="937">
        <f t="shared" si="10"/>
        <v>0.17515067284014957</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10.84054873448698</v>
      </c>
      <c r="F45" s="8"/>
      <c r="G45" s="8"/>
      <c r="H45" s="8"/>
      <c r="I45" s="8"/>
      <c r="J45" s="8"/>
      <c r="K45" s="8"/>
      <c r="L45" s="8"/>
      <c r="M45" s="8"/>
      <c r="N45" s="8"/>
      <c r="O45" s="782" t="str">
        <f t="shared" ref="O45:O49" si="15">INDEX($C$45:$C$49,MATCH(P45,$D$45:$D$49,0),1)</f>
        <v>Stifel Financial Corp.</v>
      </c>
      <c r="P45" s="942">
        <f t="shared" ref="P45:P49" si="16">LARGE($D$45:$D$49,B45)</f>
        <v>10.84054873448698</v>
      </c>
      <c r="Q45" s="942">
        <f t="shared" ref="Q45:Q49" si="17">E45</f>
        <v>10.84054873448698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10.84054873448698</v>
      </c>
      <c r="E46" s="942">
        <f t="shared" ref="E46:E48" si="19">E45</f>
        <v>10.84054873448698</v>
      </c>
      <c r="F46" s="8"/>
      <c r="G46" s="8"/>
      <c r="H46" s="8"/>
      <c r="I46" s="8"/>
      <c r="J46" s="8"/>
      <c r="K46" s="8"/>
      <c r="L46" s="8"/>
      <c r="M46" s="8"/>
      <c r="N46" s="8"/>
      <c r="O46" s="782" t="e">
        <f t="shared" si="15"/>
        <v>#NUM!</v>
      </c>
      <c r="P46" s="942" t="e">
        <f t="shared" si="16"/>
        <v>#NUM!</v>
      </c>
      <c r="Q46" s="942">
        <f t="shared" si="17"/>
        <v>10.84054873448698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10.84054873448698</v>
      </c>
      <c r="F47" s="8"/>
      <c r="G47" s="8"/>
      <c r="H47" s="8"/>
      <c r="I47" s="8"/>
      <c r="J47" s="8"/>
      <c r="K47" s="8"/>
      <c r="L47" s="8"/>
      <c r="M47" s="8"/>
      <c r="N47" s="8"/>
      <c r="O47" s="782" t="e">
        <f t="shared" si="15"/>
        <v>#NUM!</v>
      </c>
      <c r="P47" s="942" t="e">
        <f t="shared" si="16"/>
        <v>#NUM!</v>
      </c>
      <c r="Q47" s="942">
        <f t="shared" si="17"/>
        <v>10.84054873448698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10.84054873448698</v>
      </c>
      <c r="F48" s="8"/>
      <c r="G48" s="8"/>
      <c r="H48" s="8"/>
      <c r="I48" s="8"/>
      <c r="J48" s="8"/>
      <c r="K48" s="8"/>
      <c r="L48" s="8"/>
      <c r="M48" s="8"/>
      <c r="N48" s="8"/>
      <c r="O48" s="782" t="e">
        <f t="shared" si="15"/>
        <v>#NUM!</v>
      </c>
      <c r="P48" s="942" t="e">
        <f t="shared" si="16"/>
        <v>#NUM!</v>
      </c>
      <c r="Q48" s="942">
        <f t="shared" si="17"/>
        <v>10.84054873448698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20.802103017621274</v>
      </c>
      <c r="E61" s="942">
        <f>MEDIAN(D61:D64)</f>
        <v>17.949929282216615</v>
      </c>
      <c r="F61" s="8"/>
      <c r="G61" s="8"/>
      <c r="H61" s="8"/>
      <c r="I61" s="8"/>
      <c r="J61" s="8"/>
      <c r="K61" s="8"/>
      <c r="L61" s="8"/>
      <c r="M61" s="8"/>
      <c r="N61" s="8"/>
      <c r="O61" s="782" t="str">
        <f t="shared" ref="O61:O65" si="22">INDEX($C$61:$C$65,MATCH(P61,$D$61:$D$65,0),1)</f>
        <v>Houlihan Lokey, Inc.</v>
      </c>
      <c r="P61" s="942">
        <f t="shared" ref="P61:P65" si="23">LARGE($D$61:$D$65,B61)</f>
        <v>22.993840744650523</v>
      </c>
      <c r="Q61" s="942">
        <f t="shared" ref="Q61:Q65" si="24">E61</f>
        <v>17.949929282216615</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15.097755546811955</v>
      </c>
      <c r="E62" s="942">
        <f t="shared" ref="E62:E64" si="26">E61</f>
        <v>17.949929282216615</v>
      </c>
      <c r="F62" s="8"/>
      <c r="G62" s="8"/>
      <c r="H62" s="8"/>
      <c r="I62" s="8"/>
      <c r="J62" s="8"/>
      <c r="K62" s="8"/>
      <c r="L62" s="8"/>
      <c r="M62" s="8"/>
      <c r="N62" s="8"/>
      <c r="O62" s="782" t="str">
        <f t="shared" si="22"/>
        <v>Piper Sandler Companies</v>
      </c>
      <c r="P62" s="942">
        <f t="shared" si="23"/>
        <v>20.802103017621274</v>
      </c>
      <c r="Q62" s="942">
        <f t="shared" si="24"/>
        <v>17.949929282216615</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13.297628511060768</v>
      </c>
      <c r="E63" s="942">
        <f t="shared" si="26"/>
        <v>17.949929282216615</v>
      </c>
      <c r="F63" s="8"/>
      <c r="G63" s="8"/>
      <c r="H63" s="8"/>
      <c r="I63" s="8"/>
      <c r="J63" s="8"/>
      <c r="K63" s="8"/>
      <c r="L63" s="8"/>
      <c r="M63" s="8"/>
      <c r="N63" s="8"/>
      <c r="O63" s="782" t="str">
        <f t="shared" si="22"/>
        <v>Stifel Financial Corp.</v>
      </c>
      <c r="P63" s="942">
        <f t="shared" si="23"/>
        <v>15.097755546811955</v>
      </c>
      <c r="Q63" s="942">
        <f t="shared" si="24"/>
        <v>17.949929282216615</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22.993840744650523</v>
      </c>
      <c r="E64" s="942">
        <f t="shared" si="26"/>
        <v>17.949929282216615</v>
      </c>
      <c r="F64" s="8"/>
      <c r="G64" s="8"/>
      <c r="H64" s="8"/>
      <c r="I64" s="8"/>
      <c r="J64" s="8"/>
      <c r="K64" s="8"/>
      <c r="L64" s="8"/>
      <c r="M64" s="8"/>
      <c r="N64" s="8"/>
      <c r="O64" s="782" t="str">
        <f t="shared" si="22"/>
        <v>Raymond James Financial, Inc.</v>
      </c>
      <c r="P64" s="942">
        <f t="shared" si="23"/>
        <v>13.297628511060768</v>
      </c>
      <c r="Q64" s="942">
        <f t="shared" si="24"/>
        <v>17.949929282216615</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0.07147869452918854</v>
      </c>
      <c r="E77" s="942">
        <f>MEDIAN(D77:D80)</f>
        <v>0.28526570685653174</v>
      </c>
      <c r="F77" s="8"/>
      <c r="G77" s="8"/>
      <c r="H77" s="8"/>
      <c r="I77" s="8"/>
      <c r="J77" s="8"/>
      <c r="K77" s="8"/>
      <c r="L77" s="8"/>
      <c r="M77" s="8"/>
      <c r="N77" s="8"/>
      <c r="O77" s="782" t="str">
        <f t="shared" ref="O77:O81" si="29">INDEX($C$77:$C$81,MATCH(P77,$D$77:$D$81,0),1)</f>
        <v>Stifel Financial Corp.</v>
      </c>
      <c r="P77" s="942">
        <f t="shared" ref="P77:P81" si="30">LARGE($D$77:$D$81,B77)</f>
        <v>0.39302499324532</v>
      </c>
      <c r="Q77" s="942">
        <f t="shared" ref="Q77:Q81" si="31">E77</f>
        <v>0.28526570685653174</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0.39302499324532</v>
      </c>
      <c r="E78" s="942">
        <f t="shared" ref="E78:E80" si="33">E77</f>
        <v>0.28526570685653174</v>
      </c>
      <c r="F78" s="8"/>
      <c r="G78" s="8"/>
      <c r="H78" s="8"/>
      <c r="I78" s="8"/>
      <c r="J78" s="8"/>
      <c r="K78" s="8"/>
      <c r="L78" s="8"/>
      <c r="M78" s="8"/>
      <c r="N78" s="8"/>
      <c r="O78" s="782" t="str">
        <f t="shared" si="29"/>
        <v>Raymond James Financial, Inc.</v>
      </c>
      <c r="P78" s="942">
        <f t="shared" si="30"/>
        <v>0.3690561451071848</v>
      </c>
      <c r="Q78" s="942">
        <f t="shared" si="31"/>
        <v>0.28526570685653174</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0.3690561451071848</v>
      </c>
      <c r="E79" s="942">
        <f t="shared" si="33"/>
        <v>0.28526570685653174</v>
      </c>
      <c r="F79" s="8"/>
      <c r="G79" s="8"/>
      <c r="H79" s="8"/>
      <c r="I79" s="8"/>
      <c r="J79" s="8"/>
      <c r="K79" s="8"/>
      <c r="L79" s="8"/>
      <c r="M79" s="8"/>
      <c r="N79" s="8"/>
      <c r="O79" s="782" t="str">
        <f t="shared" si="29"/>
        <v>Houlihan Lokey, Inc.</v>
      </c>
      <c r="P79" s="942">
        <f t="shared" si="30"/>
        <v>0.20147526860587867</v>
      </c>
      <c r="Q79" s="942">
        <f t="shared" si="31"/>
        <v>0.28526570685653174</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0.20147526860587867</v>
      </c>
      <c r="E80" s="942">
        <f t="shared" si="33"/>
        <v>0.28526570685653174</v>
      </c>
      <c r="F80" s="8"/>
      <c r="G80" s="8"/>
      <c r="H80" s="8"/>
      <c r="I80" s="8"/>
      <c r="J80" s="8"/>
      <c r="K80" s="8"/>
      <c r="L80" s="8"/>
      <c r="M80" s="8"/>
      <c r="N80" s="8"/>
      <c r="O80" s="782" t="str">
        <f t="shared" si="29"/>
        <v>Piper Sandler Companies</v>
      </c>
      <c r="P80" s="942">
        <f t="shared" si="30"/>
        <v>0.07147869452918854</v>
      </c>
      <c r="Q80" s="942">
        <f t="shared" si="31"/>
        <v>0.28526570685653174</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0.178409818437716</v>
      </c>
      <c r="E109" s="937">
        <f>MEDIAN(D109:D113)</f>
        <v>0.1815647349338383</v>
      </c>
      <c r="F109" s="8"/>
      <c r="G109" s="8"/>
      <c r="H109" s="8"/>
      <c r="I109" s="8"/>
      <c r="J109" s="8"/>
      <c r="K109" s="8"/>
      <c r="L109" s="8"/>
      <c r="M109" s="8"/>
      <c r="N109" s="8"/>
      <c r="O109" s="782" t="str">
        <f t="shared" ref="O109:O112" si="43">INDEX($C$109:$C$113,MATCH(P109,$D$109:$D$113,0),1)</f>
        <v>Houlihan Lokey, Inc.</v>
      </c>
      <c r="P109" s="937">
        <f t="shared" ref="P109:P112" si="44">LARGE($D$109:$D$113,B109)</f>
        <v>0.23616300899225917</v>
      </c>
      <c r="Q109" s="937">
        <f t="shared" ref="Q109:Q112" si="45">E109</f>
        <v>0.1815647349338383</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0.1815647349338383</v>
      </c>
      <c r="E110" s="937">
        <f t="shared" ref="E110:E112" si="47">E109</f>
        <v>0.1815647349338383</v>
      </c>
      <c r="F110" s="8"/>
      <c r="G110" s="8"/>
      <c r="H110" s="8"/>
      <c r="I110" s="8"/>
      <c r="J110" s="8"/>
      <c r="K110" s="8"/>
      <c r="L110" s="8"/>
      <c r="M110" s="8"/>
      <c r="N110" s="8"/>
      <c r="O110" s="782" t="str">
        <f t="shared" si="43"/>
        <v>Stifel Financial Corp.</v>
      </c>
      <c r="P110" s="937">
        <f t="shared" si="44"/>
        <v>0.1815647349338383</v>
      </c>
      <c r="Q110" s="937">
        <f t="shared" si="45"/>
        <v>0.1815647349338383</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0.1815647349338383</v>
      </c>
      <c r="F111" s="8"/>
      <c r="G111" s="8"/>
      <c r="H111" s="8"/>
      <c r="I111" s="8"/>
      <c r="J111" s="8"/>
      <c r="K111" s="8"/>
      <c r="L111" s="8"/>
      <c r="M111" s="8"/>
      <c r="N111" s="8"/>
      <c r="O111" s="782" t="str">
        <f t="shared" si="43"/>
        <v>Piper Sandler Companies</v>
      </c>
      <c r="P111" s="937">
        <f t="shared" si="44"/>
        <v>0.178409818437716</v>
      </c>
      <c r="Q111" s="937">
        <f t="shared" si="45"/>
        <v>0.1815647349338383</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0.23616300899225917</v>
      </c>
      <c r="E112" s="937">
        <f t="shared" si="47"/>
        <v>0.1815647349338383</v>
      </c>
      <c r="F112" s="8"/>
      <c r="G112" s="8"/>
      <c r="H112" s="8"/>
      <c r="I112" s="8"/>
      <c r="J112" s="8"/>
      <c r="K112" s="8"/>
      <c r="L112" s="8"/>
      <c r="M112" s="8"/>
      <c r="N112" s="8"/>
      <c r="O112" s="782" t="e">
        <f t="shared" si="43"/>
        <v>#NUM!</v>
      </c>
      <c r="P112" s="937" t="e">
        <f t="shared" si="44"/>
        <v>#NUM!</v>
      </c>
      <c r="Q112" s="937">
        <f t="shared" si="45"/>
        <v>0.1815647349338383</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3219.017969999999</v>
      </c>
      <c r="I12" s="948">
        <v>19670.3</v>
      </c>
      <c r="J12" s="947">
        <f t="array" ref="J12">INDEX(Data,MATCH($C12,Line_Items,0),MATCH(LEFT(J$10,4),Fiscal_Periods,0))</f>
        <v>2948.8239999999987</v>
      </c>
      <c r="K12" s="947" t="e">
        <f t="array" ref="K12">INDEX(Data,MATCH($C12,Line_Items,0),MATCH(LEFT(K$10,4),Fiscal_Periods,0))</f>
        <v>#N/A</v>
      </c>
      <c r="L12" s="949">
        <f t="shared" ref="L12:N12" si="1">IFERROR($H12/I12-1,"N/A")</f>
        <v>-0.8363513535634942</v>
      </c>
      <c r="M12" s="627">
        <f t="shared" si="1"/>
        <v>0.09162770311147783</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3170.892969999999</v>
      </c>
      <c r="I13" s="951">
        <v>3968.1</v>
      </c>
      <c r="J13" s="950">
        <f t="array" ref="J13">INDEX(Data,MATCH($C13,Line_Items,0),MATCH(LEFT(J$10,4),Fiscal_Periods,0))</f>
        <v>2948.8239999999987</v>
      </c>
      <c r="K13" s="950" t="e">
        <f t="array" ref="K13">INDEX(Data,MATCH($C13,Line_Items,0),MATCH(LEFT(K$10,4),Fiscal_Periods,0))</f>
        <v>#N/A</v>
      </c>
      <c r="L13" s="949">
        <f t="shared" ref="L13:N13" si="2">IFERROR($H13/I13-1,"N/A")</f>
        <v>-0.20090396663390564</v>
      </c>
      <c r="M13" s="627">
        <f t="shared" si="2"/>
        <v>0.07530763789225814</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f t="array" ref="J14">INDEX(Data,MATCH($C14,Line_Items,0),MATCH(LEFT(J$10,4),Fiscal_Periods,0))</f>
        <v>1</v>
      </c>
      <c r="K14" s="952" t="e">
        <f t="array" ref="K14">INDEX(Data,MATCH($C14,Line_Items,0),MATCH(LEFT(K$10,4),Fiscal_Periods,0))</f>
        <v>#N/A</v>
      </c>
      <c r="L14" s="954">
        <f t="shared" ref="L14:N14" si="3">$H14-I14</f>
        <v>0.798</v>
      </c>
      <c r="M14" s="955">
        <f t="shared" si="3"/>
        <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1188.988999999998</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f t="shared" ref="J16:K16" si="5">J15/$H$12</f>
        <v>0.3693638901928834</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613.4595782826818</v>
      </c>
      <c r="I17" s="951">
        <v>1952.8</v>
      </c>
      <c r="J17" s="950">
        <f t="array" ref="J17">INDEX(Data,MATCH($C17,Line_Items,0),MATCH(LEFT(J$10,4),Fiscal_Periods,0))</f>
        <v>1133.178999999998</v>
      </c>
      <c r="K17" s="950" t="e">
        <f t="array" ref="K17">INDEX(Data,MATCH($C17,Line_Items,0),MATCH(LEFT(K$10,4),Fiscal_Periods,0))</f>
        <v>#N/A</v>
      </c>
      <c r="L17" s="949">
        <f t="shared" ref="L17:N17" si="7">IFERROR($H17/I17-1,"N/A")</f>
        <v>-0.6858564224279589</v>
      </c>
      <c r="M17" s="627">
        <f t="shared" si="7"/>
        <v>-0.4586384160995899</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f>H17/$H$12</f>
        <v>0.1905735177622143</v>
      </c>
      <c r="I18" s="953">
        <v>0.099</v>
      </c>
      <c r="J18" s="956">
        <f t="shared" ref="J18:K18" si="8">J17/$H$12</f>
        <v>0.35202630446949584</v>
      </c>
      <c r="K18" s="956" t="e">
        <f t="shared" si="8"/>
        <v>#N/A</v>
      </c>
      <c r="L18" s="954">
        <f t="shared" ref="L18:N18" si="9">$H18-I18</f>
        <v>0.09157351776221428</v>
      </c>
      <c r="M18" s="955">
        <f t="shared" si="9"/>
        <v>-0.16145278670728155</v>
      </c>
      <c r="N18" s="955"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1133.178999999998</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f t="shared" ref="J20:K20" si="11">J19/J12</f>
        <v>0.3842816661828575</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5.08731469925385</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48.28526954999998</v>
      </c>
      <c r="I43" s="951">
        <v>-668</v>
      </c>
      <c r="J43" s="950">
        <f t="array" ref="J43">INDEX(Data,MATCH($C43,Line_Items,0),MATCH(LEFT(J$40,4),Fiscal_Periods,0))</f>
        <v>0</v>
      </c>
      <c r="K43" s="950" t="e">
        <f t="array" ref="K43">INDEX(Data,MATCH($C43,Line_Items,0),MATCH(LEFT(K$40,4),Fiscal_Periods,0))</f>
        <v>#N/A</v>
      </c>
      <c r="L43" s="949">
        <f t="shared" ref="L43:N43" si="29">IFERROR($H43/I43-1,"N/A")</f>
        <v>-1.0722833376497005</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1170.988999999998</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3219.017969999999</v>
      </c>
      <c r="I12" s="947">
        <f t="array" ref="I12">INDEX(Data,MATCH($C12,Line_Items,0),MATCH($H$6,Fiscal_Periods,0))</f>
        <v>3219.017969999999</v>
      </c>
      <c r="J12" s="948">
        <v>19670.3</v>
      </c>
      <c r="K12" s="947">
        <f t="array" ref="K12">INDEX(Data,MATCH($C12,Line_Items,0),MATCH(LEFT(K$10,4),Fiscal_Periods,0))</f>
        <v>2948.8239999999987</v>
      </c>
      <c r="L12" s="947" t="e">
        <f t="array" ref="L12">INDEX(Data,MATCH($C12,Line_Items,0),MATCH(LEFT(L$10,4),Fiscal_Periods,0))</f>
        <v>#N/A</v>
      </c>
      <c r="M12" s="949">
        <f t="shared" ref="M12:N12" si="1">IFERROR($H12/I12-1,"N/A")</f>
        <v>0</v>
      </c>
      <c r="N12" s="627">
        <f t="shared" si="1"/>
        <v>-0.8363513535634942</v>
      </c>
      <c r="O12" s="627">
        <f t="shared" ref="O12:P12" si="2">IFERROR($I12/K12-1,"N/A")</f>
        <v>0.09162770311147783</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3170.892969999999</v>
      </c>
      <c r="I13" s="950">
        <f t="array" ref="I13">INDEX(Data,MATCH($C13,Line_Items,0),MATCH($H$6,Fiscal_Periods,0))</f>
        <v>3170.892969999999</v>
      </c>
      <c r="J13" s="951">
        <v>3968.1</v>
      </c>
      <c r="K13" s="950">
        <f t="array" ref="K13">INDEX(Data,MATCH($C13,Line_Items,0),MATCH(LEFT(K$10,4),Fiscal_Periods,0))</f>
        <v>2948.8239999999987</v>
      </c>
      <c r="L13" s="950" t="e">
        <f t="array" ref="L13">INDEX(Data,MATCH($C13,Line_Items,0),MATCH(LEFT(L$10,4),Fiscal_Periods,0))</f>
        <v>#N/A</v>
      </c>
      <c r="M13" s="949">
        <f t="shared" ref="M13:P13" si="3">IFERROR($H13/I13-1,"N/A")</f>
        <v>0</v>
      </c>
      <c r="N13" s="627">
        <f t="shared" si="3"/>
        <v>-0.20090396663390564</v>
      </c>
      <c r="O13" s="627">
        <f t="shared" si="3"/>
        <v>0.07530763789225814</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f t="array" ref="K14">INDEX(Data,MATCH($C14,Line_Items,0),MATCH(LEFT(K$10,4),Fiscal_Periods,0))</f>
        <v>1</v>
      </c>
      <c r="L14" s="952" t="e">
        <f t="array" ref="L14">INDEX(Data,MATCH($C14,Line_Items,0),MATCH(LEFT(L$10,4),Fiscal_Periods,0))</f>
        <v>#N/A</v>
      </c>
      <c r="M14" s="954">
        <f t="shared" ref="M14:P14" si="4">$H14-I14</f>
        <v>0</v>
      </c>
      <c r="N14" s="955">
        <f t="shared" si="4"/>
        <v>0.798</v>
      </c>
      <c r="O14" s="955">
        <f t="shared" si="4"/>
        <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1188.988999999998</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f t="shared" ref="K16:L16" si="7">K15/$H$12</f>
        <v>0.3693638901928834</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613.4595782826818</v>
      </c>
      <c r="I17" s="950">
        <f t="array" ref="I17">INDEX(Data,MATCH($C17,Line_Items,0),MATCH($H$6,Fiscal_Periods,0))</f>
        <v>613.4595782826818</v>
      </c>
      <c r="J17" s="951">
        <v>1952.8</v>
      </c>
      <c r="K17" s="950">
        <f t="array" ref="K17">INDEX(Data,MATCH($C17,Line_Items,0),MATCH(LEFT(K$10,4),Fiscal_Periods,0))</f>
        <v>1133.178999999998</v>
      </c>
      <c r="L17" s="950" t="e">
        <f t="array" ref="L17">INDEX(Data,MATCH($C17,Line_Items,0),MATCH(LEFT(L$10,4),Fiscal_Periods,0))</f>
        <v>#N/A</v>
      </c>
      <c r="M17" s="949">
        <f t="shared" ref="M17:P17" si="9">IFERROR($H17/I17-1,"N/A")</f>
        <v>0</v>
      </c>
      <c r="N17" s="627">
        <f t="shared" si="9"/>
        <v>-0.6858564224279589</v>
      </c>
      <c r="O17" s="627">
        <f t="shared" si="9"/>
        <v>-0.4586384160995899</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f t="shared" ref="H18:I18" si="10">H17/$H$12</f>
        <v>0.1905735177622143</v>
      </c>
      <c r="I18" s="956">
        <f t="shared" si="10"/>
        <v>0.1905735177622143</v>
      </c>
      <c r="J18" s="953">
        <v>0.099</v>
      </c>
      <c r="K18" s="956">
        <f t="shared" ref="K18:L18" si="11">K17/$H$12</f>
        <v>0.35202630446949584</v>
      </c>
      <c r="L18" s="956" t="e">
        <f t="shared" si="11"/>
        <v>#N/A</v>
      </c>
      <c r="M18" s="954">
        <f t="shared" ref="M18:P18" si="12">$H18-I18</f>
        <v>0</v>
      </c>
      <c r="N18" s="955">
        <f t="shared" si="12"/>
        <v>0.09157351776221428</v>
      </c>
      <c r="O18" s="955">
        <f t="shared" si="12"/>
        <v>-0.16145278670728155</v>
      </c>
      <c r="P18" s="955"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1133.178999999998</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f t="shared" ref="K20:L20" si="15">K19/K12</f>
        <v>0.3842816661828575</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5.08731469925385</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48.28526954999998</v>
      </c>
      <c r="I43" s="950">
        <f t="array" ref="I43">INDEX(Data,MATCH($C43,Line_Items,0),MATCH($H$6,Fiscal_Periods,0))</f>
        <v>48.28526954999998</v>
      </c>
      <c r="J43" s="951">
        <v>-668</v>
      </c>
      <c r="K43" s="950">
        <f t="array" ref="K43">INDEX(Data,MATCH($C43,Line_Items,0),MATCH(LEFT(K$40,4),Fiscal_Periods,0))</f>
        <v>0</v>
      </c>
      <c r="L43" s="950" t="e">
        <f t="array" ref="L43">INDEX(Data,MATCH($C43,Line_Items,0),MATCH(LEFT(L$40,4),Fiscal_Periods,0))</f>
        <v>#N/A</v>
      </c>
      <c r="M43" s="949">
        <f t="shared" ref="M43:N43" si="46">IFERROR($H43/I43-1,"N/A")</f>
        <v>0</v>
      </c>
      <c r="N43" s="627">
        <f t="shared" si="46"/>
        <v>-1.0722833376497005</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1170.988999999998</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2026-05-19T15:16:08Z</dcterms:modified>
</cp:coreProperties>
</file>