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220" yWindow="-21000" windowWidth="38400" windowHeight="21000" activeTab="7"/>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rgb="FF000000"/>
            <family val="2"/>
            <sz val="11"/>
            <rFont val="Calibri"/>
          </rPr>
          <t xml:space="preserve">======
</t>
        </r>
        <r>
          <rPr>
            <color rgb="FF000000"/>
            <family val="2"/>
            <sz val="11"/>
            <rFont val="Calibri"/>
          </rPr>
          <t xml:space="preserve">ID#AAABs2OVxYw
</t>
        </r>
        <r>
          <rPr>
            <color rgb="FF000000"/>
            <family val="2"/>
            <sz val="11"/>
            <rFont val="Calibri"/>
          </rPr>
          <t xml:space="preserve">Luke Brennan    (2025-11-08 02:00:03)
</t>
        </r>
        <r>
          <rPr>
            <color rgb="FF000000"/>
            <family val="2"/>
            <sz val="11"/>
            <rFont val="Calibri"/>
          </rPr>
          <t xml:space="preserve">"Check" means everything is good
</t>
        </r>
        <r>
          <rPr>
            <color rgb="FF000000"/>
            <family val="2"/>
            <sz val="11"/>
            <rFont val="Calibri"/>
          </rPr>
          <t xml:space="preserve">Positive number means the BS is asset-heavy
</t>
        </r>
        <r>
          <rPr>
            <color rgb="FF000000"/>
            <family val="2"/>
            <sz val="11"/>
            <rFont val="Calibri"/>
          </rPr>
          <t>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Cannot find exact PP&amp;E schedule depreciation expense in EDGAR, find manually.</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the schedule uses EDGAR issuer-purchase / repurchase-price support, not generic cash-flow repurchase deltas.</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C255" authorId="0">
      <text>
        <r>
          <rPr>
            <b/>
          </rPr>
          <t xml:space="preserve">EDGAR Mapper:
</t>
        </r>
        <r>
          <t>Cannot find exact retained-earnings beginning balance plug in EDGAR, find manually.</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C262" authorId="0">
      <text>
        <r>
          <rPr>
            <b/>
          </rPr>
          <t xml:space="preserve">EDGAR Mapper:
</t>
        </r>
        <r>
          <t>Cannot find exact AOCI beginning balance plug in EDGAR, find manually.</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0" authorId="0">
      <text>
        <r>
          <rPr>
            <b/>
          </rPr>
          <t xml:space="preserve">EDGAR Mapper:
</t>
        </r>
        <r>
          <t>Cannot find exact debt beginning balance plug in EDGAR, find manually.</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Investment Banking &amp; Capital Markets
Mapping type: segment
Concepts used: reportable segment Investment Banking &amp; Capital Markets Revenue = 1744.999 mm
Unit conversion: raw USD to $mm
Sign: copied using model sign convention
Confidence: high
Notes: Segment Analysis is mapped only to reportable segment rows that match the template labels; generic or blank segment rows are left unchanged.</t>
        </r>
      </text>
    </comment>
    <comment ref="G8" authorId="0">
      <text>
        <r>
          <rPr>
            <b/>
          </rPr>
          <t xml:space="preserve">EDGAR Mapper:
</t>
        </r>
        <r>
          <t xml:space="preserve">EDGAR mapping:
Source: SEC inline XBRL segment table
Period: 2Q23
Model row: Segment Analysis!G8 Investment Banking &amp; Capital Markets
Mapping type: segment
Concepts used: reportable segment Investment Banking &amp; Capital Markets Revenue = 1680.825 mm
Unit conversion: raw USD to $mm
Sign: copied using model sign convention
Confidence: high
Notes: Segment Analysis is mapped only to reportable segment rows that match the template labels; generic or blank segment rows are left unchanged.</t>
        </r>
      </text>
    </comment>
    <comment ref="H8" authorId="0">
      <text>
        <r>
          <rPr>
            <b/>
          </rPr>
          <t xml:space="preserve">EDGAR Mapper:
</t>
        </r>
        <r>
          <t xml:space="preserve">EDGAR mapping:
Source: SEC inline XBRL segment table
Period: 3Q23
Model row: Segment Analysis!H8 Investment Banking &amp; Capital Markets
Mapping type: segment
Concepts used: reportable segment Investment Banking &amp; Capital Markets Revenue = 2076.015 mm
Unit conversion: raw USD to $mm
Sign: copied using model sign convention
Confidence: high
Notes: Segment Analysis is mapped only to reportable segment rows that match the template labels; generic or blank segment rows are left unchanged.</t>
        </r>
      </text>
    </comment>
    <comment ref="I8" authorId="0">
      <text>
        <r>
          <rPr>
            <b/>
          </rPr>
          <t xml:space="preserve">EDGAR Mapper:
</t>
        </r>
        <r>
          <t xml:space="preserve">EDGAR mapping:
Source: SEC inline XBRL segment table
Period: 4Q23
Model row: Segment Analysis!I8 Investment Banking &amp; Capital Markets
Mapping type: segment
Concepts used: reportable segment Investment Banking &amp; Capital Markets Revenue = 1855.049 mm
Unit conversion: raw USD to $mm
Sign: copied using model sign convention
Confidence: high
Notes: Segment Analysis is mapped only to reportable segment rows that match the template labels; generic or blank segment rows are left unchanged.</t>
        </r>
      </text>
    </comment>
    <comment ref="K8" authorId="0">
      <text>
        <r>
          <rPr>
            <b/>
          </rPr>
          <t xml:space="preserve">EDGAR Mapper:
</t>
        </r>
        <r>
          <t xml:space="preserve">EDGAR mapping:
Source: SEC inline XBRL segment table
Period: 1Q24
Model row: Segment Analysis!K8 Investment Banking &amp; Capital Markets
Mapping type: segment
Concepts used: reportable segment Investment Banking &amp; Capital Markets Revenue = 2384.833 mm
Unit conversion: raw USD to $mm
Sign: copied using model sign convention
Confidence: high
Notes: Segment Analysis is mapped only to reportable segment rows that match the template labels; generic or blank segment rows are left unchanged.</t>
        </r>
      </text>
    </comment>
    <comment ref="L8" authorId="0">
      <text>
        <r>
          <rPr>
            <b/>
          </rPr>
          <t xml:space="preserve">EDGAR Mapper:
</t>
        </r>
        <r>
          <t xml:space="preserve">EDGAR mapping:
Source: SEC inline XBRL segment table
Period: 2Q24
Model row: Segment Analysis!L8 Investment Banking &amp; Capital Markets
Mapping type: segment
Concepts used: reportable segment Investment Banking &amp; Capital Markets Revenue = 2306.288 mm
Unit conversion: raw USD to $mm
Sign: copied using model sign convention
Confidence: high
Notes: Segment Analysis is mapped only to reportable segment rows that match the template labels; generic or blank segment rows are left unchanged.</t>
        </r>
      </text>
    </comment>
    <comment ref="M8" authorId="0">
      <text>
        <r>
          <rPr>
            <b/>
          </rPr>
          <t xml:space="preserve">EDGAR Mapper:
</t>
        </r>
        <r>
          <t xml:space="preserve">EDGAR mapping:
Source: SEC inline XBRL segment table
Period: 3Q24
Model row: Segment Analysis!M8 Investment Banking &amp; Capital Markets
Mapping type: segment
Concepts used: reportable segment Investment Banking &amp; Capital Markets Revenue = 1195.818 mm
Unit conversion: raw USD to $mm
Sign: copied using model sign convention
Confidence: high
Notes: Segment Analysis is mapped only to reportable segment rows that match the template labels; generic or blank segment rows are left unchanged.</t>
        </r>
      </text>
    </comment>
    <comment ref="N8" authorId="0">
      <text>
        <r>
          <rPr>
            <b/>
          </rPr>
          <t xml:space="preserve">EDGAR Mapper:
</t>
        </r>
        <r>
          <t xml:space="preserve">EDGAR mapping:
Source: SEC inline XBRL segment table
Period: 4Q24
Model row: Segment Analysis!N8 Investment Banking &amp; Capital Markets
Mapping type: segment
Concepts used: reportable segment Investment Banking &amp; Capital Markets Revenue = 3867.93 mm
Unit conversion: raw USD to $mm
Sign: copied using model sign convention
Confidence: high
Notes: Segment Analysis is mapped only to reportable segment rows that match the template labels; generic or blank segment rows are left unchanged.</t>
        </r>
      </text>
    </comment>
    <comment ref="P8" authorId="0">
      <text>
        <r>
          <rPr>
            <b/>
          </rPr>
          <t xml:space="preserve">EDGAR Mapper:
</t>
        </r>
        <r>
          <t xml:space="preserve">EDGAR mapping:
Source: SEC inline XBRL segment table
Period: 1Q25
Model row: Segment Analysis!P8 Investment Banking &amp; Capital Markets
Mapping type: segment
Concepts used: reportable segment Investment Banking &amp; Capital Markets Revenue = 2270.211 mm
Unit conversion: raw USD to $mm
Sign: copied using model sign convention
Confidence: high
Notes: Segment Analysis is mapped only to reportable segment rows that match the template labels; generic or blank segment rows are left unchanged.</t>
        </r>
      </text>
    </comment>
    <comment ref="Q8" authorId="0">
      <text>
        <r>
          <rPr>
            <b/>
          </rPr>
          <t xml:space="preserve">EDGAR Mapper:
</t>
        </r>
        <r>
          <t xml:space="preserve">EDGAR mapping:
Source: SEC inline XBRL segment table
Period: 2Q25
Model row: Segment Analysis!Q8 Investment Banking &amp; Capital Markets
Mapping type: segment
Concepts used: reportable segment Investment Banking &amp; Capital Markets Revenue = 2359.034 mm
Unit conversion: raw USD to $mm
Sign: copied using model sign convention
Confidence: high
Notes: Segment Analysis is mapped only to reportable segment rows that match the template labels; generic or blank segment rows are left unchanged.</t>
        </r>
      </text>
    </comment>
    <comment ref="R8" authorId="0">
      <text>
        <r>
          <rPr>
            <b/>
          </rPr>
          <t xml:space="preserve">EDGAR Mapper:
</t>
        </r>
        <r>
          <t xml:space="preserve">EDGAR mapping:
Source: SEC inline XBRL segment table
Period: 3Q25
Model row: Segment Analysis!R8 Investment Banking &amp; Capital Markets
Mapping type: segment
Concepts used: reportable segment Investment Banking &amp; Capital Markets Revenue = 2747.162 mm
Unit conversion: raw USD to $mm
Sign: copied using model sign convention
Confidence: high
Notes: Segment Analysis is mapped only to reportable segment rows that match the template labels; generic or blank segment rows are left unchanged.</t>
        </r>
      </text>
    </comment>
    <comment ref="S8" authorId="0">
      <text>
        <r>
          <rPr>
            <b/>
          </rPr>
          <t xml:space="preserve">EDGAR Mapper:
</t>
        </r>
        <r>
          <t xml:space="preserve">EDGAR mapping:
Source: SEC inline XBRL segment table
Period: 4Q25
Model row: Segment Analysis!S8 Investment Banking &amp; Capital Markets
Mapping type: segment
Concepts used: reportable segment Investment Banking &amp; Capital Markets Revenue = 2758.913 mm
Unit conversion: raw USD to $mm
Sign: copied using model sign convention
Confidence: high
Notes: Segment Analysis is mapped only to reportable segment rows that match the template labels; generic or blank segment rows are left unchanged.</t>
        </r>
      </text>
    </commen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9" authorId="0">
      <text>
        <r>
          <rPr>
            <b/>
          </rPr>
          <t xml:space="preserve">EDGAR Mapper:
</t>
        </r>
        <r>
          <t xml:space="preserve">EDGAR mapping:
Source: SEC inline XBRL segment table
Period: 1Q23
Model row: Segment Analysis!F9 Asset Management and Other
Mapping type: segment
Concepts used: reportable segment Asset Management and Other Revenue = 35.865 mm
Unit conversion: raw USD to $mm
Sign: copied using model sign convention
Confidence: high
Notes: Segment Analysis is mapped only to reportable segment rows that match the template labels; generic or blank segment rows are left unchanged.</t>
        </r>
      </text>
    </comment>
    <comment ref="G9" authorId="0">
      <text>
        <r>
          <rPr>
            <b/>
          </rPr>
          <t xml:space="preserve">EDGAR Mapper:
</t>
        </r>
        <r>
          <t xml:space="preserve">EDGAR mapping:
Source: SEC inline XBRL segment table
Period: 2Q23
Model row: Segment Analysis!G9 Asset Management and Other
Mapping type: segment
Concepts used: reportable segment Asset Management and Other Revenue = -30.243 mm
Unit conversion: raw USD to $mm
Sign: copied using model sign convention
Confidence: high
Notes: Segment Analysis is mapped only to reportable segment rows that match the template labels; generic or blank segment rows are left unchanged.</t>
        </r>
      </text>
    </comment>
    <comment ref="H9" authorId="0">
      <text>
        <r>
          <rPr>
            <b/>
          </rPr>
          <t xml:space="preserve">EDGAR Mapper:
</t>
        </r>
        <r>
          <t xml:space="preserve">EDGAR mapping:
Source: SEC inline XBRL segment table
Period: 3Q23
Model row: Segment Analysis!H9 Asset Management and Other
Mapping type: segment
Concepts used: reportable segment Asset Management and Other Revenue = -34.4 mm
Unit conversion: raw USD to $mm
Sign: copied using model sign convention
Confidence: high
Notes: Segment Analysis is mapped only to reportable segment rows that match the template labels; generic or blank segment rows are left unchanged.</t>
        </r>
      </text>
    </comment>
    <comment ref="I9" authorId="0">
      <text>
        <r>
          <rPr>
            <b/>
          </rPr>
          <t xml:space="preserve">EDGAR Mapper:
</t>
        </r>
        <r>
          <t xml:space="preserve">EDGAR mapping:
Source: SEC inline XBRL segment table
Period: 4Q23
Model row: Segment Analysis!I9 Asset Management and Other
Mapping type: segment
Concepts used: reportable segment Asset Management and Other Revenue = 113.189 mm
Unit conversion: raw USD to $mm
Sign: copied using model sign convention
Confidence: high
Notes: Segment Analysis is mapped only to reportable segment rows that match the template labels; generic or blank segment rows are left unchanged.</t>
        </r>
      </text>
    </comment>
    <comment ref="K9" authorId="0">
      <text>
        <r>
          <rPr>
            <b/>
          </rPr>
          <t xml:space="preserve">EDGAR Mapper:
</t>
        </r>
        <r>
          <t xml:space="preserve">EDGAR mapping:
Source: SEC inline XBRL segment table
Period: 1Q24
Model row: Segment Analysis!K9 Asset Management and Other
Mapping type: segment
Concepts used: reportable segment Asset Management and Other Revenue = 167.109 mm
Unit conversion: raw USD to $mm
Sign: copied using model sign convention
Confidence: high
Notes: Segment Analysis is mapped only to reportable segment rows that match the template labels; generic or blank segment rows are left unchanged.</t>
        </r>
      </text>
    </comment>
    <comment ref="L9" authorId="0">
      <text>
        <r>
          <rPr>
            <b/>
          </rPr>
          <t xml:space="preserve">EDGAR Mapper:
</t>
        </r>
        <r>
          <t xml:space="preserve">EDGAR mapping:
Source: SEC inline XBRL segment table
Period: 2Q24
Model row: Segment Analysis!L9 Asset Management and Other
Mapping type: segment
Concepts used: reportable segment Asset Management and Other Revenue = 210.008 mm
Unit conversion: raw USD to $mm
Sign: copied using model sign convention
Confidence: high
Notes: Segment Analysis is mapped only to reportable segment rows that match the template labels; generic or blank segment rows are left unchanged.</t>
        </r>
      </text>
    </comment>
    <comment ref="M9" authorId="0">
      <text>
        <r>
          <rPr>
            <b/>
          </rPr>
          <t xml:space="preserve">EDGAR Mapper:
</t>
        </r>
        <r>
          <t xml:space="preserve">EDGAR mapping:
Source: SEC inline XBRL segment table
Period: 3Q24
Model row: Segment Analysis!M9 Asset Management and Other
Mapping type: segment
Concepts used: reportable segment Asset Management and Other Revenue = 26.827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N9" authorId="0">
      <text>
        <r>
          <rPr>
            <b/>
          </rPr>
          <t xml:space="preserve">EDGAR Mapper:
</t>
        </r>
        <r>
          <t xml:space="preserve">EDGAR mapping:
Source: SEC inline XBRL segment table
Period: 4Q24
Model row: Segment Analysis!N9 Asset Management and Other
Mapping type: segment
Concepts used: reportable segment Asset Management and Other Revenue = 356.256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P9" authorId="0">
      <text>
        <r>
          <rPr>
            <b/>
          </rPr>
          <t xml:space="preserve">EDGAR Mapper:
</t>
        </r>
        <r>
          <t xml:space="preserve">EDGAR mapping:
Source: SEC inline XBRL segment table
Period: 1Q25
Model row: Segment Analysis!P9 Asset Management and Other
Mapping type: segment
Concepts used: reportable segment Asset Management and Other Revenue = 202.653 mm
Unit conversion: raw USD to $mm
Sign: copied using model sign convention
Confidence: high
Notes: Segment Analysis is mapped only to reportable segment rows that match the template labels; generic or blank segment rows are left unchanged.</t>
        </r>
      </text>
    </comment>
    <comment ref="Q9" authorId="0">
      <text>
        <r>
          <rPr>
            <b/>
          </rPr>
          <t xml:space="preserve">EDGAR Mapper:
</t>
        </r>
        <r>
          <t xml:space="preserve">EDGAR mapping:
Source: SEC inline XBRL segment table
Period: 2Q25
Model row: Segment Analysis!Q9 Asset Management and Other
Mapping type: segment
Concepts used: reportable segment Asset Management and Other Revenue = 135.281 mm
Unit conversion: raw USD to $mm
Sign: copied using model sign convention
Confidence: high
Notes: Segment Analysis is mapped only to reportable segment rows that match the template labels; generic or blank segment rows are left unchanged.</t>
        </r>
      </text>
    </comment>
    <comment ref="R9" authorId="0">
      <text>
        <r>
          <rPr>
            <b/>
          </rPr>
          <t xml:space="preserve">EDGAR Mapper:
</t>
        </r>
        <r>
          <t xml:space="preserve">EDGAR mapping:
Source: SEC inline XBRL segment table
Period: 3Q25
Model row: Segment Analysis!R9 Asset Management and Other
Mapping type: segment
Concepts used: reportable segment Asset Management and Other Revenue = 160.512 mm
Unit conversion: raw USD to $mm
Sign: copied using model sign convention
Confidence: high
Notes: Segment Analysis is mapped only to reportable segment rows that match the template labels; generic or blank segment rows are left unchanged.</t>
        </r>
      </text>
    </comment>
    <comment ref="S9" authorId="0">
      <text>
        <r>
          <rPr>
            <b/>
          </rPr>
          <t xml:space="preserve">EDGAR Mapper:
</t>
        </r>
        <r>
          <t xml:space="preserve">EDGAR mapping:
Source: SEC inline XBRL segment table
Period: 4Q25
Model row: Segment Analysis!S9 Asset Management and Other
Mapping type: segment
Concepts used: reportable segment Asset Management and Other Revenue = 189.911 mm
Unit conversion: raw USD to $mm
Sign: copied using model sign convention
Confidence: high
Notes: Segment Analysis is mapped only to reportable segment rows that match the template labels; generic or blank segment rows are left unchanged.</t>
        </r>
      </text>
    </comment>
    <comment ref="F34" authorId="0">
      <text>
        <r>
          <rPr>
            <b/>
          </rPr>
          <t xml:space="preserve">EDGAR Mapper:
</t>
        </r>
        <r>
          <t xml:space="preserve">EDGAR mapping:
Source: SEC inline XBRL segment table
Period: 1Q23
Model row: Segment Analysis!F34 Investment Banking &amp; Capital Markets
Mapping type: segment
Concepts used: reportable segment Investment Banking &amp; Capital Markets Operating Income = 172.2 mm
Unit conversion: raw USD to $mm
Sign: copied using model sign convention
Confidence: high
Notes: Segment Analysis is mapped only to reportable segment rows that match the template labels; generic or blank segment rows are left unchanged.</t>
        </r>
      </text>
    </comment>
    <comment ref="G34" authorId="0">
      <text>
        <r>
          <rPr>
            <b/>
          </rPr>
          <t xml:space="preserve">EDGAR Mapper:
</t>
        </r>
        <r>
          <t xml:space="preserve">EDGAR mapping:
Source: SEC inline XBRL segment table
Period: 2Q23
Model row: Segment Analysis!G34 Investment Banking &amp; Capital Markets
Mapping type: segment
Concepts used: reportable segment Investment Banking &amp; Capital Markets Operating Income = 104.5 mm
Unit conversion: raw USD to $mm
Sign: copied using model sign convention
Confidence: high
Notes: Segment Analysis is mapped only to reportable segment rows that match the template labels; generic or blank segment rows are left unchanged.</t>
        </r>
      </text>
    </comment>
    <comment ref="H34" authorId="0">
      <text>
        <r>
          <rPr>
            <b/>
          </rPr>
          <t xml:space="preserve">EDGAR Mapper:
</t>
        </r>
        <r>
          <t xml:space="preserve">EDGAR mapping:
Source: SEC inline XBRL segment table
Period: 3Q23
Model row: Segment Analysis!H34 Investment Banking &amp; Capital Markets
Mapping type: segment
Concepts used: reportable segment Investment Banking &amp; Capital Markets Operating Income = 155.1 mm
Unit conversion: raw USD to $mm
Sign: copied using model sign convention
Confidence: high
Notes: Segment Analysis is mapped only to reportable segment rows that match the template labels; generic or blank segment rows are left unchanged.</t>
        </r>
      </text>
    </comment>
    <comment ref="I34" authorId="0">
      <text>
        <r>
          <rPr>
            <b/>
          </rPr>
          <t xml:space="preserve">EDGAR Mapper:
</t>
        </r>
        <r>
          <t xml:space="preserve">EDGAR mapping:
Source: SEC inline XBRL segment table
Period: 4Q23
Model row: Segment Analysis!I34 Investment Banking &amp; Capital Markets
Mapping type: segment
Concepts used: reportable segment Investment Banking &amp; Capital Markets Operating Income = 77.5 mm
Unit conversion: raw USD to $mm
Sign: copied using model sign convention
Confidence: high
Notes: Segment Analysis is mapped only to reportable segment rows that match the template labels; generic or blank segment rows are left unchanged.</t>
        </r>
      </text>
    </comment>
    <comment ref="K34" authorId="0">
      <text>
        <r>
          <rPr>
            <b/>
          </rPr>
          <t xml:space="preserve">EDGAR Mapper:
</t>
        </r>
        <r>
          <t xml:space="preserve">EDGAR mapping:
Source: SEC inline XBRL segment table
Period: 1Q24
Model row: Segment Analysis!K34 Investment Banking &amp; Capital Markets
Mapping type: segment
Concepts used: reportable segment Investment Banking &amp; Capital Markets Operating Income = 155 mm
Unit conversion: raw USD to $mm
Sign: copied using model sign convention
Confidence: high
Notes: Segment Analysis is mapped only to reportable segment rows that match the template labels; generic or blank segment rows are left unchanged.</t>
        </r>
      </text>
    </comment>
    <comment ref="L34" authorId="0">
      <text>
        <r>
          <rPr>
            <b/>
          </rPr>
          <t xml:space="preserve">EDGAR Mapper:
</t>
        </r>
        <r>
          <t xml:space="preserve">EDGAR mapping:
Source: SEC inline XBRL segment table
Period: 2Q24
Model row: Segment Analysis!L34 Investment Banking &amp; Capital Markets
Mapping type: segment
Concepts used: reportable segment Investment Banking &amp; Capital Markets Operating Income = 251.3 mm
Unit conversion: raw USD to $mm
Sign: copied using model sign convention
Confidence: high
Notes: Segment Analysis is mapped only to reportable segment rows that match the template labels; generic or blank segment rows are left unchanged.</t>
        </r>
      </text>
    </comment>
    <comment ref="M34" authorId="0">
      <text>
        <r>
          <rPr>
            <b/>
          </rPr>
          <t xml:space="preserve">EDGAR Mapper:
</t>
        </r>
        <r>
          <t xml:space="preserve">EDGAR mapping:
Source: SEC inline XBRL segment table
Period: 3Q24
Model row: Segment Analysis!M34 Investment Banking &amp; Capital Markets
Mapping type: segment
Concepts used: reportable segment Investment Banking &amp; Capital Markets Operating Income = 368.5 mm
Unit conversion: raw USD to $mm
Sign: copied using model sign convention
Confidence: high
Notes: Segment Analysis is mapped only to reportable segment rows that match the template labels; generic or blank segment rows are left unchanged.</t>
        </r>
      </text>
    </comment>
    <comment ref="N34" authorId="0">
      <text>
        <r>
          <rPr>
            <b/>
          </rPr>
          <t xml:space="preserve">EDGAR Mapper:
</t>
        </r>
        <r>
          <t xml:space="preserve">EDGAR mapping:
Source: SEC inline XBRL segment table
Period: 4Q24
Model row: Segment Analysis!N34 Investment Banking &amp; Capital Markets
Mapping type: segment
Concepts used: reportable segment Investment Banking &amp; Capital Markets Operating Income = 248 mm
Unit conversion: raw USD to $mm
Sign: copied using model sign convention
Confidence: high
Notes: Segment Analysis is mapped only to reportable segment rows that match the template labels; generic or blank segment rows are left unchanged.</t>
        </r>
      </text>
    </comment>
    <comment ref="P34" authorId="0">
      <text>
        <r>
          <rPr>
            <b/>
          </rPr>
          <t xml:space="preserve">EDGAR Mapper:
</t>
        </r>
        <r>
          <t xml:space="preserve">EDGAR mapping:
Source: SEC inline XBRL segment table
Period: 1Q25
Model row: Segment Analysis!P34 Investment Banking &amp; Capital Markets
Mapping type: segment
Concepts used: reportable segment Investment Banking &amp; Capital Markets Operating Income = 167 mm
Unit conversion: raw USD to $mm
Sign: copied using model sign convention
Confidence: high
Notes: Segment Analysis is mapped only to reportable segment rows that match the template labels; generic or blank segment rows are left unchanged.</t>
        </r>
      </text>
    </comment>
    <comment ref="Q34" authorId="0">
      <text>
        <r>
          <rPr>
            <b/>
          </rPr>
          <t xml:space="preserve">EDGAR Mapper:
</t>
        </r>
        <r>
          <t xml:space="preserve">EDGAR mapping:
Source: SEC inline XBRL segment table
Period: 2Q25
Model row: Segment Analysis!Q34 Investment Banking &amp; Capital Markets
Mapping type: segment
Concepts used: reportable segment Investment Banking &amp; Capital Markets Operating Income = 188.3 mm
Unit conversion: raw USD to $mm
Sign: copied using model sign convention
Confidence: high
Notes: Segment Analysis is mapped only to reportable segment rows that match the template labels; generic or blank segment rows are left unchanged.</t>
        </r>
      </text>
    </comment>
    <comment ref="R34" authorId="0">
      <text>
        <r>
          <rPr>
            <b/>
          </rPr>
          <t xml:space="preserve">EDGAR Mapper:
</t>
        </r>
        <r>
          <t xml:space="preserve">EDGAR mapping:
Source: SEC inline XBRL segment table
Period: 3Q25
Model row: Segment Analysis!R34 Investment Banking &amp; Capital Markets
Mapping type: segment
Concepts used: reportable segment Investment Banking &amp; Capital Markets Operating Income = 336.3 mm
Unit conversion: raw USD to $mm
Sign: copied using model sign convention
Confidence: high
Notes: Segment Analysis is mapped only to reportable segment rows that match the template labels; generic or blank segment rows are left unchanged.</t>
        </r>
      </text>
    </comment>
    <comment ref="S34" authorId="0">
      <text>
        <r>
          <rPr>
            <b/>
          </rPr>
          <t xml:space="preserve">EDGAR Mapper:
</t>
        </r>
        <r>
          <t xml:space="preserve">EDGAR mapping:
Source: SEC inline XBRL segment table
Period: 4Q25
Model row: Segment Analysis!S34 Investment Banking &amp; Capital Markets
Mapping type: segment
Concepts used: reportable segment Investment Banking &amp; Capital Markets Operating Income = 290.5 mm
Unit conversion: raw USD to $mm
Sign: copied using model sign convention
Confidence: high
Notes: Segment Analysis is mapped only to reportable segment rows that match the template labels; generic or blank segment rows are left unchanged.</t>
        </r>
      </text>
    </comment>
    <comment ref="F35" authorId="0">
      <text>
        <r>
          <rPr>
            <b/>
          </rPr>
          <t xml:space="preserve">EDGAR Mapper:
</t>
        </r>
        <r>
          <t xml:space="preserve">EDGAR mapping:
Source: SEC inline XBRL segment table
Period: 1Q23
Model row: Segment Analysis!F35 Asset Management and Other
Mapping type: segment
Concepts used: reportable segment Asset Management and Other Operating Income = -12.1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G35" authorId="0">
      <text>
        <r>
          <rPr>
            <b/>
          </rPr>
          <t xml:space="preserve">EDGAR Mapper:
</t>
        </r>
        <r>
          <t xml:space="preserve">EDGAR mapping:
Source: SEC inline XBRL segment table
Period: 2Q23
Model row: Segment Analysis!G35 Asset Management and Other
Mapping type: segment
Concepts used: reportable segment Asset Management and Other Operating Income = -94.1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H35" authorId="0">
      <text>
        <r>
          <rPr>
            <b/>
          </rPr>
          <t xml:space="preserve">EDGAR Mapper:
</t>
        </r>
        <r>
          <t xml:space="preserve">EDGAR mapping:
Source: SEC inline XBRL segment table
Period: 3Q23
Model row: Segment Analysis!H35 Asset Management and Other
Mapping type: segment
Concepts used: reportable segment Asset Management and Other Operating Income = -67.8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I35" authorId="0">
      <text>
        <r>
          <rPr>
            <b/>
          </rPr>
          <t xml:space="preserve">EDGAR Mapper:
</t>
        </r>
        <r>
          <t xml:space="preserve">EDGAR mapping:
Source: SEC inline XBRL segment table
Period: 4Q23
Model row: Segment Analysis!I35 Asset Management and Other
Mapping type: segment
Concepts used: reportable segment Asset Management and Other Operating Income = 11.3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K35" authorId="0">
      <text>
        <r>
          <rPr>
            <b/>
          </rPr>
          <t xml:space="preserve">EDGAR Mapper:
</t>
        </r>
        <r>
          <t xml:space="preserve">EDGAR mapping:
Source: SEC inline XBRL segment table
Period: 1Q24
Model row: Segment Analysis!K35 Asset Management and Other
Mapping type: segment
Concepts used: reportable segment Asset Management and Other Operating Income = 51.7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L35" authorId="0">
      <text>
        <r>
          <rPr>
            <b/>
          </rPr>
          <t xml:space="preserve">EDGAR Mapper:
</t>
        </r>
        <r>
          <t xml:space="preserve">EDGAR mapping:
Source: SEC inline XBRL segment table
Period: 2Q24
Model row: Segment Analysis!L35 Asset Management and Other
Mapping type: segment
Concepts used: reportable segment Asset Management and Other Operating Income = -29.1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M35" authorId="0">
      <text>
        <r>
          <rPr>
            <b/>
          </rPr>
          <t xml:space="preserve">EDGAR Mapper:
</t>
        </r>
        <r>
          <t xml:space="preserve">EDGAR mapping:
Source: SEC inline XBRL segment table
Period: 3Q24
Model row: Segment Analysis!M35 Asset Management and Other
Mapping type: segment
Concepts used: reportable segment Asset Management and Other Operating Income = -120.3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N35" authorId="0">
      <text>
        <r>
          <rPr>
            <b/>
          </rPr>
          <t xml:space="preserve">EDGAR Mapper:
</t>
        </r>
        <r>
          <t xml:space="preserve">EDGAR mapping:
Source: SEC inline XBRL segment table
Period: 4Q24
Model row: Segment Analysis!N35 Asset Management and Other
Mapping type: segment
Concepts used: reportable segment Asset Management and Other Operating Income = 53.6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P35" authorId="0">
      <text>
        <r>
          <rPr>
            <b/>
          </rPr>
          <t xml:space="preserve">EDGAR Mapper:
</t>
        </r>
        <r>
          <t xml:space="preserve">EDGAR mapping:
Source: SEC inline XBRL segment table
Period: 1Q25
Model row: Segment Analysis!P35 Asset Management and Other
Mapping type: segment
Concepts used: reportable segment Asset Management and Other Operating Income = -18.2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Q35" authorId="0">
      <text>
        <r>
          <rPr>
            <b/>
          </rPr>
          <t xml:space="preserve">EDGAR Mapper:
</t>
        </r>
        <r>
          <t xml:space="preserve">EDGAR mapping:
Source: SEC inline XBRL segment table
Period: 2Q25
Model row: Segment Analysis!Q35 Asset Management and Other
Mapping type: segment
Concepts used: reportable segment Asset Management and Other Operating Income = -62.7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R35" authorId="0">
      <text>
        <r>
          <rPr>
            <b/>
          </rPr>
          <t xml:space="preserve">EDGAR Mapper:
</t>
        </r>
        <r>
          <t xml:space="preserve">EDGAR mapping:
Source: SEC inline XBRL segment table
Period: 3Q25
Model row: Segment Analysis!R35 Asset Management and Other
Mapping type: segment
Concepts used: reportable segment Asset Management and Other Operating Income = -16.3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S35" authorId="0">
      <text>
        <r>
          <rPr>
            <b/>
          </rPr>
          <t xml:space="preserve">EDGAR Mapper:
</t>
        </r>
        <r>
          <t xml:space="preserve">EDGAR mapping:
Source: SEC inline XBRL segment table
Period: 4Q25
Model row: Segment Analysis!S35 Asset Management and Other
Mapping type: segment
Concepts used: reportable segment Asset Management and Other Operating Income = 125.3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2" authorId="0">
      <text>
        <r>
          <rPr>
            <b/>
          </rPr>
          <t xml:space="preserve">EDGAR Mapper:
</t>
        </r>
        <r>
          <t xml:space="preserve">EDGAR mapping:
Source: SEC inline XBRL segment table
Period: 1Q23
Model row: Segment Analysis!F52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K52" authorId="0">
      <text>
        <r>
          <rPr>
            <b/>
          </rPr>
          <t xml:space="preserve">EDGAR Mapper:
</t>
        </r>
        <r>
          <t xml:space="preserve">EDGAR mapping:
Source: SEC inline XBRL segment table
Period: 1Q24
Model row: Segment Analysis!K52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P52" authorId="0">
      <text>
        <r>
          <rPr>
            <b/>
          </rPr>
          <t xml:space="preserve">EDGAR Mapper:
</t>
        </r>
        <r>
          <t xml:space="preserve">EDGAR mapping:
Source: SEC inline XBRL segment table
Period: 1Q25
Model row: Segment Analysis!P52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<sst xmlns="http://schemas.openxmlformats.org/spreadsheetml/2006/main" count="9398" uniqueCount="2308">
  <si>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</si>
  <si>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</si>
  <si>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</si>
  <si>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</si>
  <si>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</si>
  <si>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</si>
  <si>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</si>
  <si>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</si>
  <si>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</si>
  <si>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</si>
  <si>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</si>
  <si>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</si>
  <si>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</si>
  <si>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</si>
  <si>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</si>
  <si>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</si>
  <si>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</si>
  <si>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</si>
  <si>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</si>
  <si>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</si>
  <si>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</si>
  <si>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</si>
  <si>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</si>
  <si>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</si>
  <si>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</si>
  <si>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</si>
  <si>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</si>
  <si>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</si>
  <si>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</si>
  <si>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</si>
  <si>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</si>
  <si>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</si>
  <si>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</si>
  <si>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</si>
  <si>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</si>
  <si>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</si>
  <si>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</si>
  <si>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</si>
  <si>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</si>
  <si>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</si>
  <si>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</si>
  <si>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</si>
  <si>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</si>
  <si>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</si>
  <si>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</si>
  <si>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</si>
  <si>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</si>
  <si>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</si>
  <si>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</si>
  <si>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</si>
  <si>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</si>
  <si>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</si>
  <si>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</si>
  <si>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</si>
  <si>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</si>
  <si>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</si>
  <si>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</si>
  <si>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</si>
  <si>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</si>
  <si>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</si>
  <si>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</si>
  <si>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</si>
  <si>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</si>
  <si>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</si>
  <si>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</si>
  <si>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</si>
  <si>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</si>
  <si>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</si>
  <si>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</si>
  <si>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</si>
  <si>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</si>
  <si>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</si>
  <si>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</si>
  <si>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</si>
  <si>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</si>
  <si>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</si>
  <si>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</si>
  <si>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</si>
  <si>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</si>
  <si>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</si>
  <si>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</si>
  <si>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</si>
  <si>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</si>
  <si>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</si>
  <si>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</si>
  <si>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</si>
  <si>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</si>
  <si>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</si>
  <si>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</si>
  <si>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</si>
  <si>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</si>
  <si>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</si>
  <si>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</si>
  <si>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</si>
  <si>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</si>
  <si>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</si>
  <si>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</si>
  <si>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</si>
  <si>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</si>
  <si>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</si>
  <si>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</si>
  <si>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</si>
  <si>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</si>
  <si>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</si>
  <si>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</si>
  <si>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</si>
  <si>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</si>
  <si>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</si>
  <si>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</si>
  <si>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</si>
  <si>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</si>
  <si>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</si>
  <si>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</si>
  <si>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</si>
  <si>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</si>
  <si>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</si>
  <si>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</si>
  <si>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</si>
  <si>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</si>
  <si>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</si>
  <si>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</si>
  <si>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</si>
  <si>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</si>
  <si>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</si>
  <si>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</si>
  <si>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</si>
  <si>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</si>
  <si>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</si>
  <si>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</si>
  <si>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</si>
  <si>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</si>
  <si>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</si>
  <si>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</si>
  <si>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</si>
  <si>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</si>
  <si>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</si>
  <si>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</si>
  <si>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</si>
  <si>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</si>
  <si>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</si>
  <si>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</si>
  <si>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</si>
  <si>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</si>
  <si>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</si>
  <si>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</si>
  <si>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</si>
  <si>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</si>
  <si>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</si>
  <si>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</si>
  <si>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</si>
  <si>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</si>
  <si>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</si>
  <si>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</si>
  <si>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</si>
  <si>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</si>
  <si>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</si>
  <si>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</si>
  <si>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</si>
  <si>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</si>
  <si>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</si>
  <si>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</si>
  <si>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</si>
  <si>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</si>
  <si>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</si>
  <si>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</si>
  <si>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</si>
  <si>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</si>
  <si>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</si>
  <si>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</si>
  <si>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</si>
  <si>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</si>
  <si>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</si>
  <si>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</si>
  <si>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</si>
  <si>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</si>
  <si>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</si>
  <si>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</si>
  <si>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</si>
  <si>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</si>
  <si>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</si>
  <si>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</si>
  <si>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</si>
  <si>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</si>
  <si>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</si>
  <si>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</si>
  <si>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</si>
  <si>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</si>
  <si>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</si>
  <si>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</si>
  <si>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</si>
  <si>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</si>
  <si>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</si>
  <si>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</si>
  <si>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</si>
  <si>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</si>
  <si>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</si>
  <si>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</si>
  <si>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</si>
  <si>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</si>
  <si>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</si>
  <si>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</si>
  <si>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</si>
  <si>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</si>
  <si>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</si>
  <si>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</si>
  <si>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</si>
  <si>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</si>
  <si>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</si>
  <si>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</si>
  <si>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</si>
  <si>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</si>
  <si>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</si>
  <si>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</si>
  <si>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</si>
  <si>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</si>
  <si>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</si>
  <si>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</si>
  <si>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</si>
  <si>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</si>
  <si>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</si>
  <si>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</si>
  <si>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</si>
  <si>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</si>
  <si>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</si>
  <si>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</si>
  <si>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</si>
  <si>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</si>
  <si>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</si>
  <si>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</si>
  <si>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</si>
  <si>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</si>
  <si>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</si>
  <si>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</si>
  <si>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</si>
  <si>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</si>
  <si>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</si>
  <si>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</si>
  <si>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</si>
  <si>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</si>
  <si>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</si>
  <si>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</si>
  <si>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</si>
  <si>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</si>
  <si>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</si>
  <si>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</si>
  <si>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</si>
  <si>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</si>
  <si>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</si>
  <si>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</si>
  <si>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</si>
  <si>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</si>
  <si>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</si>
  <si>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</si>
  <si>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</si>
  <si>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</si>
  <si>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</si>
  <si>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</si>
  <si>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</si>
  <si>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</si>
  <si>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</si>
  <si>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</si>
  <si>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</si>
  <si>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</si>
  <si>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</si>
  <si>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</si>
  <si>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</si>
  <si>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</si>
  <si>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</si>
  <si>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</si>
  <si>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</si>
  <si>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</si>
  <si>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</si>
  <si>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</si>
  <si>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</si>
  <si>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</si>
  <si>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</si>
  <si>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</si>
  <si>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</si>
  <si>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</si>
  <si>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</si>
  <si>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</si>
  <si>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</si>
  <si>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</si>
  <si>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</si>
  <si>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</si>
  <si>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</si>
  <si>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</si>
  <si>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</si>
  <si>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</si>
  <si>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</si>
  <si>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</si>
  <si>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</si>
  <si>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</si>
  <si>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</si>
  <si>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</si>
  <si>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</si>
  <si>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</si>
  <si>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</si>
  <si>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</si>
  <si>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</si>
  <si>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</si>
  <si>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</si>
  <si>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</si>
  <si>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</si>
  <si>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</si>
  <si>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</si>
  <si>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</si>
  <si>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</si>
  <si>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</si>
  <si>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</si>
  <si>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</si>
  <si>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</si>
  <si>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</si>
  <si>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</si>
  <si>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</si>
  <si>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</si>
  <si>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</si>
  <si>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</si>
  <si>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</si>
  <si>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</si>
  <si>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</si>
  <si>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</si>
  <si>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</si>
  <si>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</si>
  <si>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</si>
  <si>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</si>
  <si>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</si>
  <si>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</si>
  <si>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</si>
  <si>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</si>
  <si>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</si>
  <si>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</si>
  <si>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</si>
  <si>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</si>
  <si>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</si>
  <si>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</si>
  <si>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</si>
  <si>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</si>
  <si>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</si>
  <si>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</si>
  <si>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</si>
  <si>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</si>
  <si>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</si>
  <si>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</si>
  <si>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</si>
  <si>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</si>
  <si>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</si>
  <si>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</si>
  <si>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</si>
  <si>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</si>
  <si>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</si>
  <si>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</si>
  <si>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</si>
  <si>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</si>
  <si>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</si>
  <si>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</si>
  <si>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</si>
  <si>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</si>
  <si>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</si>
  <si>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</si>
  <si>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</si>
  <si>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</si>
  <si>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</si>
  <si>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</si>
  <si>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</si>
  <si>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</si>
  <si>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</si>
  <si>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</si>
  <si>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</si>
  <si>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</si>
  <si>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</si>
  <si>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</si>
  <si>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</si>
  <si>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</si>
  <si>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</si>
  <si>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</si>
  <si>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</si>
  <si>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</si>
  <si>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</si>
  <si>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</si>
  <si>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</si>
  <si>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</si>
  <si>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</si>
  <si>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</si>
  <si>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</si>
  <si>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</si>
  <si>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</si>
  <si>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</si>
  <si>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</si>
  <si>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</si>
  <si>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</si>
  <si>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</si>
  <si>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</si>
  <si>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</si>
  <si>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</si>
  <si>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</si>
  <si>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</si>
  <si>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</si>
  <si>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</si>
  <si>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</si>
  <si>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</si>
  <si>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</si>
  <si>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</si>
  <si>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</si>
  <si>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</si>
  <si>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</si>
  <si>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</si>
  <si>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</si>
  <si>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</si>
  <si>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</si>
  <si>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</si>
  <si>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</si>
  <si>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</si>
  <si>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</si>
  <si>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</si>
  <si>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</si>
  <si>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</si>
  <si>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</si>
  <si>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</si>
  <si>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</si>
  <si>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</si>
  <si>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</si>
  <si>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</si>
  <si>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</si>
  <si>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</si>
  <si>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</si>
  <si>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</si>
  <si>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</si>
  <si>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</si>
  <si>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</si>
  <si>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</si>
  <si>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</si>
  <si>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</si>
  <si>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</si>
  <si>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</si>
  <si>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</si>
  <si>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</si>
  <si>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</si>
  <si>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</si>
  <si>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</si>
  <si>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</si>
  <si>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</si>
  <si>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</si>
  <si>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</si>
  <si>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</si>
  <si>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</si>
  <si>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</si>
  <si>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</si>
  <si>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</si>
  <si>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</si>
  <si>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</si>
  <si>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</si>
  <si>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</si>
  <si>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</si>
  <si>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</si>
  <si>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</si>
  <si>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</si>
  <si>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</si>
  <si>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</si>
  <si>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</si>
  <si>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</si>
  <si>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</si>
  <si>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</si>
  <si>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</si>
  <si>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</si>
  <si>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</si>
  <si>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</si>
  <si>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</si>
  <si>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</si>
  <si>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</si>
  <si>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</si>
  <si>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</si>
  <si>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</si>
  <si>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</si>
  <si>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</si>
  <si>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</si>
  <si>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</si>
  <si>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</si>
  <si>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</si>
  <si>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</si>
  <si>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</si>
  <si>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</si>
  <si>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</si>
  <si>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</si>
  <si>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</si>
  <si>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</si>
  <si>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</si>
  <si>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</si>
  <si>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</si>
  <si>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</si>
  <si>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</si>
  <si>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</si>
  <si>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</si>
  <si>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</si>
  <si>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</si>
  <si>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</si>
  <si>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</si>
  <si>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</si>
  <si>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</si>
  <si>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</si>
  <si>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</si>
  <si>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</si>
  <si>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</si>
  <si>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</si>
  <si>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</si>
  <si>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</si>
  <si>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</si>
  <si>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</si>
  <si>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</si>
  <si>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</si>
  <si>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</si>
  <si>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</si>
  <si>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</si>
  <si>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</si>
  <si>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</si>
  <si>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</si>
  <si>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</si>
  <si>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</si>
  <si>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</si>
  <si>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</si>
  <si>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</si>
  <si>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</si>
  <si>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</si>
  <si>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</si>
  <si>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</si>
  <si>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</si>
  <si>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</si>
  <si>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</si>
  <si>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</si>
  <si>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</si>
  <si>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</si>
  <si>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</si>
  <si>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</si>
  <si>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</si>
  <si>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</si>
  <si>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</si>
  <si>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</si>
  <si>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</si>
  <si>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</si>
  <si>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</si>
  <si>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</si>
  <si>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</si>
  <si>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</si>
  <si>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</si>
  <si>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</si>
  <si>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</si>
  <si>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</si>
  <si>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</si>
  <si>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</si>
  <si>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</si>
  <si>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</si>
  <si>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</si>
  <si>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</si>
  <si>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</si>
  <si>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</si>
  <si>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</si>
  <si>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</si>
  <si>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</si>
  <si>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</si>
  <si>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</si>
  <si>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</si>
  <si>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</si>
  <si>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</si>
  <si>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</si>
  <si>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</si>
  <si>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</si>
  <si>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</si>
  <si>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</si>
  <si>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</si>
  <si>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</si>
  <si>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</si>
  <si>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</si>
  <si>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</si>
  <si>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</si>
  <si>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</si>
  <si>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</si>
  <si>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</si>
  <si>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</si>
  <si>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</si>
  <si>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</si>
  <si>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</si>
  <si>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</si>
  <si>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</si>
  <si>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</si>
  <si>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</si>
  <si>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</si>
  <si>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</si>
  <si>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</si>
  <si>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</si>
  <si>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</si>
  <si>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</si>
  <si>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</si>
  <si>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</si>
  <si>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</si>
  <si>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</si>
  <si>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</si>
  <si>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</si>
  <si>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</si>
  <si>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</si>
  <si>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</si>
  <si>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</si>
  <si>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</si>
  <si>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</si>
  <si>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</si>
  <si>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</si>
  <si>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</si>
  <si>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</si>
  <si>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</si>
  <si>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</si>
  <si>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</si>
  <si>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</si>
  <si>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</si>
  <si>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</si>
  <si>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</si>
  <si>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</si>
  <si>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</si>
  <si>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</si>
  <si>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</si>
  <si>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</si>
  <si>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</si>
  <si>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</si>
  <si>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</si>
  <si>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</si>
  <si>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</si>
  <si>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</si>
  <si>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</si>
  <si>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</si>
  <si>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</si>
  <si>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</si>
  <si>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</si>
  <si>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</si>
  <si>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</si>
  <si>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</si>
  <si>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</si>
  <si>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</si>
  <si>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</si>
  <si>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</si>
  <si>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</si>
  <si>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</si>
  <si>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</si>
  <si>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</si>
  <si>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</si>
  <si>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</si>
  <si>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</si>
  <si>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</si>
  <si>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</si>
  <si>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</si>
  <si>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</si>
  <si>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</si>
  <si>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</si>
  <si>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</si>
  <si>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</si>
  <si>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</si>
  <si>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</si>
  <si>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</si>
  <si>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</si>
  <si>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</si>
  <si>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</si>
  <si>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</si>
  <si>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</si>
  <si>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</si>
  <si>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</si>
  <si>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</si>
  <si>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</si>
  <si>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</si>
  <si>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</si>
  <si>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</si>
  <si>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</si>
  <si>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</si>
  <si>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</si>
  <si>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</si>
  <si>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</si>
  <si>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</si>
  <si>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</si>
  <si>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</si>
  <si>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</si>
  <si>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</si>
  <si>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</si>
  <si>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</si>
  <si>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</si>
  <si>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</si>
  <si>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</si>
  <si>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</si>
  <si>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</si>
  <si>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</si>
  <si>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</si>
  <si>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</si>
  <si>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</si>
  <si>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</si>
  <si>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</si>
  <si>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</si>
  <si>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</si>
  <si>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</si>
  <si>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</si>
  <si>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</si>
  <si>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</si>
  <si>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</si>
  <si>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</si>
  <si>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</si>
  <si>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</si>
  <si>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</si>
  <si>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</si>
  <si>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</si>
  <si>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</si>
  <si>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</si>
  <si>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</si>
  <si>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</si>
  <si>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</si>
  <si>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</si>
  <si>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</si>
  <si>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</si>
  <si>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</si>
  <si>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</si>
  <si>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</si>
  <si>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</si>
  <si>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</si>
  <si>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</si>
  <si>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</si>
  <si>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</si>
  <si>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</si>
  <si>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</si>
  <si>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</si>
  <si>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</si>
  <si>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</si>
  <si>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</si>
  <si>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</si>
  <si>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</si>
  <si>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</si>
  <si>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</si>
  <si>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</si>
  <si>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</si>
  <si>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</si>
  <si>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</si>
  <si>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</si>
  <si>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</si>
  <si>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</si>
  <si>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</si>
  <si>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</si>
  <si>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</si>
  <si>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</si>
  <si>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</si>
  <si>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</si>
  <si>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</si>
  <si>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</si>
  <si>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</si>
  <si>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</si>
  <si>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</si>
  <si>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</si>
  <si>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</si>
  <si>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</si>
  <si>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</si>
  <si>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</si>
  <si>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</si>
  <si>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</si>
  <si>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</si>
  <si>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</si>
  <si>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</si>
  <si>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</si>
  <si>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</si>
  <si>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</si>
  <si>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</si>
  <si>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</si>
  <si>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</si>
  <si>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</si>
  <si>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</si>
  <si>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</si>
  <si>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</si>
  <si>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</si>
  <si>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</si>
  <si>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</si>
  <si>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</si>
  <si>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</si>
  <si>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</si>
  <si>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</si>
  <si>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</si>
  <si>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</si>
  <si>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</si>
  <si>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</si>
  <si>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</si>
  <si>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</si>
  <si>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</si>
  <si>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</si>
  <si>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</si>
  <si>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</si>
  <si>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</si>
  <si>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</si>
  <si>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</si>
  <si>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</si>
  <si>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</si>
  <si>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</si>
  <si>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</si>
  <si>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</si>
  <si>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</si>
  <si>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</si>
  <si>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</si>
  <si>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</si>
  <si>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</si>
  <si>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</si>
  <si>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</si>
  <si>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</si>
  <si>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</si>
  <si>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</si>
  <si>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</si>
  <si>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</si>
  <si>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</si>
  <si>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</si>
  <si>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</si>
  <si>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</si>
  <si>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</si>
  <si>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</si>
  <si>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</si>
  <si>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</si>
  <si>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</si>
  <si>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</si>
  <si>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</si>
  <si>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</si>
  <si>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</si>
  <si>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</si>
  <si>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</si>
  <si>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</si>
  <si>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</si>
  <si>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</si>
  <si>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</si>
  <si>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</si>
  <si>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</si>
  <si>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</si>
  <si>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</si>
  <si>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</si>
  <si>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</si>
  <si>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</si>
  <si>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</si>
  <si>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</si>
  <si>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</si>
  <si>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</si>
  <si>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</si>
  <si>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</si>
  <si>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</si>
  <si>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</si>
  <si>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</si>
  <si>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</si>
  <si>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</si>
  <si>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</si>
  <si>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</si>
  <si>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</si>
  <si>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</si>
  <si>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</si>
  <si>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</si>
  <si>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</si>
  <si>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</si>
  <si>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</si>
  <si>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</si>
  <si>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</si>
  <si>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</si>
  <si>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</si>
  <si>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</si>
  <si>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</si>
  <si>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</si>
  <si>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</si>
  <si>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</si>
  <si>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</si>
  <si>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</si>
  <si>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</si>
  <si>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</si>
  <si>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</si>
  <si>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</si>
  <si>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</si>
  <si>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</si>
  <si>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</si>
  <si>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</si>
  <si>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</si>
  <si>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</si>
  <si>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</si>
  <si>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</si>
  <si>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</si>
  <si>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</si>
  <si>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</si>
  <si>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</si>
  <si>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</si>
  <si>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</si>
  <si>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</si>
  <si>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</si>
  <si>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</si>
  <si>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</si>
  <si>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</si>
  <si>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</si>
  <si>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</si>
  <si>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</si>
  <si>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</si>
  <si>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</si>
  <si>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</si>
  <si>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</si>
  <si>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</si>
  <si>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</si>
  <si>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</si>
  <si>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</si>
  <si>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</si>
  <si>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</si>
  <si>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</si>
  <si>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</si>
  <si>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</si>
  <si>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</si>
  <si>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</si>
  <si>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</si>
  <si>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</si>
  <si>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</si>
  <si>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</si>
  <si>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</si>
  <si>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</si>
  <si>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</si>
  <si>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</si>
  <si>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</si>
  <si>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</si>
  <si>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</si>
  <si>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</si>
  <si>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</si>
  <si>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</si>
  <si>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</si>
  <si>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</si>
  <si>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</si>
  <si>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</si>
  <si>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</si>
  <si>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</si>
  <si>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</si>
  <si>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</si>
  <si>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</si>
  <si>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</si>
  <si>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</si>
  <si>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</si>
  <si>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</si>
  <si>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</si>
  <si>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</si>
  <si>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</si>
  <si>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</si>
  <si>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</si>
  <si>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</si>
  <si>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</si>
  <si>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</si>
  <si>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</si>
  <si>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</si>
  <si>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</si>
  <si>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</si>
  <si>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</si>
  <si>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</si>
  <si>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</si>
  <si>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</si>
  <si>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</si>
  <si>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</si>
  <si>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</si>
  <si>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</si>
  <si>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</si>
  <si>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</si>
  <si>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</si>
  <si>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</si>
  <si>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</si>
  <si>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</si>
  <si>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</si>
  <si>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</si>
  <si>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</si>
  <si>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</si>
  <si>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</si>
  <si>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</si>
  <si>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</si>
  <si>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</si>
  <si>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</si>
  <si>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</si>
  <si>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</si>
  <si>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</si>
  <si>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</si>
  <si>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</si>
  <si>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</si>
  <si>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</si>
  <si>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</si>
  <si>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</si>
  <si>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</si>
  <si>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</si>
  <si>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</si>
  <si>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</si>
  <si>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</si>
  <si>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</si>
  <si>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</si>
  <si>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</si>
  <si>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</si>
  <si>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</si>
  <si>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</si>
  <si>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</si>
  <si>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</si>
  <si>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</si>
  <si>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</si>
  <si>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</si>
  <si>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</si>
  <si>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</si>
  <si>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</si>
  <si>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</si>
  <si>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</si>
  <si>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</si>
  <si>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</si>
  <si>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</si>
  <si>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</si>
  <si>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</si>
  <si>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</si>
  <si>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</si>
  <si>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</si>
  <si>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</si>
  <si>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</si>
  <si>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</si>
  <si>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</si>
  <si>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</si>
  <si>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</si>
  <si>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</si>
  <si>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</si>
  <si>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</si>
  <si>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</si>
  <si>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</si>
  <si>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</si>
  <si>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</si>
  <si>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</si>
  <si>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</si>
  <si>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</si>
  <si>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</si>
  <si>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</si>
  <si>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</si>
  <si>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</si>
  <si>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</si>
  <si>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</si>
  <si>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</si>
  <si>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</si>
  <si>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</si>
  <si>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</si>
  <si>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</si>
  <si>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</si>
  <si>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</si>
  <si>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</si>
  <si>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</si>
  <si>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</si>
  <si>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</si>
  <si>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</si>
  <si>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</si>
  <si>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</si>
  <si>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</si>
  <si>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</si>
  <si>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</si>
  <si>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</si>
  <si>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</si>
  <si>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</si>
  <si>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</si>
  <si>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</si>
  <si>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</si>
  <si>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</si>
  <si>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</si>
  <si>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</si>
  <si>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</si>
  <si>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</si>
  <si>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</si>
  <si>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</si>
  <si>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</si>
  <si>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</si>
  <si>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</si>
  <si>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</si>
  <si>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</si>
  <si>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</si>
  <si>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</si>
  <si>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</si>
  <si>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</si>
  <si>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</si>
  <si>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</si>
  <si>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</si>
  <si>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</si>
  <si>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</si>
  <si>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</si>
  <si>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</si>
  <si>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</si>
  <si>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</si>
  <si>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</si>
  <si>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</si>
  <si>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</si>
  <si>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</si>
  <si>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</si>
  <si>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</si>
  <si>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</si>
  <si>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</si>
  <si>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</si>
  <si>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</si>
  <si>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</si>
  <si>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</si>
  <si>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</si>
  <si>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</si>
  <si>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</si>
  <si>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</si>
  <si>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</si>
  <si>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</si>
  <si>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</si>
  <si>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</si>
  <si>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</si>
  <si>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</si>
  <si>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</si>
  <si>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</si>
  <si>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</si>
  <si>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</si>
  <si>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</si>
  <si>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</si>
  <si>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</si>
  <si>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</si>
  <si>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</si>
  <si>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</si>
  <si>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</si>
  <si>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</si>
  <si>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</si>
  <si>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</si>
  <si>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</si>
  <si>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</si>
  <si>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</si>
  <si>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</si>
  <si>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</si>
  <si>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</si>
  <si>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</si>
  <si>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</si>
  <si>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</si>
  <si>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</si>
  <si>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</si>
  <si>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</si>
  <si>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</si>
  <si>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</si>
  <si>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</si>
  <si>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</si>
  <si>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</si>
  <si>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</si>
  <si>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</si>
  <si>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</si>
  <si>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</si>
  <si>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</si>
  <si>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</si>
  <si>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</si>
  <si>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</si>
  <si>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</si>
  <si>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</si>
  <si>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</si>
  <si>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</si>
  <si>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</si>
  <si>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</si>
  <si>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</si>
  <si>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</si>
  <si>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</si>
  <si>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</si>
  <si>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</si>
  <si>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</si>
  <si>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</si>
  <si>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</si>
  <si>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</si>
  <si>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</si>
  <si>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</si>
  <si>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</si>
  <si>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</si>
  <si>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</si>
  <si>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</si>
  <si>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</si>
  <si>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</si>
  <si>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</si>
  <si>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</si>
  <si>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</si>
  <si>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</si>
  <si>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</si>
  <si>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</si>
  <si>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</si>
  <si>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</si>
  <si>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</si>
  <si>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</si>
  <si>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</si>
  <si>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</si>
  <si>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</si>
  <si>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</si>
  <si>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</si>
  <si>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</si>
  <si>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</si>
  <si>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</si>
  <si>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</si>
  <si>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</si>
  <si>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</si>
  <si>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</si>
  <si>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</si>
  <si>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</si>
  <si>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</si>
  <si>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</si>
  <si>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</si>
  <si>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</si>
  <si>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</si>
  <si>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</si>
  <si>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</si>
  <si>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</si>
  <si>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</si>
  <si>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</si>
  <si>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</si>
  <si>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</si>
  <si>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</si>
  <si>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</si>
  <si>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</si>
  <si>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</si>
  <si>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</si>
  <si>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</si>
  <si>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</si>
  <si>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</si>
  <si>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</si>
  <si>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</si>
  <si>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</si>
  <si>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</si>
  <si>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</si>
  <si>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</si>
  <si>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</si>
  <si>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</si>
  <si>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</si>
  <si>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</si>
  <si>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</si>
  <si>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</si>
  <si>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</si>
  <si>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</si>
  <si>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</si>
  <si>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</si>
  <si>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</si>
  <si>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</si>
  <si>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</si>
  <si>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</si>
  <si>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</si>
  <si>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</si>
  <si>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</si>
  <si>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</si>
  <si>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</si>
  <si>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</si>
  <si>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</si>
  <si>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</si>
  <si>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</si>
  <si>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</si>
  <si>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</si>
  <si>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</si>
  <si>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</si>
  <si>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</si>
  <si>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</si>
  <si>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</si>
  <si>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</si>
  <si>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</si>
  <si>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</si>
  <si>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</si>
  <si>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</si>
  <si>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</si>
  <si>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</si>
  <si>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</si>
  <si>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</si>
  <si>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</si>
  <si>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</si>
  <si>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</si>
  <si>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</si>
  <si>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</si>
  <si>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</si>
  <si>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</si>
  <si>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</si>
  <si>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</si>
  <si>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</si>
  <si>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</si>
  <si>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</si>
  <si>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</si>
  <si>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</si>
  <si>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</si>
  <si>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</si>
  <si>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</si>
  <si>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</si>
  <si>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</si>
  <si>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</si>
  <si>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</si>
  <si>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</si>
  <si>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</si>
  <si>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</si>
  <si>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</si>
  <si>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</si>
  <si>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</si>
  <si>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</si>
  <si>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</si>
  <si>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</si>
  <si>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</si>
  <si>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</si>
  <si>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</si>
  <si>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</si>
  <si>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</si>
  <si>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</si>
  <si>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</si>
  <si>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</si>
  <si>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</si>
  <si>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</si>
  <si>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</si>
  <si>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</si>
  <si>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</si>
  <si>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</si>
  <si>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</si>
  <si>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</si>
  <si>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</si>
  <si>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</si>
  <si>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</si>
  <si>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</si>
  <si>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</si>
  <si>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</si>
  <si>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</si>
  <si>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</si>
  <si>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</si>
  <si>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</si>
  <si>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</si>
  <si>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</si>
  <si>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</si>
  <si>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</si>
  <si>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</si>
  <si>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</si>
  <si>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</si>
  <si>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</si>
  <si>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</si>
  <si>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</si>
  <si>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</si>
  <si>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</si>
  <si>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</si>
  <si>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</si>
  <si>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</si>
  <si>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</si>
  <si>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</si>
  <si>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</si>
  <si>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</si>
  <si>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</si>
  <si>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</si>
  <si>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</si>
  <si>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</si>
  <si>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</si>
  <si>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</si>
  <si>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</si>
  <si>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</si>
  <si>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</si>
  <si>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</si>
  <si>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</si>
  <si>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</si>
  <si>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</si>
  <si>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</si>
  <si>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</si>
  <si>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</si>
  <si>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</si>
  <si>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</si>
  <si>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</si>
  <si>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</si>
  <si>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</si>
  <si>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</si>
  <si>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</si>
  <si>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</si>
  <si>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</si>
  <si>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</si>
  <si>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</si>
  <si>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</si>
  <si>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</si>
  <si>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</si>
  <si>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</si>
  <si>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</si>
  <si>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</si>
  <si>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</si>
  <si>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</si>
  <si>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</si>
  <si>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</si>
  <si>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</si>
  <si>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</si>
  <si>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</si>
  <si>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</si>
  <si>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</si>
  <si>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</si>
  <si>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</si>
  <si>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</si>
  <si>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</si>
  <si>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</si>
  <si>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</si>
  <si>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</si>
  <si>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</si>
  <si>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</si>
  <si>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</si>
  <si>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</si>
  <si>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</si>
  <si>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</si>
  <si>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</si>
  <si>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</si>
  <si>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</si>
  <si>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</si>
  <si>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F197</t>
  </si>
  <si>
    <t>1Q23</t>
  </si>
  <si>
    <t>unused</t>
  </si>
  <si>
    <t/>
  </si>
  <si>
    <t>income</t>
  </si>
  <si>
    <t>not written</t>
  </si>
  <si>
    <t>high</t>
  </si>
  <si>
    <t>cleared</t>
  </si>
  <si>
    <t>Cannot find exact PP&amp;E schedule depreciation expense in EDGAR, find manually.</t>
  </si>
  <si>
    <t>K197</t>
  </si>
  <si>
    <t>1Q24</t>
  </si>
  <si>
    <t>P197</t>
  </si>
  <si>
    <t>1Q25</t>
  </si>
  <si>
    <t>F255</t>
  </si>
  <si>
    <t>support</t>
  </si>
  <si>
    <t>Cannot find exact retained-earnings beginning balance plug in EDGAR, find manually.</t>
  </si>
  <si>
    <t>F262</t>
  </si>
  <si>
    <t>Cannot find exact AOCI beginning balance plug in EDGAR, find manually.</t>
  </si>
  <si>
    <t>F310</t>
  </si>
  <si>
    <t>Cannot find exact debt beginning balance plug in EDGAR, find manually.</t>
  </si>
  <si>
    <t>F29</t>
  </si>
  <si>
    <t>direct</t>
  </si>
  <si>
    <t>InterestExpense=497.1mm</t>
  </si>
  <si>
    <t>0000096223-24-000015</t>
  </si>
  <si>
    <t>copied</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</si>
  <si>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</si>
  <si>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</si>
  <si>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</si>
  <si>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</si>
  <si>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</si>
  <si>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</si>
  <si>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</si>
  <si>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</si>
  <si>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</si>
  <si>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</si>
  <si>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</si>
  <si>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</si>
  <si>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</si>
  <si>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</si>
  <si>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</si>
  <si>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</si>
  <si>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</si>
  <si>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</si>
  <si>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</si>
  <si>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</si>
  <si>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</si>
  <si>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</si>
  <si>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</si>
  <si>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</si>
  <si>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</si>
  <si>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</si>
  <si>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</si>
  <si>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</si>
  <si>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</si>
  <si>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</si>
  <si>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</si>
  <si>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</si>
  <si>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</si>
  <si>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</si>
  <si>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</si>
  <si>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</si>
  <si>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</si>
  <si>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</si>
  <si>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</si>
  <si>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</si>
  <si>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</si>
  <si>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</si>
  <si>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</si>
  <si>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</si>
  <si>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</si>
  <si>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</si>
  <si>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</si>
  <si>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</si>
  <si>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</si>
  <si>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</si>
  <si>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</si>
  <si>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</si>
  <si>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</si>
  <si>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</si>
  <si>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</si>
  <si>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</si>
  <si>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</si>
  <si>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</si>
  <si>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</si>
  <si>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</si>
  <si>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</si>
  <si>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</si>
  <si>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</si>
  <si>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</si>
  <si>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</si>
  <si>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</si>
  <si>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</si>
  <si>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formula</t>
  </si>
  <si>
    <t>existing formula cell</t>
  </si>
  <si>
    <t>low</t>
  </si>
  <si>
    <t>formula_preserved</t>
  </si>
  <si>
    <t>Formula preserved; EDGAR value was not written over an existing model formula.</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</si>
  <si>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</si>
  <si>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</si>
  <si>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</si>
  <si>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</si>
  <si>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</si>
  <si>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</si>
  <si>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</si>
  <si>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</si>
  <si>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</si>
  <si>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</si>
  <si>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</si>
  <si>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</si>
  <si>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</si>
  <si>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</si>
  <si>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</si>
  <si>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</si>
  <si>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</si>
  <si>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</si>
  <si>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</si>
  <si>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</si>
  <si>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</si>
  <si>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</si>
  <si>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</si>
  <si>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</si>
  <si>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</si>
  <si>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</si>
  <si>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</si>
  <si>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</si>
  <si>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</si>
  <si>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</si>
  <si>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</si>
  <si>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</si>
  <si>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</si>
  <si>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</si>
  <si>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</si>
  <si>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</si>
  <si>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</si>
  <si>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</si>
  <si>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</si>
  <si>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</si>
  <si>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</si>
  <si>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</si>
  <si>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</si>
  <si>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</si>
  <si>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</si>
  <si>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</si>
  <si>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</si>
  <si>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</si>
  <si>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</si>
  <si>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</si>
  <si>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</si>
  <si>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</si>
  <si>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</si>
  <si>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 DepreciationAndAmortization</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</si>
  <si>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</si>
  <si>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</si>
  <si>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</si>
  <si>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</si>
  <si>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</si>
  <si>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</si>
  <si>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</si>
  <si>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</si>
  <si>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</si>
  <si>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</si>
  <si>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</si>
  <si>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</si>
  <si>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</si>
  <si>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</si>
  <si>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</si>
  <si>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</si>
  <si>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</si>
  <si>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</si>
  <si>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</si>
  <si>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</si>
  <si>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</si>
  <si>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</si>
  <si>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</si>
  <si>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</si>
  <si>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</si>
  <si>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</si>
  <si>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</si>
  <si>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</si>
  <si>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</si>
  <si>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</si>
  <si>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</si>
  <si>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</si>
  <si>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</si>
  <si>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</si>
  <si>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</si>
  <si>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</si>
  <si>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</si>
  <si>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</si>
  <si>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</si>
  <si>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</si>
  <si>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</si>
  <si>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</si>
  <si>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</si>
  <si>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</si>
  <si>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</si>
  <si>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</si>
  <si>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</si>
  <si>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</si>
  <si>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</si>
  <si>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</si>
  <si>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</si>
  <si>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</si>
  <si>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</si>
  <si>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</si>
  <si>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</si>
  <si>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</si>
  <si>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</si>
  <si>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</si>
  <si>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</si>
  <si>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</si>
  <si>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</si>
  <si>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</si>
  <si>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</si>
  <si>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</si>
  <si>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</si>
  <si>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</si>
  <si>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</si>
  <si>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</si>
  <si>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</si>
  <si>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</si>
  <si>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</si>
  <si>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</si>
  <si>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</si>
  <si>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</si>
  <si>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</si>
  <si>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</si>
  <si>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</si>
  <si>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</si>
  <si>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</si>
  <si>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</si>
  <si>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</si>
  <si>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</si>
  <si>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</si>
  <si>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</si>
  <si>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</si>
  <si>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</si>
  <si>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</si>
  <si>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</si>
  <si>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</si>
  <si>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</si>
  <si>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</si>
  <si>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</si>
  <si>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</si>
  <si>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</si>
  <si>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</si>
  <si>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</si>
  <si>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</si>
  <si>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</si>
  <si>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</si>
  <si>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</si>
  <si>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</si>
  <si>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</si>
  <si>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</si>
  <si>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</si>
  <si>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</si>
  <si>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</si>
  <si>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</si>
  <si>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</si>
  <si>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</si>
  <si>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</si>
  <si>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</si>
  <si>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</si>
  <si>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</si>
  <si>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</si>
  <si>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</si>
  <si>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</si>
  <si>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</si>
  <si>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</si>
  <si>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</si>
  <si>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</si>
  <si>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</si>
  <si>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</si>
  <si>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</si>
  <si>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</si>
  <si>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</si>
  <si>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</si>
  <si>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</si>
  <si>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</si>
  <si>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</si>
  <si>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</si>
  <si>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</si>
  <si>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</si>
  <si>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</si>
  <si>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</si>
  <si>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</si>
  <si>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</si>
  <si>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</si>
  <si>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</si>
  <si>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</si>
  <si>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</si>
  <si>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</si>
  <si>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</si>
  <si>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</si>
  <si>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</si>
  <si>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</si>
  <si>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</si>
  <si>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</si>
  <si>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</si>
  <si>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</si>
  <si>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</si>
  <si>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</si>
  <si>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</si>
  <si>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</si>
  <si>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</si>
  <si>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</si>
  <si>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</si>
  <si>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</si>
  <si>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</si>
  <si>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</si>
  <si>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</si>
  <si>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</si>
  <si>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</si>
  <si>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</si>
  <si>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</si>
  <si>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</si>
  <si>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</si>
  <si>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</si>
  <si>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</si>
  <si>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</si>
  <si>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</si>
  <si>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</si>
  <si>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</si>
  <si>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</si>
  <si>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</si>
  <si>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</si>
  <si>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</si>
  <si>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</si>
  <si>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</si>
  <si>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</si>
  <si>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</si>
  <si>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</si>
  <si>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</si>
  <si>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</si>
  <si>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</si>
  <si>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</si>
  <si>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</si>
  <si>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</si>
  <si>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</si>
  <si>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</si>
  <si>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</si>
  <si>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</si>
  <si>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</si>
  <si>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</si>
  <si>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</si>
  <si>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</si>
  <si>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</si>
  <si>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</si>
  <si>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</si>
  <si>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</si>
  <si>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</si>
  <si>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</si>
  <si>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</si>
  <si>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</si>
  <si>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</si>
  <si>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</si>
  <si>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</si>
  <si>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</si>
  <si>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</si>
  <si>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</si>
  <si>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</si>
  <si>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</si>
  <si>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</si>
  <si>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</si>
  <si>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</si>
  <si>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</si>
  <si>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</si>
  <si>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</si>
  <si>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</si>
  <si>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</si>
  <si>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</si>
  <si>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</si>
  <si>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</si>
  <si>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</si>
  <si>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</si>
  <si>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</si>
  <si>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</si>
  <si>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</si>
  <si>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</si>
  <si>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</si>
  <si>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</si>
  <si>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</si>
  <si>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</si>
  <si>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</si>
  <si>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</si>
  <si>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</si>
  <si>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</si>
  <si>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</si>
  <si>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</si>
  <si>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</si>
  <si>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</si>
  <si>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</si>
  <si>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</si>
  <si>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</si>
  <si>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</si>
  <si>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</si>
  <si>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</si>
  <si>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</si>
  <si>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</si>
  <si>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</si>
  <si>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</si>
  <si>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</si>
  <si>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</si>
  <si>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</si>
  <si>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</si>
  <si>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</si>
  <si>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</si>
  <si>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</si>
  <si>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</si>
  <si>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</si>
  <si>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</si>
  <si>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</si>
  <si>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</si>
  <si>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</si>
  <si>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</si>
  <si>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</si>
  <si>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</si>
  <si>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</si>
  <si>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</si>
  <si>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</si>
  <si>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</si>
  <si>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</si>
  <si>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</si>
  <si>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</si>
  <si>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</si>
  <si>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</si>
  <si>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</si>
  <si>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</si>
  <si>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</si>
  <si>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</si>
  <si>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</si>
  <si>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</si>
  <si>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</si>
  <si>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</si>
  <si>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</si>
  <si>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</si>
  <si>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</si>
  <si>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</si>
  <si>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</si>
  <si>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</si>
  <si>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</si>
  <si>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</si>
  <si>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</si>
  <si>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</si>
  <si>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</si>
  <si>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</si>
  <si>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</si>
  <si>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</si>
  <si>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</si>
  <si>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</si>
  <si>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</si>
  <si>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</si>
  <si>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</si>
  <si>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</si>
  <si>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</si>
  <si>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</si>
  <si>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</si>
  <si>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</si>
  <si>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</si>
  <si>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</si>
  <si>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</si>
  <si>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</si>
  <si>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</si>
  <si>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</si>
  <si>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</si>
  <si>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</si>
  <si>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</si>
  <si>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</si>
  <si>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</si>
  <si>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</si>
  <si>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</si>
  <si>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</si>
  <si>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</si>
  <si>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</si>
  <si>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</si>
  <si>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</si>
  <si>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</si>
  <si>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</si>
  <si>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</si>
  <si>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</si>
  <si>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</si>
  <si>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</si>
  <si>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</si>
  <si>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</si>
  <si>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</si>
  <si>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</si>
  <si>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</si>
  <si>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</si>
  <si>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</si>
  <si>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</si>
  <si>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</si>
  <si>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</si>
  <si>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</si>
  <si>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</si>
  <si>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</si>
  <si>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</si>
  <si>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</si>
  <si>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</si>
  <si>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</si>
  <si>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</si>
  <si>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</si>
  <si>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</si>
  <si>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</si>
  <si>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</si>
  <si>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</si>
  <si>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</si>
  <si>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</si>
  <si>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</si>
  <si>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</si>
  <si>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</si>
  <si>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</si>
  <si>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</si>
  <si>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</si>
  <si>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</si>
  <si>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</si>
  <si>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</si>
  <si>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</si>
  <si>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</si>
  <si>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</si>
  <si>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</si>
  <si>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</si>
  <si>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</si>
  <si>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</si>
  <si>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</si>
  <si>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</si>
  <si>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</si>
  <si>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</si>
  <si>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</si>
  <si>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</si>
  <si>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</si>
  <si>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</si>
  <si>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</si>
  <si>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</si>
  <si>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</si>
  <si>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</si>
  <si>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</si>
  <si>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</si>
  <si>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</si>
  <si>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</si>
  <si>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</si>
  <si>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</si>
  <si>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</si>
  <si>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</si>
  <si>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</si>
  <si>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</si>
  <si>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</si>
  <si>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</si>
  <si>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</si>
  <si>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</si>
  <si>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</si>
  <si>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</si>
  <si>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</si>
  <si>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</si>
  <si>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</si>
  <si>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</si>
  <si>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</si>
  <si>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</si>
  <si>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</si>
  <si>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</si>
  <si>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</si>
  <si>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</si>
  <si>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</si>
  <si>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</si>
  <si>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</si>
  <si>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</si>
  <si>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</si>
  <si>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</si>
  <si>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</si>
  <si>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</si>
  <si>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</si>
  <si>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</si>
  <si>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</si>
  <si>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</si>
  <si>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</si>
  <si>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</si>
  <si>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</si>
  <si>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</si>
  <si>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</si>
  <si>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</si>
  <si>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</si>
  <si>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</si>
  <si>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</si>
  <si>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</si>
  <si>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</si>
  <si>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</si>
  <si>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</si>
  <si>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</si>
  <si>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</si>
  <si>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</si>
  <si>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</si>
  <si>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</si>
  <si>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</si>
  <si>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</si>
  <si>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</si>
  <si>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</si>
  <si>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</si>
  <si>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</si>
  <si>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</si>
  <si>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</si>
  <si>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</si>
  <si>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</si>
  <si>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</si>
  <si>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</si>
  <si>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</si>
  <si>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</si>
  <si>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</si>
  <si>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</si>
  <si>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</si>
  <si>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</si>
  <si>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</si>
  <si>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</si>
  <si>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</si>
  <si>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</si>
  <si>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</si>
  <si>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</si>
  <si>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</si>
  <si>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</si>
  <si>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</si>
  <si>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</si>
  <si>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</si>
  <si>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</si>
  <si>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</si>
  <si>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</si>
  <si>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</si>
  <si>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</si>
  <si>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</si>
  <si>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</si>
  <si>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</si>
  <si>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</si>
  <si>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</si>
  <si>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</si>
  <si>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</si>
  <si>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</si>
  <si>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</si>
  <si>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</si>
  <si>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</si>
  <si>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</si>
  <si>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</si>
  <si>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</si>
  <si>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</si>
  <si>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</si>
  <si>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</si>
  <si>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</si>
  <si>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</si>
  <si>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</si>
  <si>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</si>
  <si>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</si>
  <si>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</si>
  <si>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</si>
  <si>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</si>
  <si>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</si>
  <si>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</si>
  <si>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</si>
  <si>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</si>
  <si>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</si>
  <si>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</si>
  <si>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</si>
  <si>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</si>
  <si>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</si>
  <si>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</si>
  <si>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</si>
  <si>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</si>
  <si>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</si>
  <si>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</si>
  <si>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</si>
  <si>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</si>
  <si>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</si>
  <si>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</si>
  <si>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</si>
  <si>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</si>
  <si>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</si>
  <si>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</si>
  <si>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</si>
  <si>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</si>
  <si>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</si>
  <si>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</si>
  <si>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</si>
  <si>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</si>
  <si>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</si>
  <si>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</si>
  <si>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</si>
  <si>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</si>
  <si>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</si>
  <si>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</si>
  <si>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</si>
  <si>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</si>
  <si>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</si>
  <si>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</si>
  <si>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</si>
  <si>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</si>
  <si>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</si>
  <si>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</si>
  <si>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</si>
  <si>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</si>
  <si>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</si>
  <si>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</si>
  <si>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</si>
  <si>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</si>
  <si>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</si>
  <si>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</si>
  <si>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</si>
  <si>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</si>
  <si>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</si>
  <si>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</si>
  <si>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</si>
  <si>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</si>
  <si>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</si>
  <si>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</si>
  <si>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</si>
  <si>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</si>
  <si>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</si>
  <si>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</si>
  <si>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</si>
  <si>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</si>
  <si>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</si>
  <si>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</si>
  <si>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</si>
  <si>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</si>
  <si>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</si>
  <si>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</si>
  <si>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</si>
  <si>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</si>
  <si>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</si>
  <si>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</si>
  <si>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</si>
  <si>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</si>
  <si>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</si>
  <si>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</si>
  <si>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</si>
  <si>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</si>
  <si>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</si>
  <si>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</si>
  <si>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</si>
  <si>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</si>
  <si>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</si>
  <si>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</si>
  <si>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</si>
  <si>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</si>
  <si>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</si>
  <si>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</si>
  <si>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</si>
  <si>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</si>
  <si>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</si>
  <si>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</si>
  <si>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G255</t>
  </si>
  <si>
    <t>H255</t>
  </si>
  <si>
    <t>I255</t>
  </si>
  <si>
    <t>K255</t>
  </si>
  <si>
    <t>L255</t>
  </si>
  <si>
    <t>M255</t>
  </si>
  <si>
    <t>N255</t>
  </si>
  <si>
    <t>P255</t>
  </si>
  <si>
    <t>Q255</t>
  </si>
  <si>
    <t>R255</t>
  </si>
  <si>
    <t>S255</t>
  </si>
  <si>
    <t>F257</t>
  </si>
  <si>
    <t>PaymentsOfDividendsCommonStock=68.8mm</t>
  </si>
  <si>
    <t>G257</t>
  </si>
  <si>
    <t>PaymentsOfDividends; PaymentsOfDividendsCommonStock</t>
  </si>
  <si>
    <t>H257</t>
  </si>
  <si>
    <t>I257</t>
  </si>
  <si>
    <t>PaymentsOfDividendsCommonStock=70mm</t>
  </si>
  <si>
    <t>existing formula bridge updated with EDGAR annual total</t>
  </si>
  <si>
    <t>Quarterly value was derived from Payments of Ordinary Dividends, Common Stock less 1Q23, 2Q23, 3Q23. Updated the preserved formula's annual bridge constant from EDGAR so the model formula still drives the quarter.</t>
  </si>
  <si>
    <t>K257</t>
  </si>
  <si>
    <t>L257</t>
  </si>
  <si>
    <t>M257</t>
  </si>
  <si>
    <t>N257</t>
  </si>
  <si>
    <t>P257</t>
  </si>
  <si>
    <t>Q257</t>
  </si>
  <si>
    <t>R257</t>
  </si>
  <si>
    <t>S257</t>
  </si>
  <si>
    <t>G262</t>
  </si>
  <si>
    <t>H262</t>
  </si>
  <si>
    <t>I262</t>
  </si>
  <si>
    <t>K262</t>
  </si>
  <si>
    <t>L262</t>
  </si>
  <si>
    <t>M262</t>
  </si>
  <si>
    <t>N262</t>
  </si>
  <si>
    <t>P262</t>
  </si>
  <si>
    <t>Q262</t>
  </si>
  <si>
    <t>R262</t>
  </si>
  <si>
    <t>S262</t>
  </si>
  <si>
    <t>F305</t>
  </si>
  <si>
    <t>G305</t>
  </si>
  <si>
    <t>H305</t>
  </si>
  <si>
    <t>I305</t>
  </si>
  <si>
    <t>K305</t>
  </si>
  <si>
    <t>L305</t>
  </si>
  <si>
    <t>M305</t>
  </si>
  <si>
    <t>N305</t>
  </si>
  <si>
    <t>P305</t>
  </si>
  <si>
    <t>Q305</t>
  </si>
  <si>
    <t>R305</t>
  </si>
  <si>
    <t>S305</t>
  </si>
  <si>
    <t>G310</t>
  </si>
  <si>
    <t>H310</t>
  </si>
  <si>
    <t>I310</t>
  </si>
  <si>
    <t>K310</t>
  </si>
  <si>
    <t>L310</t>
  </si>
  <si>
    <t>M310</t>
  </si>
  <si>
    <t>N310</t>
  </si>
  <si>
    <t>P310</t>
  </si>
  <si>
    <t>Q310</t>
  </si>
  <si>
    <t>R310</t>
  </si>
  <si>
    <t>S310</t>
  </si>
  <si>
    <t>F8</t>
  </si>
  <si>
    <t>segment</t>
  </si>
  <si>
    <t>Investment Banking &amp; Capital Markets Revenue=1744.999mm</t>
  </si>
  <si>
    <t>Matched reportable segment "Investment Banking &amp; Capital Markets" from filing segment tables.</t>
  </si>
  <si>
    <t>G8</t>
  </si>
  <si>
    <t>Investment Banking &amp; Capital Markets Revenue=1680.825mm</t>
  </si>
  <si>
    <t>H8</t>
  </si>
  <si>
    <t>Investment Banking &amp; Capital Markets Revenue=2076.015mm</t>
  </si>
  <si>
    <t>I8</t>
  </si>
  <si>
    <t>Investment Banking &amp; Capital Markets Revenue=1855.049mm</t>
  </si>
  <si>
    <t>K8</t>
  </si>
  <si>
    <t>Investment Banking &amp; Capital Markets Revenue=2384.833mm</t>
  </si>
  <si>
    <t>L8</t>
  </si>
  <si>
    <t>Investment Banking &amp; Capital Markets Revenue=2306.288mm</t>
  </si>
  <si>
    <t>M8</t>
  </si>
  <si>
    <t>Investment Banking &amp; Capital Markets Revenue=1195.818mm</t>
  </si>
  <si>
    <t>N8</t>
  </si>
  <si>
    <t>Investment Banking &amp; Capital Markets Revenue=3867.93mm</t>
  </si>
  <si>
    <t>P8</t>
  </si>
  <si>
    <t>Investment Banking &amp; Capital Markets Revenue=2270.211mm</t>
  </si>
  <si>
    <t>Q8</t>
  </si>
  <si>
    <t>Investment Banking &amp; Capital Markets Revenue=2359.034mm</t>
  </si>
  <si>
    <t>R8</t>
  </si>
  <si>
    <t>Investment Banking &amp; Capital Markets Revenue=2747.162mm</t>
  </si>
  <si>
    <t>S8</t>
  </si>
  <si>
    <t>Investment Banking &amp; Capital Markets Revenue=2758.913mm</t>
  </si>
  <si>
    <t>F9</t>
  </si>
  <si>
    <t>Asset Management and Other Revenue=35.865mm</t>
  </si>
  <si>
    <t>Matched reportable segment "Asset Management and Other" from filing segment tables.</t>
  </si>
  <si>
    <t>G9</t>
  </si>
  <si>
    <t>Asset Management and Other Revenue=-30.243mm</t>
  </si>
  <si>
    <t>H9</t>
  </si>
  <si>
    <t>Asset Management and Other Revenue=-34.4mm</t>
  </si>
  <si>
    <t>I9</t>
  </si>
  <si>
    <t>Asset Management and Other Revenue=113.189mm</t>
  </si>
  <si>
    <t>K9</t>
  </si>
  <si>
    <t>Asset Management and Other Revenue=167.109mm</t>
  </si>
  <si>
    <t>L9</t>
  </si>
  <si>
    <t>Asset Management and Other Revenue=210.008mm</t>
  </si>
  <si>
    <t>M9</t>
  </si>
  <si>
    <t>Asset Management and Other Revenue=26.827mm</t>
  </si>
  <si>
    <t>N9</t>
  </si>
  <si>
    <t>Asset Management and Other Revenue=356.256mm</t>
  </si>
  <si>
    <t>P9</t>
  </si>
  <si>
    <t>Asset Management and Other Revenue=202.653mm</t>
  </si>
  <si>
    <t>Q9</t>
  </si>
  <si>
    <t>Asset Management and Other Revenue=135.281mm</t>
  </si>
  <si>
    <t>R9</t>
  </si>
  <si>
    <t>Asset Management and Other Revenue=160.512mm</t>
  </si>
  <si>
    <t>S9</t>
  </si>
  <si>
    <t>Asset Management and Other Revenue=189.911mm</t>
  </si>
  <si>
    <t>Investment Banking &amp; Capital Markets Operating Income=172.2mm</t>
  </si>
  <si>
    <t>Investment Banking &amp; Capital Markets Operating Income=104.5mm</t>
  </si>
  <si>
    <t>Investment Banking &amp; Capital Markets Operating Income=155.1mm</t>
  </si>
  <si>
    <t>Investment Banking &amp; Capital Markets Operating Income=77.5mm</t>
  </si>
  <si>
    <t>Investment Banking &amp; Capital Markets Operating Income=155mm</t>
  </si>
  <si>
    <t>Investment Banking &amp; Capital Markets Operating Income=251.3mm</t>
  </si>
  <si>
    <t>Investment Banking &amp; Capital Markets Operating Income=368.5mm</t>
  </si>
  <si>
    <t>Investment Banking &amp; Capital Markets Operating Income=248mm</t>
  </si>
  <si>
    <t>Investment Banking &amp; Capital Markets Operating Income=167mm</t>
  </si>
  <si>
    <t>Investment Banking &amp; Capital Markets Operating Income=188.3mm</t>
  </si>
  <si>
    <t>Investment Banking &amp; Capital Markets Operating Income=336.3mm</t>
  </si>
  <si>
    <t>Investment Banking &amp; Capital Markets Operating Income=290.5mm</t>
  </si>
  <si>
    <t>Asset Management and Other Operating Income=-12.1mm</t>
  </si>
  <si>
    <t>Asset Management and Other Operating Income=-94.1mm</t>
  </si>
  <si>
    <t>Asset Management and Other Operating Income=-67.8mm</t>
  </si>
  <si>
    <t>Asset Management and Other Operating Income=11.3mm</t>
  </si>
  <si>
    <t>Asset Management and Other Operating Income=51.7mm</t>
  </si>
  <si>
    <t>Asset Management and Other Operating Income=-29.1mm</t>
  </si>
  <si>
    <t>Asset Management and Other Operating Income=-120.3mm</t>
  </si>
  <si>
    <t>Asset Management and Other Operating Income=53.6mm</t>
  </si>
  <si>
    <t>Asset Management and Other Operating Income=-18.2mm</t>
  </si>
  <si>
    <t>Asset Management and Other Operating Income=-62.7mm</t>
  </si>
  <si>
    <t>Asset Management and Other Operating Income=-16.3mm</t>
  </si>
  <si>
    <t>Asset Management and Other Operating Income=125.3mm</t>
  </si>
  <si>
    <t>K36</t>
  </si>
  <si>
    <t>Operating Income</t>
  </si>
  <si>
    <t>needs_review</t>
  </si>
  <si>
    <t>Needs review: Segment Analysis row was not filled because the template label is blank, generic, or does not confidently match an EDGAR reportable segment.</t>
  </si>
  <si>
    <t>L36</t>
  </si>
  <si>
    <t>M36</t>
  </si>
  <si>
    <t>P36</t>
  </si>
  <si>
    <t>Q36</t>
  </si>
  <si>
    <t>R36</t>
  </si>
  <si>
    <t>K37</t>
  </si>
  <si>
    <t>L37</t>
  </si>
  <si>
    <t>M37</t>
  </si>
  <si>
    <t>P37</t>
  </si>
  <si>
    <t>Q37</t>
  </si>
  <si>
    <t>R37</t>
  </si>
  <si>
    <t>K38</t>
  </si>
  <si>
    <t>L38</t>
  </si>
  <si>
    <t>M38</t>
  </si>
  <si>
    <t>P38</t>
  </si>
  <si>
    <t>Q38</t>
  </si>
  <si>
    <t>R38</t>
  </si>
  <si>
    <t>F52</t>
  </si>
  <si>
    <t>Investment Banking &amp; Capital Markets D&amp;A=0mm</t>
  </si>
  <si>
    <t>K52</t>
  </si>
  <si>
    <t>P52</t>
  </si>
  <si>
    <t>F53</t>
  </si>
  <si>
    <t>Asset Management and Other D&amp;A=0mm</t>
  </si>
  <si>
    <t>G53</t>
  </si>
  <si>
    <t>H53</t>
  </si>
  <si>
    <t>I53</t>
  </si>
  <si>
    <t>K53</t>
  </si>
  <si>
    <t>L53</t>
  </si>
  <si>
    <t>M53</t>
  </si>
  <si>
    <t>N53</t>
  </si>
  <si>
    <t>P53</t>
  </si>
  <si>
    <t>Q53</t>
  </si>
  <si>
    <t>R53</t>
  </si>
  <si>
    <t>S53</t>
  </si>
  <si>
    <t>Asset Management and Other D&amp;A=90.8mm</t>
  </si>
  <si>
    <t>calculated</t>
  </si>
  <si>
    <t>Revenues, RevenueFromContractWithCustomerExcludingAssessedTax, SalesRevenueNet</t>
  </si>
  <si>
    <t>residual</t>
  </si>
  <si>
    <t>medium</t>
  </si>
  <si>
    <t>OK!</t>
  </si>
  <si>
    <t>Calculated as the residual needed for Segment Analysis Revenue rows to tie to EDGAR consolidated revenue.</t>
  </si>
  <si>
    <t>Asset Management and Other Operating Income</t>
  </si>
  <si>
    <t>OperatingIncomeLoss, IncomeLossFromContinuingOperationsBeforeIncomeTaxesExtraordinaryItemsNoncontrollingInterest</t>
  </si>
  <si>
    <t>Calculated as the residual needed for Segment Analysis Operating Income rows to tie to EDGAR consolidated operating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</si>
</sst>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9"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color theme="4"/>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172" fontId="42" fillId="12" borderId="0" xfId="0" applyNumberFormat="1" applyFont="1" applyFill="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3" fillId="0" borderId="0" xfId="0" applyFont="1"/>
    <xf numFmtId="0" fontId="3" fillId="0" borderId="0" xfId="0" applyFont="1"/>
    <xf numFmtId="0" fontId="30" fillId="2" borderId="2" xfId="0" applyFont="1" applyFill="1" applyBorder="1" applyAlignment="1">
      <alignment horizontal="center"/>
    </xf>
    <xf numFmtId="0" fontId="44" fillId="0" borderId="0" xfId="0" applyFont="1" applyAlignment="1">
      <alignment horizontal="center"/>
    </xf>
    <xf numFmtId="0" fontId="30" fillId="0" borderId="0" xfId="0" applyFont="1" applyAlignment="1">
      <alignment horizontal="center"/>
    </xf>
    <xf numFmtId="0" fontId="45"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6" fillId="23" borderId="0" xfId="0" applyFont="1" applyFill="1"/>
    <xf numFmtId="0" fontId="46" fillId="23" borderId="0" xfId="0" applyFont="1" applyFill="1" applyAlignment="1">
      <alignment horizontal="center"/>
    </xf>
    <xf numFmtId="37" fontId="46" fillId="23" borderId="0" xfId="0" applyNumberFormat="1" applyFont="1" applyFill="1" applyAlignment="1">
      <alignment horizontal="center"/>
    </xf>
    <xf numFmtId="200" fontId="46" fillId="23" borderId="0" xfId="0" applyNumberFormat="1" applyFont="1" applyFill="1" applyAlignment="1">
      <alignment horizontal="center"/>
    </xf>
    <xf numFmtId="178" fontId="46"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7" fillId="0" borderId="0" xfId="0" applyFont="1" applyAlignment="1">
      <alignment horizontal="center"/>
    </xf>
    <xf numFmtId="203" fontId="46"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8"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9" fillId="25" borderId="0" xfId="0" applyFont="1" applyFill="1"/>
    <xf numFmtId="0" fontId="30" fillId="25" borderId="0" xfId="0" applyFont="1" applyFill="1"/>
    <xf numFmtId="0" fontId="50" fillId="0" borderId="0" xfId="0" applyFont="1"/>
    <xf numFmtId="0" fontId="50"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2" xfId="0" applyFont="1" applyFill="1" applyBorder="1" applyAlignment="1">
      <alignment horizontal="left"/>
    </xf>
    <xf numFmtId="0" fontId="51" fillId="2" borderId="13" xfId="0" applyFont="1" applyFill="1" applyBorder="1"/>
    <xf numFmtId="4" fontId="51" fillId="2" borderId="13" xfId="0" applyNumberFormat="1" applyFont="1" applyFill="1" applyBorder="1" applyAlignment="1">
      <alignment horizontal="center"/>
    </xf>
    <xf numFmtId="4" fontId="51"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2"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3" fillId="0" borderId="0" xfId="0" applyFont="1"/>
    <xf numFmtId="0" fontId="54"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5" fillId="0" borderId="0" xfId="0" applyFont="1"/>
    <xf numFmtId="215" fontId="12" fillId="0" borderId="0" xfId="0" applyNumberFormat="1" applyFont="1"/>
    <xf numFmtId="215" fontId="56" fillId="0" borderId="0" xfId="0" applyNumberFormat="1" applyFont="1"/>
    <xf numFmtId="215" fontId="8" fillId="0" borderId="0" xfId="0" applyNumberFormat="1" applyFont="1"/>
    <xf numFmtId="215" fontId="51" fillId="0" borderId="0" xfId="0" applyNumberFormat="1" applyFont="1"/>
    <xf numFmtId="0" fontId="51" fillId="0" borderId="0" xfId="0" applyFont="1" applyAlignment="1">
      <alignment horizontal="right"/>
    </xf>
    <xf numFmtId="218" fontId="12" fillId="0" borderId="0" xfId="0" applyNumberFormat="1" applyFont="1"/>
    <xf numFmtId="218" fontId="56" fillId="0" borderId="0" xfId="0" applyNumberFormat="1" applyFont="1"/>
    <xf numFmtId="218" fontId="8" fillId="0" borderId="0" xfId="0" applyNumberFormat="1" applyFont="1"/>
    <xf numFmtId="218" fontId="51"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7"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8"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7" customFormat="1" x14ac:dyDescent="0.25">
      <c r="A1" s="967" t="s">
        <v>1362</v>
      </c>
      <c r="B1" s="967" t="s">
        <v>1363</v>
      </c>
      <c r="C1" s="967" t="s">
        <v>1364</v>
      </c>
      <c r="D1" s="967" t="s">
        <v>1365</v>
      </c>
      <c r="E1" s="967" t="s">
        <v>1366</v>
      </c>
      <c r="F1" s="967" t="s">
        <v>1367</v>
      </c>
      <c r="G1" s="967" t="s">
        <v>1368</v>
      </c>
      <c r="H1" s="967" t="s">
        <v>1369</v>
      </c>
      <c r="I1" s="967" t="s">
        <v>1370</v>
      </c>
      <c r="J1" s="967" t="s">
        <v>1371</v>
      </c>
      <c r="K1" s="967" t="s">
        <v>1372</v>
      </c>
      <c r="L1" s="967" t="s">
        <v>1373</v>
      </c>
      <c r="M1" s="967" t="s">
        <v>1374</v>
      </c>
      <c r="N1" s="967" t="s">
        <v>1375</v>
      </c>
      <c r="O1" s="967" t="s">
        <v>1376</v>
      </c>
      <c r="P1" s="967" t="s">
        <v>1377</v>
      </c>
      <c r="Q1" s="967" t="s">
        <v>1378</v>
      </c>
    </row>
    <row r="2" spans="1:17" x14ac:dyDescent="0.25">
      <c r="A2" t="s">
        <v>39</v>
      </c>
      <c r="B2" t="s">
        <v>1379</v>
      </c>
      <c r="C2" t="s">
        <v>366</v>
      </c>
      <c r="D2" t="s">
        <v>1380</v>
      </c>
      <c r="E2">
        <v>0</v>
      </c>
      <c r="F2" t="s">
        <v>1381</v>
      </c>
      <c r="G2" t="s">
        <v>1382</v>
      </c>
      <c r="H2" t="s">
        <v>1383</v>
      </c>
      <c r="I2" t="s">
        <v>1382</v>
      </c>
      <c r="J2" t="s">
        <v>1382</v>
      </c>
      <c r="K2" t="b">
        <v>1</v>
      </c>
      <c r="L2" t="b">
        <v>0</v>
      </c>
      <c r="M2" t="s">
        <v>1382</v>
      </c>
      <c r="N2" t="s">
        <v>1384</v>
      </c>
      <c r="O2" t="s">
        <v>1385</v>
      </c>
      <c r="P2" t="s">
        <v>1386</v>
      </c>
      <c r="Q2" t="s">
        <v>1387</v>
      </c>
    </row>
    <row r="3" spans="1:17" x14ac:dyDescent="0.25">
      <c r="A3" t="s">
        <v>39</v>
      </c>
      <c r="B3" t="s">
        <v>1388</v>
      </c>
      <c r="C3" t="s">
        <v>366</v>
      </c>
      <c r="D3" t="s">
        <v>1389</v>
      </c>
      <c r="E3">
        <v>0</v>
      </c>
      <c r="F3" t="s">
        <v>1381</v>
      </c>
      <c r="G3" t="s">
        <v>1382</v>
      </c>
      <c r="H3" t="s">
        <v>1383</v>
      </c>
      <c r="I3" t="s">
        <v>1382</v>
      </c>
      <c r="J3" t="s">
        <v>1382</v>
      </c>
      <c r="K3" t="b">
        <v>1</v>
      </c>
      <c r="L3" t="b">
        <v>0</v>
      </c>
      <c r="M3" t="s">
        <v>1382</v>
      </c>
      <c r="N3" t="s">
        <v>1384</v>
      </c>
      <c r="O3" t="s">
        <v>1385</v>
      </c>
      <c r="P3" t="s">
        <v>1386</v>
      </c>
      <c r="Q3" t="s">
        <v>1387</v>
      </c>
    </row>
    <row r="4" spans="1:17" x14ac:dyDescent="0.25">
      <c r="A4" t="s">
        <v>39</v>
      </c>
      <c r="B4" t="s">
        <v>1390</v>
      </c>
      <c r="C4" t="s">
        <v>366</v>
      </c>
      <c r="D4" t="s">
        <v>1391</v>
      </c>
      <c r="E4">
        <v>0</v>
      </c>
      <c r="F4" t="s">
        <v>1381</v>
      </c>
      <c r="G4" t="s">
        <v>1382</v>
      </c>
      <c r="H4" t="s">
        <v>1383</v>
      </c>
      <c r="I4" t="s">
        <v>1382</v>
      </c>
      <c r="J4" t="s">
        <v>1382</v>
      </c>
      <c r="K4" t="b">
        <v>1</v>
      </c>
      <c r="L4" t="b">
        <v>0</v>
      </c>
      <c r="M4" t="s">
        <v>1382</v>
      </c>
      <c r="N4" t="s">
        <v>1384</v>
      </c>
      <c r="O4" t="s">
        <v>1385</v>
      </c>
      <c r="P4" t="s">
        <v>1386</v>
      </c>
      <c r="Q4" t="s">
        <v>1387</v>
      </c>
    </row>
    <row r="5" spans="1:17" x14ac:dyDescent="0.25">
      <c r="A5" t="s">
        <v>39</v>
      </c>
      <c r="B5" t="s">
        <v>1392</v>
      </c>
      <c r="C5" t="s">
        <v>394</v>
      </c>
      <c r="D5" t="s">
        <v>1380</v>
      </c>
      <c r="E5">
        <v>0</v>
      </c>
      <c r="F5" t="s">
        <v>1381</v>
      </c>
      <c r="G5" t="s">
        <v>1382</v>
      </c>
      <c r="H5" t="s">
        <v>1393</v>
      </c>
      <c r="I5" t="s">
        <v>1382</v>
      </c>
      <c r="J5" t="s">
        <v>1382</v>
      </c>
      <c r="K5" t="b">
        <v>1</v>
      </c>
      <c r="L5" t="b">
        <v>0</v>
      </c>
      <c r="M5" t="s">
        <v>1382</v>
      </c>
      <c r="N5" t="s">
        <v>1384</v>
      </c>
      <c r="O5" t="s">
        <v>1385</v>
      </c>
      <c r="P5" t="s">
        <v>1386</v>
      </c>
      <c r="Q5" t="s">
        <v>1394</v>
      </c>
    </row>
    <row r="6" spans="1:17" x14ac:dyDescent="0.25">
      <c r="A6" t="s">
        <v>39</v>
      </c>
      <c r="B6" t="s">
        <v>1395</v>
      </c>
      <c r="C6" t="s">
        <v>394</v>
      </c>
      <c r="D6" t="s">
        <v>1380</v>
      </c>
      <c r="E6">
        <v>0</v>
      </c>
      <c r="F6" t="s">
        <v>1381</v>
      </c>
      <c r="G6" t="s">
        <v>1382</v>
      </c>
      <c r="H6" t="s">
        <v>1393</v>
      </c>
      <c r="I6" t="s">
        <v>1382</v>
      </c>
      <c r="J6" t="s">
        <v>1382</v>
      </c>
      <c r="K6" t="b">
        <v>1</v>
      </c>
      <c r="L6" t="b">
        <v>0</v>
      </c>
      <c r="M6" t="s">
        <v>1382</v>
      </c>
      <c r="N6" t="s">
        <v>1384</v>
      </c>
      <c r="O6" t="s">
        <v>1385</v>
      </c>
      <c r="P6" t="s">
        <v>1386</v>
      </c>
      <c r="Q6" t="s">
        <v>1396</v>
      </c>
    </row>
    <row r="7" spans="1:17" x14ac:dyDescent="0.25">
      <c r="A7" t="s">
        <v>39</v>
      </c>
      <c r="B7" t="s">
        <v>1397</v>
      </c>
      <c r="C7" t="s">
        <v>394</v>
      </c>
      <c r="D7" t="s">
        <v>1380</v>
      </c>
      <c r="E7">
        <v>0</v>
      </c>
      <c r="F7" t="s">
        <v>1381</v>
      </c>
      <c r="G7" t="s">
        <v>1382</v>
      </c>
      <c r="H7" t="s">
        <v>1393</v>
      </c>
      <c r="I7" t="s">
        <v>1382</v>
      </c>
      <c r="J7" t="s">
        <v>1382</v>
      </c>
      <c r="K7" t="b">
        <v>1</v>
      </c>
      <c r="L7" t="b">
        <v>0</v>
      </c>
      <c r="M7" t="s">
        <v>1382</v>
      </c>
      <c r="N7" t="s">
        <v>1384</v>
      </c>
      <c r="O7" t="s">
        <v>1385</v>
      </c>
      <c r="P7" t="s">
        <v>1386</v>
      </c>
      <c r="Q7" t="s">
        <v>1398</v>
      </c>
    </row>
    <row r="8" spans="1:17" x14ac:dyDescent="0.25">
      <c r="A8" t="s">
        <v>39</v>
      </c>
      <c r="B8" t="s">
        <v>1399</v>
      </c>
      <c r="C8" t="s">
        <v>117</v>
      </c>
      <c r="D8" t="s">
        <v>1380</v>
      </c>
      <c r="E8">
        <v>-497.072</v>
      </c>
      <c r="F8" t="s">
        <v>1400</v>
      </c>
      <c r="G8" t="s">
        <v>1401</v>
      </c>
      <c r="H8" t="s">
        <v>1383</v>
      </c>
      <c r="I8" t="s">
        <v>1402</v>
      </c>
      <c r="J8" t="s">
        <v>1382</v>
      </c>
      <c r="K8" t="b">
        <v>1</v>
      </c>
      <c r="L8" t="b">
        <v>0</v>
      </c>
      <c r="M8" t="s">
        <v>1382</v>
      </c>
      <c r="N8" t="s">
        <v>1403</v>
      </c>
      <c r="O8" t="s">
        <v>1385</v>
      </c>
      <c r="P8" t="s">
        <v>1404</v>
      </c>
      <c r="Q8" t="s">
        <v>1405</v>
      </c>
    </row>
    <row r="9" spans="1:17" x14ac:dyDescent="0.25">
      <c r="A9" t="s">
        <v>39</v>
      </c>
      <c r="B9" t="s">
        <v>1406</v>
      </c>
      <c r="C9" t="s">
        <v>117</v>
      </c>
      <c r="D9" t="s">
        <v>1407</v>
      </c>
      <c r="E9">
        <v>-613.572</v>
      </c>
      <c r="F9" t="s">
        <v>1400</v>
      </c>
      <c r="G9" t="s">
        <v>1408</v>
      </c>
      <c r="H9" t="s">
        <v>1383</v>
      </c>
      <c r="I9" t="s">
        <v>1409</v>
      </c>
      <c r="J9" t="s">
        <v>1382</v>
      </c>
      <c r="K9" t="b">
        <v>1</v>
      </c>
      <c r="L9" t="b">
        <v>0</v>
      </c>
      <c r="M9" t="s">
        <v>1382</v>
      </c>
      <c r="N9" t="s">
        <v>1403</v>
      </c>
      <c r="O9" t="s">
        <v>1385</v>
      </c>
      <c r="P9" t="s">
        <v>1404</v>
      </c>
      <c r="Q9" t="s">
        <v>1405</v>
      </c>
    </row>
    <row r="10" spans="1:17" x14ac:dyDescent="0.25">
      <c r="A10" t="s">
        <v>39</v>
      </c>
      <c r="B10" t="s">
        <v>1410</v>
      </c>
      <c r="C10" t="s">
        <v>117</v>
      </c>
      <c r="D10" t="s">
        <v>1411</v>
      </c>
      <c r="E10">
        <v>-858.806</v>
      </c>
      <c r="F10" t="s">
        <v>1400</v>
      </c>
      <c r="G10" t="s">
        <v>1412</v>
      </c>
      <c r="H10" t="s">
        <v>1383</v>
      </c>
      <c r="I10" t="s">
        <v>1413</v>
      </c>
      <c r="J10" t="s">
        <v>1382</v>
      </c>
      <c r="K10" t="b">
        <v>1</v>
      </c>
      <c r="L10" t="b">
        <v>0</v>
      </c>
      <c r="M10" t="s">
        <v>1382</v>
      </c>
      <c r="N10" t="s">
        <v>1403</v>
      </c>
      <c r="O10" t="s">
        <v>1385</v>
      </c>
      <c r="P10" t="s">
        <v>1404</v>
      </c>
      <c r="Q10" t="s">
        <v>1405</v>
      </c>
    </row>
    <row r="11" spans="1:17" x14ac:dyDescent="0.25">
      <c r="A11" t="s">
        <v>39</v>
      </c>
      <c r="B11" t="s">
        <v>1414</v>
      </c>
      <c r="C11" t="s">
        <v>117</v>
      </c>
      <c r="D11" t="s">
        <v>1415</v>
      </c>
      <c r="E11">
        <v>-771.532</v>
      </c>
      <c r="F11" t="s">
        <v>1400</v>
      </c>
      <c r="G11" t="s">
        <v>1416</v>
      </c>
      <c r="H11" t="s">
        <v>1383</v>
      </c>
      <c r="I11" t="s">
        <v>1382</v>
      </c>
      <c r="J11" t="s">
        <v>1382</v>
      </c>
      <c r="K11" t="b">
        <v>1</v>
      </c>
      <c r="L11" t="b">
        <v>0</v>
      </c>
      <c r="M11" t="s">
        <v>1382</v>
      </c>
      <c r="N11" t="s">
        <v>1403</v>
      </c>
      <c r="O11" t="s">
        <v>1385</v>
      </c>
      <c r="P11" t="s">
        <v>1404</v>
      </c>
      <c r="Q11" t="s">
        <v>1417</v>
      </c>
    </row>
    <row r="12" spans="1:17" x14ac:dyDescent="0.25">
      <c r="A12" t="s">
        <v>39</v>
      </c>
      <c r="B12" t="s">
        <v>1418</v>
      </c>
      <c r="C12" t="s">
        <v>117</v>
      </c>
      <c r="D12" t="s">
        <v>1389</v>
      </c>
      <c r="E12">
        <v>-813.739</v>
      </c>
      <c r="F12" t="s">
        <v>1400</v>
      </c>
      <c r="G12" t="s">
        <v>1419</v>
      </c>
      <c r="H12" t="s">
        <v>1383</v>
      </c>
      <c r="I12" t="s">
        <v>1420</v>
      </c>
      <c r="J12" t="s">
        <v>1382</v>
      </c>
      <c r="K12" t="b">
        <v>1</v>
      </c>
      <c r="L12" t="b">
        <v>0</v>
      </c>
      <c r="M12" t="s">
        <v>1382</v>
      </c>
      <c r="N12" t="s">
        <v>1403</v>
      </c>
      <c r="O12" t="s">
        <v>1385</v>
      </c>
      <c r="P12" t="s">
        <v>1404</v>
      </c>
      <c r="Q12" t="s">
        <v>1405</v>
      </c>
    </row>
    <row r="13" spans="1:17" x14ac:dyDescent="0.25">
      <c r="A13" t="s">
        <v>39</v>
      </c>
      <c r="B13" t="s">
        <v>1421</v>
      </c>
      <c r="C13" t="s">
        <v>117</v>
      </c>
      <c r="D13" t="s">
        <v>1422</v>
      </c>
      <c r="E13">
        <v>-859.851</v>
      </c>
      <c r="F13" t="s">
        <v>1400</v>
      </c>
      <c r="G13" t="s">
        <v>1423</v>
      </c>
      <c r="H13" t="s">
        <v>1383</v>
      </c>
      <c r="I13" t="s">
        <v>1424</v>
      </c>
      <c r="J13" t="s">
        <v>1382</v>
      </c>
      <c r="K13" t="b">
        <v>1</v>
      </c>
      <c r="L13" t="b">
        <v>0</v>
      </c>
      <c r="M13" t="s">
        <v>1382</v>
      </c>
      <c r="N13" t="s">
        <v>1403</v>
      </c>
      <c r="O13" t="s">
        <v>1385</v>
      </c>
      <c r="P13" t="s">
        <v>1404</v>
      </c>
      <c r="Q13" t="s">
        <v>1405</v>
      </c>
    </row>
    <row r="14" spans="1:17" x14ac:dyDescent="0.25">
      <c r="A14" t="s">
        <v>39</v>
      </c>
      <c r="B14" t="s">
        <v>1425</v>
      </c>
      <c r="C14" t="s">
        <v>117</v>
      </c>
      <c r="D14" t="s">
        <v>1426</v>
      </c>
      <c r="E14">
        <v>-912.037</v>
      </c>
      <c r="F14" t="s">
        <v>1400</v>
      </c>
      <c r="G14" t="s">
        <v>1427</v>
      </c>
      <c r="H14" t="s">
        <v>1383</v>
      </c>
      <c r="I14" t="s">
        <v>1428</v>
      </c>
      <c r="J14" t="s">
        <v>1382</v>
      </c>
      <c r="K14" t="b">
        <v>1</v>
      </c>
      <c r="L14" t="b">
        <v>0</v>
      </c>
      <c r="M14" t="s">
        <v>1382</v>
      </c>
      <c r="N14" t="s">
        <v>1403</v>
      </c>
      <c r="O14" t="s">
        <v>1385</v>
      </c>
      <c r="P14" t="s">
        <v>1404</v>
      </c>
      <c r="Q14" t="s">
        <v>1405</v>
      </c>
    </row>
    <row r="15" spans="1:17" x14ac:dyDescent="0.25">
      <c r="A15" t="s">
        <v>39</v>
      </c>
      <c r="B15" t="s">
        <v>1429</v>
      </c>
      <c r="C15" t="s">
        <v>117</v>
      </c>
      <c r="D15" t="s">
        <v>1430</v>
      </c>
      <c r="E15">
        <v>-894.639</v>
      </c>
      <c r="F15" t="s">
        <v>1400</v>
      </c>
      <c r="G15" t="s">
        <v>1431</v>
      </c>
      <c r="H15" t="s">
        <v>1383</v>
      </c>
      <c r="I15" t="s">
        <v>1382</v>
      </c>
      <c r="J15" t="s">
        <v>1382</v>
      </c>
      <c r="K15" t="b">
        <v>1</v>
      </c>
      <c r="L15" t="b">
        <v>0</v>
      </c>
      <c r="M15" t="s">
        <v>1382</v>
      </c>
      <c r="N15" t="s">
        <v>1403</v>
      </c>
      <c r="O15" t="s">
        <v>1385</v>
      </c>
      <c r="P15" t="s">
        <v>1404</v>
      </c>
      <c r="Q15" t="s">
        <v>1432</v>
      </c>
    </row>
    <row r="16" spans="1:17" x14ac:dyDescent="0.25">
      <c r="A16" t="s">
        <v>39</v>
      </c>
      <c r="B16" t="s">
        <v>1433</v>
      </c>
      <c r="C16" t="s">
        <v>117</v>
      </c>
      <c r="D16" t="s">
        <v>1391</v>
      </c>
      <c r="E16">
        <v>-879.845</v>
      </c>
      <c r="F16" t="s">
        <v>1400</v>
      </c>
      <c r="G16" t="s">
        <v>1434</v>
      </c>
      <c r="H16" t="s">
        <v>1383</v>
      </c>
      <c r="I16" t="s">
        <v>1435</v>
      </c>
      <c r="J16" t="s">
        <v>1382</v>
      </c>
      <c r="K16" t="b">
        <v>1</v>
      </c>
      <c r="L16" t="b">
        <v>0</v>
      </c>
      <c r="M16" t="s">
        <v>1382</v>
      </c>
      <c r="N16" t="s">
        <v>1403</v>
      </c>
      <c r="O16" t="s">
        <v>1385</v>
      </c>
      <c r="P16" t="s">
        <v>1404</v>
      </c>
      <c r="Q16" t="s">
        <v>1405</v>
      </c>
    </row>
    <row r="17" spans="1:17" x14ac:dyDescent="0.25">
      <c r="A17" t="s">
        <v>39</v>
      </c>
      <c r="B17" t="s">
        <v>1436</v>
      </c>
      <c r="C17" t="s">
        <v>117</v>
      </c>
      <c r="D17" t="s">
        <v>1437</v>
      </c>
      <c r="E17">
        <v>-859.868</v>
      </c>
      <c r="F17" t="s">
        <v>1400</v>
      </c>
      <c r="G17" t="s">
        <v>1423</v>
      </c>
      <c r="H17" t="s">
        <v>1383</v>
      </c>
      <c r="I17" t="s">
        <v>1424</v>
      </c>
      <c r="J17" t="s">
        <v>1382</v>
      </c>
      <c r="K17" t="b">
        <v>1</v>
      </c>
      <c r="L17" t="b">
        <v>0</v>
      </c>
      <c r="M17" t="s">
        <v>1382</v>
      </c>
      <c r="N17" t="s">
        <v>1403</v>
      </c>
      <c r="O17" t="s">
        <v>1385</v>
      </c>
      <c r="P17" t="s">
        <v>1404</v>
      </c>
      <c r="Q17" t="s">
        <v>1405</v>
      </c>
    </row>
    <row r="18" spans="1:17" x14ac:dyDescent="0.25">
      <c r="A18" t="s">
        <v>39</v>
      </c>
      <c r="B18" t="s">
        <v>1438</v>
      </c>
      <c r="C18" t="s">
        <v>117</v>
      </c>
      <c r="D18" t="s">
        <v>1439</v>
      </c>
      <c r="E18">
        <v>-860.242</v>
      </c>
      <c r="F18" t="s">
        <v>1400</v>
      </c>
      <c r="G18" t="s">
        <v>1440</v>
      </c>
      <c r="H18" t="s">
        <v>1383</v>
      </c>
      <c r="I18" t="s">
        <v>1428</v>
      </c>
      <c r="J18" t="s">
        <v>1382</v>
      </c>
      <c r="K18" t="b">
        <v>1</v>
      </c>
      <c r="L18" t="b">
        <v>0</v>
      </c>
      <c r="M18" t="s">
        <v>1382</v>
      </c>
      <c r="N18" t="s">
        <v>1403</v>
      </c>
      <c r="O18" t="s">
        <v>1385</v>
      </c>
      <c r="P18" t="s">
        <v>1404</v>
      </c>
      <c r="Q18" t="s">
        <v>1405</v>
      </c>
    </row>
    <row r="19" spans="1:17" x14ac:dyDescent="0.25">
      <c r="A19" t="s">
        <v>39</v>
      </c>
      <c r="B19" t="s">
        <v>1441</v>
      </c>
      <c r="C19" t="s">
        <v>117</v>
      </c>
      <c r="D19" t="s">
        <v>1442</v>
      </c>
      <c r="E19">
        <v>-879.971</v>
      </c>
      <c r="F19" t="s">
        <v>1400</v>
      </c>
      <c r="G19" t="s">
        <v>1443</v>
      </c>
      <c r="H19" t="s">
        <v>1383</v>
      </c>
      <c r="I19" t="s">
        <v>1382</v>
      </c>
      <c r="J19" t="s">
        <v>1382</v>
      </c>
      <c r="K19" t="b">
        <v>1</v>
      </c>
      <c r="L19" t="b">
        <v>0</v>
      </c>
      <c r="M19" t="s">
        <v>1382</v>
      </c>
      <c r="N19" t="s">
        <v>1403</v>
      </c>
      <c r="O19" t="s">
        <v>1385</v>
      </c>
      <c r="P19" t="s">
        <v>1404</v>
      </c>
      <c r="Q19" t="s">
        <v>1444</v>
      </c>
    </row>
    <row r="20" spans="1:17" x14ac:dyDescent="0.25">
      <c r="A20" t="s">
        <v>39</v>
      </c>
      <c r="B20" t="s">
        <v>1445</v>
      </c>
      <c r="C20" t="s">
        <v>258</v>
      </c>
      <c r="D20" t="s">
        <v>1380</v>
      </c>
      <c r="E20">
        <v>-703.058</v>
      </c>
      <c r="F20" t="s">
        <v>1400</v>
      </c>
      <c r="G20" t="s">
        <v>1446</v>
      </c>
      <c r="H20" t="s">
        <v>1383</v>
      </c>
      <c r="I20" t="s">
        <v>1402</v>
      </c>
      <c r="J20" t="s">
        <v>1382</v>
      </c>
      <c r="K20" t="b">
        <v>1</v>
      </c>
      <c r="L20" t="b">
        <v>0</v>
      </c>
      <c r="M20" t="s">
        <v>1382</v>
      </c>
      <c r="N20" t="s">
        <v>1403</v>
      </c>
      <c r="O20" t="s">
        <v>1385</v>
      </c>
      <c r="P20" t="s">
        <v>1404</v>
      </c>
      <c r="Q20" t="s">
        <v>1447</v>
      </c>
    </row>
    <row r="21" spans="1:17" x14ac:dyDescent="0.25">
      <c r="A21" t="s">
        <v>39</v>
      </c>
      <c r="B21" t="s">
        <v>1448</v>
      </c>
      <c r="C21" t="s">
        <v>258</v>
      </c>
      <c r="D21" t="s">
        <v>1407</v>
      </c>
      <c r="E21">
        <v>-575.868</v>
      </c>
      <c r="F21" t="s">
        <v>1400</v>
      </c>
      <c r="G21" t="s">
        <v>1449</v>
      </c>
      <c r="H21" t="s">
        <v>1383</v>
      </c>
      <c r="I21" t="s">
        <v>1409</v>
      </c>
      <c r="J21" t="s">
        <v>1382</v>
      </c>
      <c r="K21" t="b">
        <v>1</v>
      </c>
      <c r="L21" t="b">
        <v>0</v>
      </c>
      <c r="M21" t="s">
        <v>1382</v>
      </c>
      <c r="N21" t="s">
        <v>1403</v>
      </c>
      <c r="O21" t="s">
        <v>1385</v>
      </c>
      <c r="P21" t="s">
        <v>1404</v>
      </c>
      <c r="Q21" t="s">
        <v>1447</v>
      </c>
    </row>
    <row r="22" spans="1:17" x14ac:dyDescent="0.25">
      <c r="A22" t="s">
        <v>39</v>
      </c>
      <c r="B22" t="s">
        <v>1450</v>
      </c>
      <c r="C22" t="s">
        <v>258</v>
      </c>
      <c r="D22" t="s">
        <v>1411</v>
      </c>
      <c r="E22">
        <v>-644.059</v>
      </c>
      <c r="F22" t="s">
        <v>1400</v>
      </c>
      <c r="G22" t="s">
        <v>1451</v>
      </c>
      <c r="H22" t="s">
        <v>1383</v>
      </c>
      <c r="I22" t="s">
        <v>1413</v>
      </c>
      <c r="J22" t="s">
        <v>1382</v>
      </c>
      <c r="K22" t="b">
        <v>1</v>
      </c>
      <c r="L22" t="b">
        <v>0</v>
      </c>
      <c r="M22" t="s">
        <v>1382</v>
      </c>
      <c r="N22" t="s">
        <v>1403</v>
      </c>
      <c r="O22" t="s">
        <v>1385</v>
      </c>
      <c r="P22" t="s">
        <v>1404</v>
      </c>
      <c r="Q22" t="s">
        <v>1447</v>
      </c>
    </row>
    <row r="23" spans="1:17" x14ac:dyDescent="0.25">
      <c r="A23" t="s">
        <v>39</v>
      </c>
      <c r="B23" t="s">
        <v>1452</v>
      </c>
      <c r="C23" t="s">
        <v>258</v>
      </c>
      <c r="D23" t="s">
        <v>1415</v>
      </c>
      <c r="E23">
        <v>-612.287</v>
      </c>
      <c r="F23" t="s">
        <v>1400</v>
      </c>
      <c r="G23" t="s">
        <v>1453</v>
      </c>
      <c r="H23" t="s">
        <v>1383</v>
      </c>
      <c r="I23" t="s">
        <v>1382</v>
      </c>
      <c r="J23" t="s">
        <v>1382</v>
      </c>
      <c r="K23" t="b">
        <v>1</v>
      </c>
      <c r="L23" t="b">
        <v>0</v>
      </c>
      <c r="M23" t="s">
        <v>1382</v>
      </c>
      <c r="N23" t="s">
        <v>1403</v>
      </c>
      <c r="O23" t="s">
        <v>1385</v>
      </c>
      <c r="P23" t="s">
        <v>1404</v>
      </c>
      <c r="Q23" t="s">
        <v>1454</v>
      </c>
    </row>
    <row r="24" spans="1:17" x14ac:dyDescent="0.25">
      <c r="A24" t="s">
        <v>39</v>
      </c>
      <c r="B24" t="s">
        <v>1455</v>
      </c>
      <c r="C24" t="s">
        <v>258</v>
      </c>
      <c r="D24" t="s">
        <v>1389</v>
      </c>
      <c r="E24">
        <v>-926.871</v>
      </c>
      <c r="F24" t="s">
        <v>1400</v>
      </c>
      <c r="G24" t="s">
        <v>1456</v>
      </c>
      <c r="H24" t="s">
        <v>1383</v>
      </c>
      <c r="I24" t="s">
        <v>1420</v>
      </c>
      <c r="J24" t="s">
        <v>1382</v>
      </c>
      <c r="K24" t="b">
        <v>1</v>
      </c>
      <c r="L24" t="b">
        <v>0</v>
      </c>
      <c r="M24" t="s">
        <v>1382</v>
      </c>
      <c r="N24" t="s">
        <v>1403</v>
      </c>
      <c r="O24" t="s">
        <v>1385</v>
      </c>
      <c r="P24" t="s">
        <v>1404</v>
      </c>
      <c r="Q24" t="s">
        <v>1447</v>
      </c>
    </row>
    <row r="25" spans="1:17" x14ac:dyDescent="0.25">
      <c r="A25" t="s">
        <v>39</v>
      </c>
      <c r="B25" t="s">
        <v>1457</v>
      </c>
      <c r="C25" t="s">
        <v>258</v>
      </c>
      <c r="D25" t="s">
        <v>1422</v>
      </c>
      <c r="E25">
        <v>-861.993</v>
      </c>
      <c r="F25" t="s">
        <v>1400</v>
      </c>
      <c r="G25" t="s">
        <v>1458</v>
      </c>
      <c r="H25" t="s">
        <v>1383</v>
      </c>
      <c r="I25" t="s">
        <v>1424</v>
      </c>
      <c r="J25" t="s">
        <v>1382</v>
      </c>
      <c r="K25" t="b">
        <v>1</v>
      </c>
      <c r="L25" t="b">
        <v>0</v>
      </c>
      <c r="M25" t="s">
        <v>1382</v>
      </c>
      <c r="N25" t="s">
        <v>1403</v>
      </c>
      <c r="O25" t="s">
        <v>1385</v>
      </c>
      <c r="P25" t="s">
        <v>1404</v>
      </c>
      <c r="Q25" t="s">
        <v>1447</v>
      </c>
    </row>
    <row r="26" spans="1:17" x14ac:dyDescent="0.25">
      <c r="A26" t="s">
        <v>39</v>
      </c>
      <c r="B26" t="s">
        <v>1459</v>
      </c>
      <c r="C26" t="s">
        <v>258</v>
      </c>
      <c r="D26" t="s">
        <v>1426</v>
      </c>
      <c r="E26">
        <v>-889.098</v>
      </c>
      <c r="F26" t="s">
        <v>1400</v>
      </c>
      <c r="G26" t="s">
        <v>1460</v>
      </c>
      <c r="H26" t="s">
        <v>1383</v>
      </c>
      <c r="I26" t="s">
        <v>1428</v>
      </c>
      <c r="J26" t="s">
        <v>1382</v>
      </c>
      <c r="K26" t="b">
        <v>1</v>
      </c>
      <c r="L26" t="b">
        <v>0</v>
      </c>
      <c r="M26" t="s">
        <v>1382</v>
      </c>
      <c r="N26" t="s">
        <v>1403</v>
      </c>
      <c r="O26" t="s">
        <v>1385</v>
      </c>
      <c r="P26" t="s">
        <v>1404</v>
      </c>
      <c r="Q26" t="s">
        <v>1447</v>
      </c>
    </row>
    <row r="27" spans="1:17" x14ac:dyDescent="0.25">
      <c r="A27" t="s">
        <v>39</v>
      </c>
      <c r="B27" t="s">
        <v>1461</v>
      </c>
      <c r="C27" t="s">
        <v>258</v>
      </c>
      <c r="D27" t="s">
        <v>1430</v>
      </c>
      <c r="E27">
        <v>-981.626</v>
      </c>
      <c r="F27" t="s">
        <v>1400</v>
      </c>
      <c r="G27" t="s">
        <v>1462</v>
      </c>
      <c r="H27" t="s">
        <v>1383</v>
      </c>
      <c r="I27" t="s">
        <v>1382</v>
      </c>
      <c r="J27" t="s">
        <v>1382</v>
      </c>
      <c r="K27" t="b">
        <v>1</v>
      </c>
      <c r="L27" t="b">
        <v>0</v>
      </c>
      <c r="M27" t="s">
        <v>1382</v>
      </c>
      <c r="N27" t="s">
        <v>1403</v>
      </c>
      <c r="O27" t="s">
        <v>1385</v>
      </c>
      <c r="P27" t="s">
        <v>1404</v>
      </c>
      <c r="Q27" t="s">
        <v>1463</v>
      </c>
    </row>
    <row r="28" spans="1:17" x14ac:dyDescent="0.25">
      <c r="A28" t="s">
        <v>39</v>
      </c>
      <c r="B28" t="s">
        <v>1464</v>
      </c>
      <c r="C28" t="s">
        <v>258</v>
      </c>
      <c r="D28" t="s">
        <v>1391</v>
      </c>
      <c r="E28">
        <v>-841.127</v>
      </c>
      <c r="F28" t="s">
        <v>1400</v>
      </c>
      <c r="G28" t="s">
        <v>1465</v>
      </c>
      <c r="H28" t="s">
        <v>1383</v>
      </c>
      <c r="I28" t="s">
        <v>1435</v>
      </c>
      <c r="J28" t="s">
        <v>1382</v>
      </c>
      <c r="K28" t="b">
        <v>1</v>
      </c>
      <c r="L28" t="b">
        <v>0</v>
      </c>
      <c r="M28" t="s">
        <v>1382</v>
      </c>
      <c r="N28" t="s">
        <v>1403</v>
      </c>
      <c r="O28" t="s">
        <v>1385</v>
      </c>
      <c r="P28" t="s">
        <v>1404</v>
      </c>
      <c r="Q28" t="s">
        <v>1447</v>
      </c>
    </row>
    <row r="29" spans="1:17" x14ac:dyDescent="0.25">
      <c r="A29" t="s">
        <v>39</v>
      </c>
      <c r="B29" t="s">
        <v>1466</v>
      </c>
      <c r="C29" t="s">
        <v>258</v>
      </c>
      <c r="D29" t="s">
        <v>1437</v>
      </c>
      <c r="E29">
        <v>-854.839</v>
      </c>
      <c r="F29" t="s">
        <v>1400</v>
      </c>
      <c r="G29" t="s">
        <v>1467</v>
      </c>
      <c r="H29" t="s">
        <v>1383</v>
      </c>
      <c r="I29" t="s">
        <v>1424</v>
      </c>
      <c r="J29" t="s">
        <v>1382</v>
      </c>
      <c r="K29" t="b">
        <v>1</v>
      </c>
      <c r="L29" t="b">
        <v>0</v>
      </c>
      <c r="M29" t="s">
        <v>1382</v>
      </c>
      <c r="N29" t="s">
        <v>1403</v>
      </c>
      <c r="O29" t="s">
        <v>1385</v>
      </c>
      <c r="P29" t="s">
        <v>1404</v>
      </c>
      <c r="Q29" t="s">
        <v>1447</v>
      </c>
    </row>
    <row r="30" spans="1:17" x14ac:dyDescent="0.25">
      <c r="A30" t="s">
        <v>39</v>
      </c>
      <c r="B30" t="s">
        <v>1468</v>
      </c>
      <c r="C30" t="s">
        <v>258</v>
      </c>
      <c r="D30" t="s">
        <v>1439</v>
      </c>
      <c r="E30">
        <v>-1083.51</v>
      </c>
      <c r="F30" t="s">
        <v>1400</v>
      </c>
      <c r="G30" t="s">
        <v>1469</v>
      </c>
      <c r="H30" t="s">
        <v>1383</v>
      </c>
      <c r="I30" t="s">
        <v>1428</v>
      </c>
      <c r="J30" t="s">
        <v>1382</v>
      </c>
      <c r="K30" t="b">
        <v>1</v>
      </c>
      <c r="L30" t="b">
        <v>0</v>
      </c>
      <c r="M30" t="s">
        <v>1382</v>
      </c>
      <c r="N30" t="s">
        <v>1403</v>
      </c>
      <c r="O30" t="s">
        <v>1385</v>
      </c>
      <c r="P30" t="s">
        <v>1404</v>
      </c>
      <c r="Q30" t="s">
        <v>1447</v>
      </c>
    </row>
    <row r="31" spans="1:17" x14ac:dyDescent="0.25">
      <c r="A31" t="s">
        <v>39</v>
      </c>
      <c r="B31" t="s">
        <v>1470</v>
      </c>
      <c r="C31" t="s">
        <v>258</v>
      </c>
      <c r="D31" t="s">
        <v>1442</v>
      </c>
      <c r="E31">
        <v>-1080.7790000000005</v>
      </c>
      <c r="F31" t="s">
        <v>1471</v>
      </c>
      <c r="G31" t="s">
        <v>1382</v>
      </c>
      <c r="H31" t="s">
        <v>1383</v>
      </c>
      <c r="I31" t="s">
        <v>1382</v>
      </c>
      <c r="J31" t="s">
        <v>1382</v>
      </c>
      <c r="K31" t="b">
        <v>0</v>
      </c>
      <c r="L31" t="b">
        <v>1</v>
      </c>
      <c r="M31" t="s">
        <v>1472</v>
      </c>
      <c r="N31" t="s">
        <v>1384</v>
      </c>
      <c r="O31" t="s">
        <v>1473</v>
      </c>
      <c r="P31" t="s">
        <v>1474</v>
      </c>
      <c r="Q31" t="s">
        <v>1475</v>
      </c>
    </row>
    <row r="32" spans="1:17" x14ac:dyDescent="0.25">
      <c r="A32" t="s">
        <v>39</v>
      </c>
      <c r="B32" t="s">
        <v>1476</v>
      </c>
      <c r="C32" t="s">
        <v>259</v>
      </c>
      <c r="D32" t="s">
        <v>1380</v>
      </c>
      <c r="E32">
        <v>-333.38</v>
      </c>
      <c r="F32" t="s">
        <v>1477</v>
      </c>
      <c r="G32" t="s">
        <v>1478</v>
      </c>
      <c r="H32" t="s">
        <v>1383</v>
      </c>
      <c r="I32" t="s">
        <v>1402</v>
      </c>
      <c r="J32" t="s">
        <v>1382</v>
      </c>
      <c r="K32" t="b">
        <v>1</v>
      </c>
      <c r="L32" t="b">
        <v>0</v>
      </c>
      <c r="M32" t="s">
        <v>1382</v>
      </c>
      <c r="N32" t="s">
        <v>1403</v>
      </c>
      <c r="O32" t="s">
        <v>1385</v>
      </c>
      <c r="P32" t="s">
        <v>1404</v>
      </c>
      <c r="Q32" t="s">
        <v>1479</v>
      </c>
    </row>
    <row r="33" spans="1:17" x14ac:dyDescent="0.25">
      <c r="A33" t="s">
        <v>39</v>
      </c>
      <c r="B33" t="s">
        <v>1480</v>
      </c>
      <c r="C33" t="s">
        <v>259</v>
      </c>
      <c r="D33" t="s">
        <v>1407</v>
      </c>
      <c r="E33">
        <v>-365.193</v>
      </c>
      <c r="F33" t="s">
        <v>1477</v>
      </c>
      <c r="G33" t="s">
        <v>1481</v>
      </c>
      <c r="H33" t="s">
        <v>1383</v>
      </c>
      <c r="I33" t="s">
        <v>1409</v>
      </c>
      <c r="J33" t="s">
        <v>1382</v>
      </c>
      <c r="K33" t="b">
        <v>1</v>
      </c>
      <c r="L33" t="b">
        <v>0</v>
      </c>
      <c r="M33" t="s">
        <v>1382</v>
      </c>
      <c r="N33" t="s">
        <v>1403</v>
      </c>
      <c r="O33" t="s">
        <v>1385</v>
      </c>
      <c r="P33" t="s">
        <v>1404</v>
      </c>
      <c r="Q33" t="s">
        <v>1479</v>
      </c>
    </row>
    <row r="34" spans="1:17" x14ac:dyDescent="0.25">
      <c r="A34" t="s">
        <v>39</v>
      </c>
      <c r="B34" t="s">
        <v>1482</v>
      </c>
      <c r="C34" t="s">
        <v>259</v>
      </c>
      <c r="D34" t="s">
        <v>1411</v>
      </c>
      <c r="E34">
        <v>-362.757</v>
      </c>
      <c r="F34" t="s">
        <v>1477</v>
      </c>
      <c r="G34" t="s">
        <v>1483</v>
      </c>
      <c r="H34" t="s">
        <v>1383</v>
      </c>
      <c r="I34" t="s">
        <v>1413</v>
      </c>
      <c r="J34" t="s">
        <v>1382</v>
      </c>
      <c r="K34" t="b">
        <v>1</v>
      </c>
      <c r="L34" t="b">
        <v>0</v>
      </c>
      <c r="M34" t="s">
        <v>1382</v>
      </c>
      <c r="N34" t="s">
        <v>1403</v>
      </c>
      <c r="O34" t="s">
        <v>1385</v>
      </c>
      <c r="P34" t="s">
        <v>1404</v>
      </c>
      <c r="Q34" t="s">
        <v>1479</v>
      </c>
    </row>
    <row r="35" spans="1:17" x14ac:dyDescent="0.25">
      <c r="A35" t="s">
        <v>39</v>
      </c>
      <c r="B35" t="s">
        <v>1484</v>
      </c>
      <c r="C35" t="s">
        <v>259</v>
      </c>
      <c r="D35" t="s">
        <v>1415</v>
      </c>
      <c r="E35">
        <v>-393.521</v>
      </c>
      <c r="F35" t="s">
        <v>1477</v>
      </c>
      <c r="G35" t="s">
        <v>1485</v>
      </c>
      <c r="H35" t="s">
        <v>1383</v>
      </c>
      <c r="I35" t="s">
        <v>1486</v>
      </c>
      <c r="J35" t="s">
        <v>1382</v>
      </c>
      <c r="K35" t="b">
        <v>1</v>
      </c>
      <c r="L35" t="b">
        <v>0</v>
      </c>
      <c r="M35" t="s">
        <v>1382</v>
      </c>
      <c r="N35" t="s">
        <v>1403</v>
      </c>
      <c r="O35" t="s">
        <v>1385</v>
      </c>
      <c r="P35" t="s">
        <v>1404</v>
      </c>
      <c r="Q35" t="s">
        <v>1487</v>
      </c>
    </row>
    <row r="36" spans="1:17" x14ac:dyDescent="0.25">
      <c r="A36" t="s">
        <v>39</v>
      </c>
      <c r="B36" t="s">
        <v>1488</v>
      </c>
      <c r="C36" t="s">
        <v>259</v>
      </c>
      <c r="D36" t="s">
        <v>1389</v>
      </c>
      <c r="E36">
        <v>-429.314</v>
      </c>
      <c r="F36" t="s">
        <v>1477</v>
      </c>
      <c r="G36" t="s">
        <v>1489</v>
      </c>
      <c r="H36" t="s">
        <v>1383</v>
      </c>
      <c r="I36" t="s">
        <v>1420</v>
      </c>
      <c r="J36" t="s">
        <v>1382</v>
      </c>
      <c r="K36" t="b">
        <v>1</v>
      </c>
      <c r="L36" t="b">
        <v>0</v>
      </c>
      <c r="M36" t="s">
        <v>1382</v>
      </c>
      <c r="N36" t="s">
        <v>1403</v>
      </c>
      <c r="O36" t="s">
        <v>1385</v>
      </c>
      <c r="P36" t="s">
        <v>1404</v>
      </c>
      <c r="Q36" t="s">
        <v>1479</v>
      </c>
    </row>
    <row r="37" spans="1:17" x14ac:dyDescent="0.25">
      <c r="A37" t="s">
        <v>39</v>
      </c>
      <c r="B37" t="s">
        <v>1490</v>
      </c>
      <c r="C37" t="s">
        <v>259</v>
      </c>
      <c r="D37" t="s">
        <v>1422</v>
      </c>
      <c r="E37">
        <v>-437.776</v>
      </c>
      <c r="F37" t="s">
        <v>1477</v>
      </c>
      <c r="G37" t="s">
        <v>1491</v>
      </c>
      <c r="H37" t="s">
        <v>1383</v>
      </c>
      <c r="I37" t="s">
        <v>1424</v>
      </c>
      <c r="J37" t="s">
        <v>1382</v>
      </c>
      <c r="K37" t="b">
        <v>1</v>
      </c>
      <c r="L37" t="b">
        <v>0</v>
      </c>
      <c r="M37" t="s">
        <v>1382</v>
      </c>
      <c r="N37" t="s">
        <v>1403</v>
      </c>
      <c r="O37" t="s">
        <v>1385</v>
      </c>
      <c r="P37" t="s">
        <v>1404</v>
      </c>
      <c r="Q37" t="s">
        <v>1479</v>
      </c>
    </row>
    <row r="38" spans="1:17" x14ac:dyDescent="0.25">
      <c r="A38" t="s">
        <v>39</v>
      </c>
      <c r="B38" t="s">
        <v>1492</v>
      </c>
      <c r="C38" t="s">
        <v>259</v>
      </c>
      <c r="D38" t="s">
        <v>1426</v>
      </c>
      <c r="E38">
        <v>-414.949</v>
      </c>
      <c r="F38" t="s">
        <v>1477</v>
      </c>
      <c r="G38" t="s">
        <v>1493</v>
      </c>
      <c r="H38" t="s">
        <v>1383</v>
      </c>
      <c r="I38" t="s">
        <v>1428</v>
      </c>
      <c r="J38" t="s">
        <v>1382</v>
      </c>
      <c r="K38" t="b">
        <v>1</v>
      </c>
      <c r="L38" t="b">
        <v>0</v>
      </c>
      <c r="M38" t="s">
        <v>1382</v>
      </c>
      <c r="N38" t="s">
        <v>1403</v>
      </c>
      <c r="O38" t="s">
        <v>1385</v>
      </c>
      <c r="P38" t="s">
        <v>1404</v>
      </c>
      <c r="Q38" t="s">
        <v>1479</v>
      </c>
    </row>
    <row r="39" spans="1:17" x14ac:dyDescent="0.25">
      <c r="A39" t="s">
        <v>39</v>
      </c>
      <c r="B39" t="s">
        <v>1494</v>
      </c>
      <c r="C39" t="s">
        <v>259</v>
      </c>
      <c r="D39" t="s">
        <v>1430</v>
      </c>
      <c r="E39">
        <v>-464.103</v>
      </c>
      <c r="F39" t="s">
        <v>1477</v>
      </c>
      <c r="G39" t="s">
        <v>1495</v>
      </c>
      <c r="H39" t="s">
        <v>1383</v>
      </c>
      <c r="I39" t="s">
        <v>1486</v>
      </c>
      <c r="J39" t="s">
        <v>1382</v>
      </c>
      <c r="K39" t="b">
        <v>1</v>
      </c>
      <c r="L39" t="b">
        <v>0</v>
      </c>
      <c r="M39" t="s">
        <v>1382</v>
      </c>
      <c r="N39" t="s">
        <v>1403</v>
      </c>
      <c r="O39" t="s">
        <v>1385</v>
      </c>
      <c r="P39" t="s">
        <v>1404</v>
      </c>
      <c r="Q39" t="s">
        <v>1496</v>
      </c>
    </row>
    <row r="40" spans="1:17" x14ac:dyDescent="0.25">
      <c r="A40" t="s">
        <v>39</v>
      </c>
      <c r="B40" t="s">
        <v>1497</v>
      </c>
      <c r="C40" t="s">
        <v>259</v>
      </c>
      <c r="D40" t="s">
        <v>1391</v>
      </c>
      <c r="E40">
        <v>-441.713</v>
      </c>
      <c r="F40" t="s">
        <v>1477</v>
      </c>
      <c r="G40" t="s">
        <v>1498</v>
      </c>
      <c r="H40" t="s">
        <v>1383</v>
      </c>
      <c r="I40" t="s">
        <v>1435</v>
      </c>
      <c r="J40" t="s">
        <v>1382</v>
      </c>
      <c r="K40" t="b">
        <v>1</v>
      </c>
      <c r="L40" t="b">
        <v>0</v>
      </c>
      <c r="M40" t="s">
        <v>1382</v>
      </c>
      <c r="N40" t="s">
        <v>1403</v>
      </c>
      <c r="O40" t="s">
        <v>1385</v>
      </c>
      <c r="P40" t="s">
        <v>1404</v>
      </c>
      <c r="Q40" t="s">
        <v>1479</v>
      </c>
    </row>
    <row r="41" spans="1:17" x14ac:dyDescent="0.25">
      <c r="A41" t="s">
        <v>39</v>
      </c>
      <c r="B41" t="s">
        <v>1499</v>
      </c>
      <c r="C41" t="s">
        <v>259</v>
      </c>
      <c r="D41" t="s">
        <v>1437</v>
      </c>
      <c r="E41">
        <v>-479.017</v>
      </c>
      <c r="F41" t="s">
        <v>1477</v>
      </c>
      <c r="G41" t="s">
        <v>1500</v>
      </c>
      <c r="H41" t="s">
        <v>1383</v>
      </c>
      <c r="I41" t="s">
        <v>1424</v>
      </c>
      <c r="J41" t="s">
        <v>1382</v>
      </c>
      <c r="K41" t="b">
        <v>1</v>
      </c>
      <c r="L41" t="b">
        <v>0</v>
      </c>
      <c r="M41" t="s">
        <v>1382</v>
      </c>
      <c r="N41" t="s">
        <v>1403</v>
      </c>
      <c r="O41" t="s">
        <v>1385</v>
      </c>
      <c r="P41" t="s">
        <v>1404</v>
      </c>
      <c r="Q41" t="s">
        <v>1479</v>
      </c>
    </row>
    <row r="42" spans="1:17" x14ac:dyDescent="0.25">
      <c r="A42" t="s">
        <v>39</v>
      </c>
      <c r="B42" t="s">
        <v>1501</v>
      </c>
      <c r="C42" t="s">
        <v>259</v>
      </c>
      <c r="D42" t="s">
        <v>1439</v>
      </c>
      <c r="E42">
        <v>-483.903</v>
      </c>
      <c r="F42" t="s">
        <v>1477</v>
      </c>
      <c r="G42" t="s">
        <v>1502</v>
      </c>
      <c r="H42" t="s">
        <v>1383</v>
      </c>
      <c r="I42" t="s">
        <v>1428</v>
      </c>
      <c r="J42" t="s">
        <v>1382</v>
      </c>
      <c r="K42" t="b">
        <v>1</v>
      </c>
      <c r="L42" t="b">
        <v>0</v>
      </c>
      <c r="M42" t="s">
        <v>1382</v>
      </c>
      <c r="N42" t="s">
        <v>1403</v>
      </c>
      <c r="O42" t="s">
        <v>1385</v>
      </c>
      <c r="P42" t="s">
        <v>1404</v>
      </c>
      <c r="Q42" t="s">
        <v>1479</v>
      </c>
    </row>
    <row r="43" spans="1:17" x14ac:dyDescent="0.25">
      <c r="A43" t="s">
        <v>39</v>
      </c>
      <c r="B43" t="s">
        <v>1503</v>
      </c>
      <c r="C43" t="s">
        <v>259</v>
      </c>
      <c r="D43" t="s">
        <v>1442</v>
      </c>
      <c r="E43">
        <v>-544.5130000000001</v>
      </c>
      <c r="F43" t="s">
        <v>1471</v>
      </c>
      <c r="G43" t="s">
        <v>1382</v>
      </c>
      <c r="H43" t="s">
        <v>1383</v>
      </c>
      <c r="I43" t="s">
        <v>1382</v>
      </c>
      <c r="J43" t="s">
        <v>1382</v>
      </c>
      <c r="K43" t="b">
        <v>0</v>
      </c>
      <c r="L43" t="b">
        <v>1</v>
      </c>
      <c r="M43" t="s">
        <v>1472</v>
      </c>
      <c r="N43" t="s">
        <v>1384</v>
      </c>
      <c r="O43" t="s">
        <v>1473</v>
      </c>
      <c r="P43" t="s">
        <v>1474</v>
      </c>
      <c r="Q43" t="s">
        <v>1475</v>
      </c>
    </row>
    <row r="44" spans="1:17" x14ac:dyDescent="0.25">
      <c r="A44" t="s">
        <v>39</v>
      </c>
      <c r="B44" t="s">
        <v>1504</v>
      </c>
      <c r="C44" t="s">
        <v>260</v>
      </c>
      <c r="D44" t="s">
        <v>1380</v>
      </c>
      <c r="E44">
        <v>-33.292</v>
      </c>
      <c r="F44" t="s">
        <v>1400</v>
      </c>
      <c r="G44" t="s">
        <v>1505</v>
      </c>
      <c r="H44" t="s">
        <v>1383</v>
      </c>
      <c r="I44" t="s">
        <v>1402</v>
      </c>
      <c r="J44" t="s">
        <v>1382</v>
      </c>
      <c r="K44" t="b">
        <v>1</v>
      </c>
      <c r="L44" t="b">
        <v>0</v>
      </c>
      <c r="M44" t="s">
        <v>1382</v>
      </c>
      <c r="N44" t="s">
        <v>1506</v>
      </c>
      <c r="O44" t="s">
        <v>1385</v>
      </c>
      <c r="P44" t="s">
        <v>1404</v>
      </c>
      <c r="Q44" t="s">
        <v>1382</v>
      </c>
    </row>
    <row r="45" spans="1:17" x14ac:dyDescent="0.25">
      <c r="A45" t="s">
        <v>39</v>
      </c>
      <c r="B45" t="s">
        <v>1507</v>
      </c>
      <c r="C45" t="s">
        <v>260</v>
      </c>
      <c r="D45" t="s">
        <v>1407</v>
      </c>
      <c r="E45">
        <v>-25.31</v>
      </c>
      <c r="F45" t="s">
        <v>1400</v>
      </c>
      <c r="G45" t="s">
        <v>1508</v>
      </c>
      <c r="H45" t="s">
        <v>1383</v>
      </c>
      <c r="I45" t="s">
        <v>1409</v>
      </c>
      <c r="J45" t="s">
        <v>1382</v>
      </c>
      <c r="K45" t="b">
        <v>1</v>
      </c>
      <c r="L45" t="b">
        <v>0</v>
      </c>
      <c r="M45" t="s">
        <v>1382</v>
      </c>
      <c r="N45" t="s">
        <v>1506</v>
      </c>
      <c r="O45" t="s">
        <v>1385</v>
      </c>
      <c r="P45" t="s">
        <v>1404</v>
      </c>
      <c r="Q45" t="s">
        <v>1382</v>
      </c>
    </row>
    <row r="46" spans="1:17" x14ac:dyDescent="0.25">
      <c r="A46" t="s">
        <v>39</v>
      </c>
      <c r="B46" t="s">
        <v>1509</v>
      </c>
      <c r="C46" t="s">
        <v>260</v>
      </c>
      <c r="D46" t="s">
        <v>1411</v>
      </c>
      <c r="E46">
        <v>-25.288</v>
      </c>
      <c r="F46" t="s">
        <v>1400</v>
      </c>
      <c r="G46" t="s">
        <v>1508</v>
      </c>
      <c r="H46" t="s">
        <v>1383</v>
      </c>
      <c r="I46" t="s">
        <v>1413</v>
      </c>
      <c r="J46" t="s">
        <v>1382</v>
      </c>
      <c r="K46" t="b">
        <v>1</v>
      </c>
      <c r="L46" t="b">
        <v>0</v>
      </c>
      <c r="M46" t="s">
        <v>1382</v>
      </c>
      <c r="N46" t="s">
        <v>1506</v>
      </c>
      <c r="O46" t="s">
        <v>1385</v>
      </c>
      <c r="P46" t="s">
        <v>1404</v>
      </c>
      <c r="Q46" t="s">
        <v>1382</v>
      </c>
    </row>
    <row r="47" spans="1:17" x14ac:dyDescent="0.25">
      <c r="A47" t="s">
        <v>39</v>
      </c>
      <c r="B47" t="s">
        <v>1510</v>
      </c>
      <c r="C47" t="s">
        <v>260</v>
      </c>
      <c r="D47" t="s">
        <v>1415</v>
      </c>
      <c r="E47">
        <v>-28.311</v>
      </c>
      <c r="F47" t="s">
        <v>1400</v>
      </c>
      <c r="G47" t="s">
        <v>1511</v>
      </c>
      <c r="H47" t="s">
        <v>1383</v>
      </c>
      <c r="I47" t="s">
        <v>1382</v>
      </c>
      <c r="J47" t="s">
        <v>1382</v>
      </c>
      <c r="K47" t="b">
        <v>1</v>
      </c>
      <c r="L47" t="b">
        <v>0</v>
      </c>
      <c r="M47" t="s">
        <v>1382</v>
      </c>
      <c r="N47" t="s">
        <v>1506</v>
      </c>
      <c r="O47" t="s">
        <v>1385</v>
      </c>
      <c r="P47" t="s">
        <v>1404</v>
      </c>
      <c r="Q47" t="s">
        <v>1512</v>
      </c>
    </row>
    <row r="48" spans="1:17" x14ac:dyDescent="0.25">
      <c r="A48" t="s">
        <v>39</v>
      </c>
      <c r="B48" t="s">
        <v>1513</v>
      </c>
      <c r="C48" t="s">
        <v>260</v>
      </c>
      <c r="D48" t="s">
        <v>1389</v>
      </c>
      <c r="E48">
        <v>-43.202</v>
      </c>
      <c r="F48" t="s">
        <v>1400</v>
      </c>
      <c r="G48" t="s">
        <v>1514</v>
      </c>
      <c r="H48" t="s">
        <v>1383</v>
      </c>
      <c r="I48" t="s">
        <v>1420</v>
      </c>
      <c r="J48" t="s">
        <v>1382</v>
      </c>
      <c r="K48" t="b">
        <v>1</v>
      </c>
      <c r="L48" t="b">
        <v>0</v>
      </c>
      <c r="M48" t="s">
        <v>1382</v>
      </c>
      <c r="N48" t="s">
        <v>1506</v>
      </c>
      <c r="O48" t="s">
        <v>1385</v>
      </c>
      <c r="P48" t="s">
        <v>1404</v>
      </c>
      <c r="Q48" t="s">
        <v>1382</v>
      </c>
    </row>
    <row r="49" spans="1:17" x14ac:dyDescent="0.25">
      <c r="A49" t="s">
        <v>39</v>
      </c>
      <c r="B49" t="s">
        <v>1515</v>
      </c>
      <c r="C49" t="s">
        <v>260</v>
      </c>
      <c r="D49" t="s">
        <v>1422</v>
      </c>
      <c r="E49">
        <v>-49.946</v>
      </c>
      <c r="F49" t="s">
        <v>1400</v>
      </c>
      <c r="G49" t="s">
        <v>1516</v>
      </c>
      <c r="H49" t="s">
        <v>1383</v>
      </c>
      <c r="I49" t="s">
        <v>1424</v>
      </c>
      <c r="J49" t="s">
        <v>1382</v>
      </c>
      <c r="K49" t="b">
        <v>1</v>
      </c>
      <c r="L49" t="b">
        <v>0</v>
      </c>
      <c r="M49" t="s">
        <v>1382</v>
      </c>
      <c r="N49" t="s">
        <v>1506</v>
      </c>
      <c r="O49" t="s">
        <v>1385</v>
      </c>
      <c r="P49" t="s">
        <v>1404</v>
      </c>
      <c r="Q49" t="s">
        <v>1382</v>
      </c>
    </row>
    <row r="50" spans="1:17" x14ac:dyDescent="0.25">
      <c r="A50" t="s">
        <v>39</v>
      </c>
      <c r="B50" t="s">
        <v>1517</v>
      </c>
      <c r="C50" t="s">
        <v>260</v>
      </c>
      <c r="D50" t="s">
        <v>1426</v>
      </c>
      <c r="E50">
        <v>-45.977</v>
      </c>
      <c r="F50" t="s">
        <v>1400</v>
      </c>
      <c r="G50" t="s">
        <v>1518</v>
      </c>
      <c r="H50" t="s">
        <v>1383</v>
      </c>
      <c r="I50" t="s">
        <v>1428</v>
      </c>
      <c r="J50" t="s">
        <v>1382</v>
      </c>
      <c r="K50" t="b">
        <v>1</v>
      </c>
      <c r="L50" t="b">
        <v>0</v>
      </c>
      <c r="M50" t="s">
        <v>1382</v>
      </c>
      <c r="N50" t="s">
        <v>1506</v>
      </c>
      <c r="O50" t="s">
        <v>1385</v>
      </c>
      <c r="P50" t="s">
        <v>1404</v>
      </c>
      <c r="Q50" t="s">
        <v>1382</v>
      </c>
    </row>
    <row r="51" spans="1:17" x14ac:dyDescent="0.25">
      <c r="A51" t="s">
        <v>39</v>
      </c>
      <c r="B51" t="s">
        <v>1519</v>
      </c>
      <c r="C51" t="s">
        <v>260</v>
      </c>
      <c r="D51" t="s">
        <v>1430</v>
      </c>
      <c r="E51">
        <v>-51.201</v>
      </c>
      <c r="F51" t="s">
        <v>1400</v>
      </c>
      <c r="G51" t="s">
        <v>1520</v>
      </c>
      <c r="H51" t="s">
        <v>1383</v>
      </c>
      <c r="I51" t="s">
        <v>1382</v>
      </c>
      <c r="J51" t="s">
        <v>1382</v>
      </c>
      <c r="K51" t="b">
        <v>1</v>
      </c>
      <c r="L51" t="b">
        <v>0</v>
      </c>
      <c r="M51" t="s">
        <v>1382</v>
      </c>
      <c r="N51" t="s">
        <v>1506</v>
      </c>
      <c r="O51" t="s">
        <v>1385</v>
      </c>
      <c r="P51" t="s">
        <v>1404</v>
      </c>
      <c r="Q51" t="s">
        <v>1521</v>
      </c>
    </row>
    <row r="52" spans="1:17" x14ac:dyDescent="0.25">
      <c r="A52" t="s">
        <v>39</v>
      </c>
      <c r="B52" t="s">
        <v>1522</v>
      </c>
      <c r="C52" t="s">
        <v>260</v>
      </c>
      <c r="D52" t="s">
        <v>1391</v>
      </c>
      <c r="E52">
        <v>-30.988</v>
      </c>
      <c r="F52" t="s">
        <v>1400</v>
      </c>
      <c r="G52" t="s">
        <v>1523</v>
      </c>
      <c r="H52" t="s">
        <v>1383</v>
      </c>
      <c r="I52" t="s">
        <v>1435</v>
      </c>
      <c r="J52" t="s">
        <v>1382</v>
      </c>
      <c r="K52" t="b">
        <v>1</v>
      </c>
      <c r="L52" t="b">
        <v>0</v>
      </c>
      <c r="M52" t="s">
        <v>1382</v>
      </c>
      <c r="N52" t="s">
        <v>1506</v>
      </c>
      <c r="O52" t="s">
        <v>1385</v>
      </c>
      <c r="P52" t="s">
        <v>1404</v>
      </c>
      <c r="Q52" t="s">
        <v>1382</v>
      </c>
    </row>
    <row r="53" spans="1:17" x14ac:dyDescent="0.25">
      <c r="A53" t="s">
        <v>39</v>
      </c>
      <c r="B53" t="s">
        <v>1524</v>
      </c>
      <c r="C53" t="s">
        <v>260</v>
      </c>
      <c r="D53" t="s">
        <v>1437</v>
      </c>
      <c r="E53">
        <v>-52.253</v>
      </c>
      <c r="F53" t="s">
        <v>1400</v>
      </c>
      <c r="G53" t="s">
        <v>1525</v>
      </c>
      <c r="H53" t="s">
        <v>1383</v>
      </c>
      <c r="I53" t="s">
        <v>1424</v>
      </c>
      <c r="J53" t="s">
        <v>1382</v>
      </c>
      <c r="K53" t="b">
        <v>1</v>
      </c>
      <c r="L53" t="b">
        <v>0</v>
      </c>
      <c r="M53" t="s">
        <v>1382</v>
      </c>
      <c r="N53" t="s">
        <v>1506</v>
      </c>
      <c r="O53" t="s">
        <v>1385</v>
      </c>
      <c r="P53" t="s">
        <v>1404</v>
      </c>
      <c r="Q53" t="s">
        <v>1382</v>
      </c>
    </row>
    <row r="54" spans="1:17" x14ac:dyDescent="0.25">
      <c r="A54" t="s">
        <v>39</v>
      </c>
      <c r="B54" t="s">
        <v>1526</v>
      </c>
      <c r="C54" t="s">
        <v>260</v>
      </c>
      <c r="D54" t="s">
        <v>1439</v>
      </c>
      <c r="E54">
        <v>-53.23</v>
      </c>
      <c r="F54" t="s">
        <v>1400</v>
      </c>
      <c r="G54" t="s">
        <v>1527</v>
      </c>
      <c r="H54" t="s">
        <v>1383</v>
      </c>
      <c r="I54" t="s">
        <v>1428</v>
      </c>
      <c r="J54" t="s">
        <v>1382</v>
      </c>
      <c r="K54" t="b">
        <v>1</v>
      </c>
      <c r="L54" t="b">
        <v>0</v>
      </c>
      <c r="M54" t="s">
        <v>1382</v>
      </c>
      <c r="N54" t="s">
        <v>1506</v>
      </c>
      <c r="O54" t="s">
        <v>1385</v>
      </c>
      <c r="P54" t="s">
        <v>1404</v>
      </c>
      <c r="Q54" t="s">
        <v>1382</v>
      </c>
    </row>
    <row r="55" spans="1:17" x14ac:dyDescent="0.25">
      <c r="A55" t="s">
        <v>39</v>
      </c>
      <c r="B55" t="s">
        <v>1528</v>
      </c>
      <c r="C55" t="s">
        <v>260</v>
      </c>
      <c r="D55" t="s">
        <v>1442</v>
      </c>
      <c r="E55">
        <v>-55.81</v>
      </c>
      <c r="F55" t="s">
        <v>1471</v>
      </c>
      <c r="G55" t="s">
        <v>1529</v>
      </c>
      <c r="H55" t="s">
        <v>1383</v>
      </c>
      <c r="I55" t="s">
        <v>1382</v>
      </c>
      <c r="J55" t="s">
        <v>1382</v>
      </c>
      <c r="K55" t="b">
        <v>0</v>
      </c>
      <c r="L55" t="b">
        <v>1</v>
      </c>
      <c r="M55" t="s">
        <v>1472</v>
      </c>
      <c r="N55" t="s">
        <v>1384</v>
      </c>
      <c r="O55" t="s">
        <v>1473</v>
      </c>
      <c r="P55" t="s">
        <v>1474</v>
      </c>
      <c r="Q55" t="s">
        <v>1475</v>
      </c>
    </row>
    <row r="56" spans="1:17" x14ac:dyDescent="0.25">
      <c r="A56" t="s">
        <v>39</v>
      </c>
      <c r="B56" t="s">
        <v>1530</v>
      </c>
      <c r="C56" t="s">
        <v>261</v>
      </c>
      <c r="D56" t="s">
        <v>1380</v>
      </c>
      <c r="E56">
        <v>-55.744</v>
      </c>
      <c r="F56" t="s">
        <v>1477</v>
      </c>
      <c r="G56" t="s">
        <v>1531</v>
      </c>
      <c r="H56" t="s">
        <v>1383</v>
      </c>
      <c r="I56" t="s">
        <v>1402</v>
      </c>
      <c r="J56" t="s">
        <v>1382</v>
      </c>
      <c r="K56" t="b">
        <v>1</v>
      </c>
      <c r="L56" t="b">
        <v>0</v>
      </c>
      <c r="M56" t="s">
        <v>1382</v>
      </c>
      <c r="N56" t="s">
        <v>1403</v>
      </c>
      <c r="O56" t="s">
        <v>1385</v>
      </c>
      <c r="P56" t="s">
        <v>1404</v>
      </c>
      <c r="Q56" t="s">
        <v>1532</v>
      </c>
    </row>
    <row r="57" spans="1:17" x14ac:dyDescent="0.25">
      <c r="A57" t="s">
        <v>39</v>
      </c>
      <c r="B57" t="s">
        <v>1533</v>
      </c>
      <c r="C57" t="s">
        <v>261</v>
      </c>
      <c r="D57" t="s">
        <v>1407</v>
      </c>
      <c r="E57">
        <v>-53.32</v>
      </c>
      <c r="F57" t="s">
        <v>1477</v>
      </c>
      <c r="G57" t="s">
        <v>1534</v>
      </c>
      <c r="H57" t="s">
        <v>1383</v>
      </c>
      <c r="I57" t="s">
        <v>1409</v>
      </c>
      <c r="J57" t="s">
        <v>1382</v>
      </c>
      <c r="K57" t="b">
        <v>1</v>
      </c>
      <c r="L57" t="b">
        <v>0</v>
      </c>
      <c r="M57" t="s">
        <v>1382</v>
      </c>
      <c r="N57" t="s">
        <v>1403</v>
      </c>
      <c r="O57" t="s">
        <v>1385</v>
      </c>
      <c r="P57" t="s">
        <v>1404</v>
      </c>
      <c r="Q57" t="s">
        <v>1532</v>
      </c>
    </row>
    <row r="58" spans="1:17" x14ac:dyDescent="0.25">
      <c r="A58" t="s">
        <v>39</v>
      </c>
      <c r="B58" t="s">
        <v>1535</v>
      </c>
      <c r="C58" t="s">
        <v>261</v>
      </c>
      <c r="D58" t="s">
        <v>1411</v>
      </c>
      <c r="E58">
        <v>-58.934</v>
      </c>
      <c r="F58" t="s">
        <v>1477</v>
      </c>
      <c r="G58" t="s">
        <v>1536</v>
      </c>
      <c r="H58" t="s">
        <v>1383</v>
      </c>
      <c r="I58" t="s">
        <v>1413</v>
      </c>
      <c r="J58" t="s">
        <v>1382</v>
      </c>
      <c r="K58" t="b">
        <v>1</v>
      </c>
      <c r="L58" t="b">
        <v>0</v>
      </c>
      <c r="M58" t="s">
        <v>1382</v>
      </c>
      <c r="N58" t="s">
        <v>1403</v>
      </c>
      <c r="O58" t="s">
        <v>1385</v>
      </c>
      <c r="P58" t="s">
        <v>1404</v>
      </c>
      <c r="Q58" t="s">
        <v>1532</v>
      </c>
    </row>
    <row r="59" spans="1:17" x14ac:dyDescent="0.25">
      <c r="A59" t="s">
        <v>39</v>
      </c>
      <c r="B59" t="s">
        <v>1537</v>
      </c>
      <c r="C59" t="s">
        <v>261</v>
      </c>
      <c r="D59" t="s">
        <v>1415</v>
      </c>
      <c r="E59">
        <v>-75.826</v>
      </c>
      <c r="F59" t="s">
        <v>1477</v>
      </c>
      <c r="G59" t="s">
        <v>1538</v>
      </c>
      <c r="H59" t="s">
        <v>1383</v>
      </c>
      <c r="I59" t="s">
        <v>1382</v>
      </c>
      <c r="J59" t="s">
        <v>1382</v>
      </c>
      <c r="K59" t="b">
        <v>1</v>
      </c>
      <c r="L59" t="b">
        <v>0</v>
      </c>
      <c r="M59" t="s">
        <v>1382</v>
      </c>
      <c r="N59" t="s">
        <v>1403</v>
      </c>
      <c r="O59" t="s">
        <v>1385</v>
      </c>
      <c r="P59" t="s">
        <v>1404</v>
      </c>
      <c r="Q59" t="s">
        <v>1539</v>
      </c>
    </row>
    <row r="60" spans="1:17" x14ac:dyDescent="0.25">
      <c r="A60" t="s">
        <v>39</v>
      </c>
      <c r="B60" t="s">
        <v>1540</v>
      </c>
      <c r="C60" t="s">
        <v>261</v>
      </c>
      <c r="D60" t="s">
        <v>1389</v>
      </c>
      <c r="E60">
        <v>-118.574</v>
      </c>
      <c r="F60" t="s">
        <v>1477</v>
      </c>
      <c r="G60" t="s">
        <v>1541</v>
      </c>
      <c r="H60" t="s">
        <v>1383</v>
      </c>
      <c r="I60" t="s">
        <v>1420</v>
      </c>
      <c r="J60" t="s">
        <v>1382</v>
      </c>
      <c r="K60" t="b">
        <v>1</v>
      </c>
      <c r="L60" t="b">
        <v>0</v>
      </c>
      <c r="M60" t="s">
        <v>1382</v>
      </c>
      <c r="N60" t="s">
        <v>1403</v>
      </c>
      <c r="O60" t="s">
        <v>1385</v>
      </c>
      <c r="P60" t="s">
        <v>1404</v>
      </c>
      <c r="Q60" t="s">
        <v>1532</v>
      </c>
    </row>
    <row r="61" spans="1:17" x14ac:dyDescent="0.25">
      <c r="A61" t="s">
        <v>39</v>
      </c>
      <c r="B61" t="s">
        <v>1542</v>
      </c>
      <c r="C61" t="s">
        <v>261</v>
      </c>
      <c r="D61" t="s">
        <v>1422</v>
      </c>
      <c r="E61">
        <v>-78.976</v>
      </c>
      <c r="F61" t="s">
        <v>1477</v>
      </c>
      <c r="G61" t="s">
        <v>1543</v>
      </c>
      <c r="H61" t="s">
        <v>1383</v>
      </c>
      <c r="I61" t="s">
        <v>1424</v>
      </c>
      <c r="J61" t="s">
        <v>1382</v>
      </c>
      <c r="K61" t="b">
        <v>1</v>
      </c>
      <c r="L61" t="b">
        <v>0</v>
      </c>
      <c r="M61" t="s">
        <v>1382</v>
      </c>
      <c r="N61" t="s">
        <v>1403</v>
      </c>
      <c r="O61" t="s">
        <v>1385</v>
      </c>
      <c r="P61" t="s">
        <v>1404</v>
      </c>
      <c r="Q61" t="s">
        <v>1532</v>
      </c>
    </row>
    <row r="62" spans="1:17" x14ac:dyDescent="0.25">
      <c r="A62" t="s">
        <v>39</v>
      </c>
      <c r="B62" t="s">
        <v>1544</v>
      </c>
      <c r="C62" t="s">
        <v>261</v>
      </c>
      <c r="D62" t="s">
        <v>1426</v>
      </c>
      <c r="E62">
        <v>-80.841</v>
      </c>
      <c r="F62" t="s">
        <v>1477</v>
      </c>
      <c r="G62" t="s">
        <v>1545</v>
      </c>
      <c r="H62" t="s">
        <v>1383</v>
      </c>
      <c r="I62" t="s">
        <v>1428</v>
      </c>
      <c r="J62" t="s">
        <v>1382</v>
      </c>
      <c r="K62" t="b">
        <v>1</v>
      </c>
      <c r="L62" t="b">
        <v>0</v>
      </c>
      <c r="M62" t="s">
        <v>1382</v>
      </c>
      <c r="N62" t="s">
        <v>1403</v>
      </c>
      <c r="O62" t="s">
        <v>1385</v>
      </c>
      <c r="P62" t="s">
        <v>1404</v>
      </c>
      <c r="Q62" t="s">
        <v>1532</v>
      </c>
    </row>
    <row r="63" spans="1:17" x14ac:dyDescent="0.25">
      <c r="A63" t="s">
        <v>39</v>
      </c>
      <c r="B63" t="s">
        <v>1546</v>
      </c>
      <c r="C63" t="s">
        <v>261</v>
      </c>
      <c r="D63" t="s">
        <v>1430</v>
      </c>
      <c r="E63">
        <v>-154.81</v>
      </c>
      <c r="F63" t="s">
        <v>1477</v>
      </c>
      <c r="G63" t="s">
        <v>1547</v>
      </c>
      <c r="H63" t="s">
        <v>1383</v>
      </c>
      <c r="I63" t="s">
        <v>1382</v>
      </c>
      <c r="J63" t="s">
        <v>1382</v>
      </c>
      <c r="K63" t="b">
        <v>1</v>
      </c>
      <c r="L63" t="b">
        <v>0</v>
      </c>
      <c r="M63" t="s">
        <v>1382</v>
      </c>
      <c r="N63" t="s">
        <v>1403</v>
      </c>
      <c r="O63" t="s">
        <v>1385</v>
      </c>
      <c r="P63" t="s">
        <v>1404</v>
      </c>
      <c r="Q63" t="s">
        <v>1548</v>
      </c>
    </row>
    <row r="64" spans="1:17" x14ac:dyDescent="0.25">
      <c r="A64" t="s">
        <v>39</v>
      </c>
      <c r="B64" t="s">
        <v>1549</v>
      </c>
      <c r="C64" t="s">
        <v>261</v>
      </c>
      <c r="D64" t="s">
        <v>1391</v>
      </c>
      <c r="E64">
        <v>-128.126</v>
      </c>
      <c r="F64" t="s">
        <v>1477</v>
      </c>
      <c r="G64" t="s">
        <v>1550</v>
      </c>
      <c r="H64" t="s">
        <v>1383</v>
      </c>
      <c r="I64" t="s">
        <v>1435</v>
      </c>
      <c r="J64" t="s">
        <v>1382</v>
      </c>
      <c r="K64" t="b">
        <v>1</v>
      </c>
      <c r="L64" t="b">
        <v>0</v>
      </c>
      <c r="M64" t="s">
        <v>1382</v>
      </c>
      <c r="N64" t="s">
        <v>1403</v>
      </c>
      <c r="O64" t="s">
        <v>1385</v>
      </c>
      <c r="P64" t="s">
        <v>1404</v>
      </c>
      <c r="Q64" t="s">
        <v>1532</v>
      </c>
    </row>
    <row r="65" spans="1:17" x14ac:dyDescent="0.25">
      <c r="A65" t="s">
        <v>39</v>
      </c>
      <c r="B65" t="s">
        <v>1551</v>
      </c>
      <c r="C65" t="s">
        <v>261</v>
      </c>
      <c r="D65" t="s">
        <v>1437</v>
      </c>
      <c r="E65">
        <v>-113.437</v>
      </c>
      <c r="F65" t="s">
        <v>1477</v>
      </c>
      <c r="G65" t="s">
        <v>1552</v>
      </c>
      <c r="H65" t="s">
        <v>1383</v>
      </c>
      <c r="I65" t="s">
        <v>1424</v>
      </c>
      <c r="J65" t="s">
        <v>1382</v>
      </c>
      <c r="K65" t="b">
        <v>1</v>
      </c>
      <c r="L65" t="b">
        <v>0</v>
      </c>
      <c r="M65" t="s">
        <v>1382</v>
      </c>
      <c r="N65" t="s">
        <v>1403</v>
      </c>
      <c r="O65" t="s">
        <v>1385</v>
      </c>
      <c r="P65" t="s">
        <v>1404</v>
      </c>
      <c r="Q65" t="s">
        <v>1532</v>
      </c>
    </row>
    <row r="66" spans="1:17" x14ac:dyDescent="0.25">
      <c r="A66" t="s">
        <v>39</v>
      </c>
      <c r="B66" t="s">
        <v>1553</v>
      </c>
      <c r="C66" t="s">
        <v>261</v>
      </c>
      <c r="D66" t="s">
        <v>1439</v>
      </c>
      <c r="E66">
        <v>-94.974</v>
      </c>
      <c r="F66" t="s">
        <v>1477</v>
      </c>
      <c r="G66" t="s">
        <v>1554</v>
      </c>
      <c r="H66" t="s">
        <v>1383</v>
      </c>
      <c r="I66" t="s">
        <v>1428</v>
      </c>
      <c r="J66" t="s">
        <v>1382</v>
      </c>
      <c r="K66" t="b">
        <v>1</v>
      </c>
      <c r="L66" t="b">
        <v>0</v>
      </c>
      <c r="M66" t="s">
        <v>1382</v>
      </c>
      <c r="N66" t="s">
        <v>1403</v>
      </c>
      <c r="O66" t="s">
        <v>1385</v>
      </c>
      <c r="P66" t="s">
        <v>1404</v>
      </c>
      <c r="Q66" t="s">
        <v>1532</v>
      </c>
    </row>
    <row r="67" spans="1:17" x14ac:dyDescent="0.25">
      <c r="A67" t="s">
        <v>39</v>
      </c>
      <c r="B67" t="s">
        <v>1555</v>
      </c>
      <c r="C67" t="s">
        <v>261</v>
      </c>
      <c r="D67" t="s">
        <v>1442</v>
      </c>
      <c r="E67">
        <v>-134.54300000000006</v>
      </c>
      <c r="F67" t="s">
        <v>1471</v>
      </c>
      <c r="G67" t="s">
        <v>1382</v>
      </c>
      <c r="H67" t="s">
        <v>1383</v>
      </c>
      <c r="I67" t="s">
        <v>1382</v>
      </c>
      <c r="J67" t="s">
        <v>1382</v>
      </c>
      <c r="K67" t="b">
        <v>0</v>
      </c>
      <c r="L67" t="b">
        <v>1</v>
      </c>
      <c r="M67" t="s">
        <v>1472</v>
      </c>
      <c r="N67" t="s">
        <v>1384</v>
      </c>
      <c r="O67" t="s">
        <v>1473</v>
      </c>
      <c r="P67" t="s">
        <v>1474</v>
      </c>
      <c r="Q67" t="s">
        <v>1475</v>
      </c>
    </row>
    <row r="68" spans="1:17" x14ac:dyDescent="0.25">
      <c r="A68" t="s">
        <v>39</v>
      </c>
      <c r="B68" t="s">
        <v>1556</v>
      </c>
      <c r="C68" t="s">
        <v>268</v>
      </c>
      <c r="D68" t="s">
        <v>1380</v>
      </c>
      <c r="E68">
        <v>-28.694</v>
      </c>
      <c r="F68" t="s">
        <v>1400</v>
      </c>
      <c r="G68" t="s">
        <v>1557</v>
      </c>
      <c r="H68" t="s">
        <v>1383</v>
      </c>
      <c r="I68" t="s">
        <v>1402</v>
      </c>
      <c r="J68" t="s">
        <v>1382</v>
      </c>
      <c r="K68" t="b">
        <v>1</v>
      </c>
      <c r="L68" t="b">
        <v>0</v>
      </c>
      <c r="M68" t="s">
        <v>1382</v>
      </c>
      <c r="N68" t="s">
        <v>1506</v>
      </c>
      <c r="O68" t="s">
        <v>1385</v>
      </c>
      <c r="P68" t="s">
        <v>1404</v>
      </c>
      <c r="Q68" t="s">
        <v>1382</v>
      </c>
    </row>
    <row r="69" spans="1:17" x14ac:dyDescent="0.25">
      <c r="A69" t="s">
        <v>39</v>
      </c>
      <c r="B69" t="s">
        <v>1558</v>
      </c>
      <c r="C69" t="s">
        <v>268</v>
      </c>
      <c r="D69" t="s">
        <v>1407</v>
      </c>
      <c r="E69">
        <v>-9.235</v>
      </c>
      <c r="F69" t="s">
        <v>1400</v>
      </c>
      <c r="G69" t="s">
        <v>1559</v>
      </c>
      <c r="H69" t="s">
        <v>1383</v>
      </c>
      <c r="I69" t="s">
        <v>1409</v>
      </c>
      <c r="J69" t="s">
        <v>1382</v>
      </c>
      <c r="K69" t="b">
        <v>1</v>
      </c>
      <c r="L69" t="b">
        <v>0</v>
      </c>
      <c r="M69" t="s">
        <v>1382</v>
      </c>
      <c r="N69" t="s">
        <v>1506</v>
      </c>
      <c r="O69" t="s">
        <v>1385</v>
      </c>
      <c r="P69" t="s">
        <v>1404</v>
      </c>
      <c r="Q69" t="s">
        <v>1382</v>
      </c>
    </row>
    <row r="70" spans="1:17" x14ac:dyDescent="0.25">
      <c r="A70" t="s">
        <v>39</v>
      </c>
      <c r="B70" t="s">
        <v>1560</v>
      </c>
      <c r="C70" t="s">
        <v>268</v>
      </c>
      <c r="D70" t="s">
        <v>1411</v>
      </c>
      <c r="E70">
        <v>-37.124</v>
      </c>
      <c r="F70" t="s">
        <v>1400</v>
      </c>
      <c r="G70" t="s">
        <v>1561</v>
      </c>
      <c r="H70" t="s">
        <v>1383</v>
      </c>
      <c r="I70" t="s">
        <v>1413</v>
      </c>
      <c r="J70" t="s">
        <v>1382</v>
      </c>
      <c r="K70" t="b">
        <v>1</v>
      </c>
      <c r="L70" t="b">
        <v>0</v>
      </c>
      <c r="M70" t="s">
        <v>1382</v>
      </c>
      <c r="N70" t="s">
        <v>1506</v>
      </c>
      <c r="O70" t="s">
        <v>1385</v>
      </c>
      <c r="P70" t="s">
        <v>1404</v>
      </c>
      <c r="Q70" t="s">
        <v>1382</v>
      </c>
    </row>
    <row r="71" spans="1:17" x14ac:dyDescent="0.25">
      <c r="A71" t="s">
        <v>39</v>
      </c>
      <c r="B71" t="s">
        <v>1562</v>
      </c>
      <c r="C71" t="s">
        <v>268</v>
      </c>
      <c r="D71" t="s">
        <v>1415</v>
      </c>
      <c r="E71">
        <v>-16.828</v>
      </c>
      <c r="F71" t="s">
        <v>1400</v>
      </c>
      <c r="G71" t="s">
        <v>1563</v>
      </c>
      <c r="H71" t="s">
        <v>1383</v>
      </c>
      <c r="I71" t="s">
        <v>1382</v>
      </c>
      <c r="J71" t="s">
        <v>1382</v>
      </c>
      <c r="K71" t="b">
        <v>1</v>
      </c>
      <c r="L71" t="b">
        <v>0</v>
      </c>
      <c r="M71" t="s">
        <v>1382</v>
      </c>
      <c r="N71" t="s">
        <v>1506</v>
      </c>
      <c r="O71" t="s">
        <v>1385</v>
      </c>
      <c r="P71" t="s">
        <v>1404</v>
      </c>
      <c r="Q71" t="s">
        <v>1564</v>
      </c>
    </row>
    <row r="72" spans="1:17" x14ac:dyDescent="0.25">
      <c r="A72" t="s">
        <v>39</v>
      </c>
      <c r="B72" t="s">
        <v>1565</v>
      </c>
      <c r="C72" t="s">
        <v>268</v>
      </c>
      <c r="D72" t="s">
        <v>1389</v>
      </c>
      <c r="E72">
        <v>-55.959</v>
      </c>
      <c r="F72" t="s">
        <v>1400</v>
      </c>
      <c r="G72" t="s">
        <v>1566</v>
      </c>
      <c r="H72" t="s">
        <v>1383</v>
      </c>
      <c r="I72" t="s">
        <v>1420</v>
      </c>
      <c r="J72" t="s">
        <v>1382</v>
      </c>
      <c r="K72" t="b">
        <v>1</v>
      </c>
      <c r="L72" t="b">
        <v>0</v>
      </c>
      <c r="M72" t="s">
        <v>1382</v>
      </c>
      <c r="N72" t="s">
        <v>1506</v>
      </c>
      <c r="O72" t="s">
        <v>1385</v>
      </c>
      <c r="P72" t="s">
        <v>1404</v>
      </c>
      <c r="Q72" t="s">
        <v>1382</v>
      </c>
    </row>
    <row r="73" spans="1:17" x14ac:dyDescent="0.25">
      <c r="A73" t="s">
        <v>39</v>
      </c>
      <c r="B73" t="s">
        <v>1567</v>
      </c>
      <c r="C73" t="s">
        <v>268</v>
      </c>
      <c r="D73" t="s">
        <v>1422</v>
      </c>
      <c r="E73">
        <v>-73.107</v>
      </c>
      <c r="F73" t="s">
        <v>1400</v>
      </c>
      <c r="G73" t="s">
        <v>1568</v>
      </c>
      <c r="H73" t="s">
        <v>1383</v>
      </c>
      <c r="I73" t="s">
        <v>1424</v>
      </c>
      <c r="J73" t="s">
        <v>1382</v>
      </c>
      <c r="K73" t="b">
        <v>1</v>
      </c>
      <c r="L73" t="b">
        <v>0</v>
      </c>
      <c r="M73" t="s">
        <v>1382</v>
      </c>
      <c r="N73" t="s">
        <v>1506</v>
      </c>
      <c r="O73" t="s">
        <v>1385</v>
      </c>
      <c r="P73" t="s">
        <v>1404</v>
      </c>
      <c r="Q73" t="s">
        <v>1382</v>
      </c>
    </row>
    <row r="74" spans="1:17" x14ac:dyDescent="0.25">
      <c r="A74" t="s">
        <v>39</v>
      </c>
      <c r="B74" t="s">
        <v>1569</v>
      </c>
      <c r="C74" t="s">
        <v>268</v>
      </c>
      <c r="D74" t="s">
        <v>1426</v>
      </c>
      <c r="E74">
        <v>-78.011</v>
      </c>
      <c r="F74" t="s">
        <v>1400</v>
      </c>
      <c r="G74" t="s">
        <v>1570</v>
      </c>
      <c r="H74" t="s">
        <v>1383</v>
      </c>
      <c r="I74" t="s">
        <v>1428</v>
      </c>
      <c r="J74" t="s">
        <v>1382</v>
      </c>
      <c r="K74" t="b">
        <v>1</v>
      </c>
      <c r="L74" t="b">
        <v>0</v>
      </c>
      <c r="M74" t="s">
        <v>1382</v>
      </c>
      <c r="N74" t="s">
        <v>1506</v>
      </c>
      <c r="O74" t="s">
        <v>1385</v>
      </c>
      <c r="P74" t="s">
        <v>1404</v>
      </c>
      <c r="Q74" t="s">
        <v>1382</v>
      </c>
    </row>
    <row r="75" spans="1:17" x14ac:dyDescent="0.25">
      <c r="A75" t="s">
        <v>39</v>
      </c>
      <c r="B75" t="s">
        <v>1571</v>
      </c>
      <c r="C75" t="s">
        <v>268</v>
      </c>
      <c r="D75" t="s">
        <v>1430</v>
      </c>
      <c r="E75">
        <v>-86.117</v>
      </c>
      <c r="F75" t="s">
        <v>1400</v>
      </c>
      <c r="G75" t="s">
        <v>1572</v>
      </c>
      <c r="H75" t="s">
        <v>1383</v>
      </c>
      <c r="I75" t="s">
        <v>1382</v>
      </c>
      <c r="J75" t="s">
        <v>1382</v>
      </c>
      <c r="K75" t="b">
        <v>1</v>
      </c>
      <c r="L75" t="b">
        <v>0</v>
      </c>
      <c r="M75" t="s">
        <v>1382</v>
      </c>
      <c r="N75" t="s">
        <v>1506</v>
      </c>
      <c r="O75" t="s">
        <v>1385</v>
      </c>
      <c r="P75" t="s">
        <v>1404</v>
      </c>
      <c r="Q75" t="s">
        <v>1573</v>
      </c>
    </row>
    <row r="76" spans="1:17" x14ac:dyDescent="0.25">
      <c r="A76" t="s">
        <v>39</v>
      </c>
      <c r="B76" t="s">
        <v>1574</v>
      </c>
      <c r="C76" t="s">
        <v>268</v>
      </c>
      <c r="D76" t="s">
        <v>1391</v>
      </c>
      <c r="E76">
        <v>-14.216</v>
      </c>
      <c r="F76" t="s">
        <v>1400</v>
      </c>
      <c r="G76" t="s">
        <v>1575</v>
      </c>
      <c r="H76" t="s">
        <v>1383</v>
      </c>
      <c r="I76" t="s">
        <v>1435</v>
      </c>
      <c r="J76" t="s">
        <v>1382</v>
      </c>
      <c r="K76" t="b">
        <v>1</v>
      </c>
      <c r="L76" t="b">
        <v>0</v>
      </c>
      <c r="M76" t="s">
        <v>1382</v>
      </c>
      <c r="N76" t="s">
        <v>1506</v>
      </c>
      <c r="O76" t="s">
        <v>1385</v>
      </c>
      <c r="P76" t="s">
        <v>1404</v>
      </c>
      <c r="Q76" t="s">
        <v>1382</v>
      </c>
    </row>
    <row r="77" spans="1:17" x14ac:dyDescent="0.25">
      <c r="A77" t="s">
        <v>39</v>
      </c>
      <c r="B77" t="s">
        <v>1576</v>
      </c>
      <c r="C77" t="s">
        <v>268</v>
      </c>
      <c r="D77" t="s">
        <v>1437</v>
      </c>
      <c r="E77">
        <v>-43.506</v>
      </c>
      <c r="F77" t="s">
        <v>1400</v>
      </c>
      <c r="G77" t="s">
        <v>1577</v>
      </c>
      <c r="H77" t="s">
        <v>1383</v>
      </c>
      <c r="I77" t="s">
        <v>1424</v>
      </c>
      <c r="J77" t="s">
        <v>1382</v>
      </c>
      <c r="K77" t="b">
        <v>1</v>
      </c>
      <c r="L77" t="b">
        <v>0</v>
      </c>
      <c r="M77" t="s">
        <v>1382</v>
      </c>
      <c r="N77" t="s">
        <v>1506</v>
      </c>
      <c r="O77" t="s">
        <v>1385</v>
      </c>
      <c r="P77" t="s">
        <v>1404</v>
      </c>
      <c r="Q77" t="s">
        <v>1382</v>
      </c>
    </row>
    <row r="78" spans="1:17" x14ac:dyDescent="0.25">
      <c r="A78" t="s">
        <v>39</v>
      </c>
      <c r="B78" t="s">
        <v>1578</v>
      </c>
      <c r="C78" t="s">
        <v>268</v>
      </c>
      <c r="D78" t="s">
        <v>1439</v>
      </c>
      <c r="E78">
        <v>-89.311</v>
      </c>
      <c r="F78" t="s">
        <v>1400</v>
      </c>
      <c r="G78" t="s">
        <v>1579</v>
      </c>
      <c r="H78" t="s">
        <v>1383</v>
      </c>
      <c r="I78" t="s">
        <v>1428</v>
      </c>
      <c r="J78" t="s">
        <v>1382</v>
      </c>
      <c r="K78" t="b">
        <v>1</v>
      </c>
      <c r="L78" t="b">
        <v>0</v>
      </c>
      <c r="M78" t="s">
        <v>1382</v>
      </c>
      <c r="N78" t="s">
        <v>1506</v>
      </c>
      <c r="O78" t="s">
        <v>1385</v>
      </c>
      <c r="P78" t="s">
        <v>1404</v>
      </c>
      <c r="Q78" t="s">
        <v>1382</v>
      </c>
    </row>
    <row r="79" spans="1:17" x14ac:dyDescent="0.25">
      <c r="A79" t="s">
        <v>39</v>
      </c>
      <c r="B79" t="s">
        <v>1580</v>
      </c>
      <c r="C79" t="s">
        <v>268</v>
      </c>
      <c r="D79" t="s">
        <v>1442</v>
      </c>
      <c r="E79">
        <v>-37.537</v>
      </c>
      <c r="F79" t="s">
        <v>1400</v>
      </c>
      <c r="G79" t="s">
        <v>1581</v>
      </c>
      <c r="H79" t="s">
        <v>1383</v>
      </c>
      <c r="I79" t="s">
        <v>1382</v>
      </c>
      <c r="J79" t="s">
        <v>1382</v>
      </c>
      <c r="K79" t="b">
        <v>1</v>
      </c>
      <c r="L79" t="b">
        <v>0</v>
      </c>
      <c r="M79" t="s">
        <v>1382</v>
      </c>
      <c r="N79" t="s">
        <v>1506</v>
      </c>
      <c r="O79" t="s">
        <v>1385</v>
      </c>
      <c r="P79" t="s">
        <v>1404</v>
      </c>
      <c r="Q79" t="s">
        <v>1582</v>
      </c>
    </row>
    <row r="80" spans="1:17" x14ac:dyDescent="0.25">
      <c r="A80" t="s">
        <v>39</v>
      </c>
      <c r="B80" t="s">
        <v>1583</v>
      </c>
      <c r="C80" t="s">
        <v>271</v>
      </c>
      <c r="D80" t="s">
        <v>1380</v>
      </c>
      <c r="E80">
        <v>-2.016</v>
      </c>
      <c r="F80" t="s">
        <v>1400</v>
      </c>
      <c r="G80" t="s">
        <v>1584</v>
      </c>
      <c r="H80" t="s">
        <v>1383</v>
      </c>
      <c r="I80" t="s">
        <v>1402</v>
      </c>
      <c r="J80" t="s">
        <v>1382</v>
      </c>
      <c r="K80" t="b">
        <v>1</v>
      </c>
      <c r="L80" t="b">
        <v>0</v>
      </c>
      <c r="M80" t="s">
        <v>1382</v>
      </c>
      <c r="N80" t="s">
        <v>1403</v>
      </c>
      <c r="O80" t="s">
        <v>1385</v>
      </c>
      <c r="P80" t="s">
        <v>1404</v>
      </c>
      <c r="Q80" t="s">
        <v>1585</v>
      </c>
    </row>
    <row r="81" spans="1:17" x14ac:dyDescent="0.25">
      <c r="A81" t="s">
        <v>39</v>
      </c>
      <c r="B81" t="s">
        <v>1586</v>
      </c>
      <c r="C81" t="s">
        <v>271</v>
      </c>
      <c r="D81" t="s">
        <v>1407</v>
      </c>
      <c r="E81">
        <v>0</v>
      </c>
      <c r="F81" t="s">
        <v>1400</v>
      </c>
      <c r="G81" t="s">
        <v>1587</v>
      </c>
      <c r="H81" t="s">
        <v>1383</v>
      </c>
      <c r="I81" t="s">
        <v>1409</v>
      </c>
      <c r="J81" t="s">
        <v>1382</v>
      </c>
      <c r="K81" t="b">
        <v>1</v>
      </c>
      <c r="L81" t="b">
        <v>0</v>
      </c>
      <c r="M81" t="s">
        <v>1382</v>
      </c>
      <c r="N81" t="s">
        <v>1403</v>
      </c>
      <c r="O81" t="s">
        <v>1385</v>
      </c>
      <c r="P81" t="s">
        <v>1404</v>
      </c>
      <c r="Q81" t="s">
        <v>1585</v>
      </c>
    </row>
    <row r="82" spans="1:17" x14ac:dyDescent="0.25">
      <c r="A82" t="s">
        <v>39</v>
      </c>
      <c r="B82" t="s">
        <v>1588</v>
      </c>
      <c r="C82" t="s">
        <v>271</v>
      </c>
      <c r="D82" t="s">
        <v>1411</v>
      </c>
      <c r="E82">
        <v>-6.3</v>
      </c>
      <c r="F82" t="s">
        <v>1400</v>
      </c>
      <c r="G82" t="s">
        <v>1589</v>
      </c>
      <c r="H82" t="s">
        <v>1383</v>
      </c>
      <c r="I82" t="s">
        <v>1413</v>
      </c>
      <c r="J82" t="s">
        <v>1382</v>
      </c>
      <c r="K82" t="b">
        <v>1</v>
      </c>
      <c r="L82" t="b">
        <v>0</v>
      </c>
      <c r="M82" t="s">
        <v>1382</v>
      </c>
      <c r="N82" t="s">
        <v>1403</v>
      </c>
      <c r="O82" t="s">
        <v>1385</v>
      </c>
      <c r="P82" t="s">
        <v>1404</v>
      </c>
      <c r="Q82" t="s">
        <v>1585</v>
      </c>
    </row>
    <row r="83" spans="1:17" x14ac:dyDescent="0.25">
      <c r="A83" t="s">
        <v>39</v>
      </c>
      <c r="B83" t="s">
        <v>1590</v>
      </c>
      <c r="C83" t="s">
        <v>271</v>
      </c>
      <c r="D83" t="s">
        <v>1415</v>
      </c>
      <c r="E83">
        <v>-6.3</v>
      </c>
      <c r="F83" t="s">
        <v>1400</v>
      </c>
      <c r="G83" t="s">
        <v>1589</v>
      </c>
      <c r="H83" t="s">
        <v>1383</v>
      </c>
      <c r="I83" t="s">
        <v>1382</v>
      </c>
      <c r="J83" t="s">
        <v>1382</v>
      </c>
      <c r="K83" t="b">
        <v>1</v>
      </c>
      <c r="L83" t="b">
        <v>0</v>
      </c>
      <c r="M83" t="s">
        <v>1382</v>
      </c>
      <c r="N83" t="s">
        <v>1403</v>
      </c>
      <c r="O83" t="s">
        <v>1385</v>
      </c>
      <c r="P83" t="s">
        <v>1404</v>
      </c>
      <c r="Q83" t="s">
        <v>1591</v>
      </c>
    </row>
    <row r="84" spans="1:17" x14ac:dyDescent="0.25">
      <c r="A84" t="s">
        <v>39</v>
      </c>
      <c r="B84" t="s">
        <v>1592</v>
      </c>
      <c r="C84" t="s">
        <v>271</v>
      </c>
      <c r="D84" t="s">
        <v>1389</v>
      </c>
      <c r="E84">
        <v>-14.189</v>
      </c>
      <c r="F84" t="s">
        <v>1400</v>
      </c>
      <c r="G84" t="s">
        <v>1593</v>
      </c>
      <c r="H84" t="s">
        <v>1383</v>
      </c>
      <c r="I84" t="s">
        <v>1420</v>
      </c>
      <c r="J84" t="s">
        <v>1382</v>
      </c>
      <c r="K84" t="b">
        <v>1</v>
      </c>
      <c r="L84" t="b">
        <v>0</v>
      </c>
      <c r="M84" t="s">
        <v>1382</v>
      </c>
      <c r="N84" t="s">
        <v>1403</v>
      </c>
      <c r="O84" t="s">
        <v>1385</v>
      </c>
      <c r="P84" t="s">
        <v>1404</v>
      </c>
      <c r="Q84" t="s">
        <v>1585</v>
      </c>
    </row>
    <row r="85" spans="1:17" x14ac:dyDescent="0.25">
      <c r="A85" t="s">
        <v>39</v>
      </c>
      <c r="B85" t="s">
        <v>1594</v>
      </c>
      <c r="C85" t="s">
        <v>271</v>
      </c>
      <c r="D85" t="s">
        <v>1422</v>
      </c>
      <c r="E85">
        <v>-13.741</v>
      </c>
      <c r="F85" t="s">
        <v>1400</v>
      </c>
      <c r="G85" t="s">
        <v>1595</v>
      </c>
      <c r="H85" t="s">
        <v>1383</v>
      </c>
      <c r="I85" t="s">
        <v>1424</v>
      </c>
      <c r="J85" t="s">
        <v>1382</v>
      </c>
      <c r="K85" t="b">
        <v>1</v>
      </c>
      <c r="L85" t="b">
        <v>0</v>
      </c>
      <c r="M85" t="s">
        <v>1382</v>
      </c>
      <c r="N85" t="s">
        <v>1403</v>
      </c>
      <c r="O85" t="s">
        <v>1385</v>
      </c>
      <c r="P85" t="s">
        <v>1404</v>
      </c>
      <c r="Q85" t="s">
        <v>1585</v>
      </c>
    </row>
    <row r="86" spans="1:17" x14ac:dyDescent="0.25">
      <c r="A86" t="s">
        <v>39</v>
      </c>
      <c r="B86" t="s">
        <v>1596</v>
      </c>
      <c r="C86" t="s">
        <v>271</v>
      </c>
      <c r="D86" t="s">
        <v>1426</v>
      </c>
      <c r="E86">
        <v>-20.785</v>
      </c>
      <c r="F86" t="s">
        <v>1400</v>
      </c>
      <c r="G86" t="s">
        <v>1597</v>
      </c>
      <c r="H86" t="s">
        <v>1383</v>
      </c>
      <c r="I86" t="s">
        <v>1428</v>
      </c>
      <c r="J86" t="s">
        <v>1382</v>
      </c>
      <c r="K86" t="b">
        <v>1</v>
      </c>
      <c r="L86" t="b">
        <v>0</v>
      </c>
      <c r="M86" t="s">
        <v>1382</v>
      </c>
      <c r="N86" t="s">
        <v>1403</v>
      </c>
      <c r="O86" t="s">
        <v>1385</v>
      </c>
      <c r="P86" t="s">
        <v>1404</v>
      </c>
      <c r="Q86" t="s">
        <v>1585</v>
      </c>
    </row>
    <row r="87" spans="1:17" x14ac:dyDescent="0.25">
      <c r="A87" t="s">
        <v>39</v>
      </c>
      <c r="B87" t="s">
        <v>1598</v>
      </c>
      <c r="C87" t="s">
        <v>271</v>
      </c>
      <c r="D87" t="s">
        <v>1430</v>
      </c>
      <c r="E87">
        <v>-25.609</v>
      </c>
      <c r="F87" t="s">
        <v>1400</v>
      </c>
      <c r="G87" t="s">
        <v>1599</v>
      </c>
      <c r="H87" t="s">
        <v>1383</v>
      </c>
      <c r="I87" t="s">
        <v>1382</v>
      </c>
      <c r="J87" t="s">
        <v>1382</v>
      </c>
      <c r="K87" t="b">
        <v>1</v>
      </c>
      <c r="L87" t="b">
        <v>0</v>
      </c>
      <c r="M87" t="s">
        <v>1382</v>
      </c>
      <c r="N87" t="s">
        <v>1403</v>
      </c>
      <c r="O87" t="s">
        <v>1385</v>
      </c>
      <c r="P87" t="s">
        <v>1404</v>
      </c>
      <c r="Q87" t="s">
        <v>1600</v>
      </c>
    </row>
    <row r="88" spans="1:17" x14ac:dyDescent="0.25">
      <c r="A88" t="s">
        <v>39</v>
      </c>
      <c r="B88" t="s">
        <v>1601</v>
      </c>
      <c r="C88" t="s">
        <v>271</v>
      </c>
      <c r="D88" t="s">
        <v>1391</v>
      </c>
      <c r="E88">
        <v>-16.039</v>
      </c>
      <c r="F88" t="s">
        <v>1400</v>
      </c>
      <c r="G88" t="s">
        <v>1602</v>
      </c>
      <c r="H88" t="s">
        <v>1383</v>
      </c>
      <c r="I88" t="s">
        <v>1435</v>
      </c>
      <c r="J88" t="s">
        <v>1382</v>
      </c>
      <c r="K88" t="b">
        <v>1</v>
      </c>
      <c r="L88" t="b">
        <v>0</v>
      </c>
      <c r="M88" t="s">
        <v>1382</v>
      </c>
      <c r="N88" t="s">
        <v>1403</v>
      </c>
      <c r="O88" t="s">
        <v>1385</v>
      </c>
      <c r="P88" t="s">
        <v>1404</v>
      </c>
      <c r="Q88" t="s">
        <v>1585</v>
      </c>
    </row>
    <row r="89" spans="1:17" x14ac:dyDescent="0.25">
      <c r="A89" t="s">
        <v>39</v>
      </c>
      <c r="B89" t="s">
        <v>1603</v>
      </c>
      <c r="C89" t="s">
        <v>271</v>
      </c>
      <c r="D89" t="s">
        <v>1437</v>
      </c>
      <c r="E89">
        <v>-11.046</v>
      </c>
      <c r="F89" t="s">
        <v>1400</v>
      </c>
      <c r="G89" t="s">
        <v>1604</v>
      </c>
      <c r="H89" t="s">
        <v>1383</v>
      </c>
      <c r="I89" t="s">
        <v>1424</v>
      </c>
      <c r="J89" t="s">
        <v>1382</v>
      </c>
      <c r="K89" t="b">
        <v>1</v>
      </c>
      <c r="L89" t="b">
        <v>0</v>
      </c>
      <c r="M89" t="s">
        <v>1382</v>
      </c>
      <c r="N89" t="s">
        <v>1403</v>
      </c>
      <c r="O89" t="s">
        <v>1385</v>
      </c>
      <c r="P89" t="s">
        <v>1404</v>
      </c>
      <c r="Q89" t="s">
        <v>1585</v>
      </c>
    </row>
    <row r="90" spans="1:17" x14ac:dyDescent="0.25">
      <c r="A90" t="s">
        <v>39</v>
      </c>
      <c r="B90" t="s">
        <v>1605</v>
      </c>
      <c r="C90" t="s">
        <v>271</v>
      </c>
      <c r="D90" t="s">
        <v>1439</v>
      </c>
      <c r="E90">
        <v>-28.559</v>
      </c>
      <c r="F90" t="s">
        <v>1400</v>
      </c>
      <c r="G90" t="s">
        <v>1606</v>
      </c>
      <c r="H90" t="s">
        <v>1383</v>
      </c>
      <c r="I90" t="s">
        <v>1428</v>
      </c>
      <c r="J90" t="s">
        <v>1382</v>
      </c>
      <c r="K90" t="b">
        <v>1</v>
      </c>
      <c r="L90" t="b">
        <v>0</v>
      </c>
      <c r="M90" t="s">
        <v>1382</v>
      </c>
      <c r="N90" t="s">
        <v>1403</v>
      </c>
      <c r="O90" t="s">
        <v>1385</v>
      </c>
      <c r="P90" t="s">
        <v>1404</v>
      </c>
      <c r="Q90" t="s">
        <v>1585</v>
      </c>
    </row>
    <row r="91" spans="1:17" x14ac:dyDescent="0.25">
      <c r="A91" t="s">
        <v>39</v>
      </c>
      <c r="B91" t="s">
        <v>1607</v>
      </c>
      <c r="C91" t="s">
        <v>271</v>
      </c>
      <c r="D91" t="s">
        <v>1442</v>
      </c>
      <c r="E91">
        <v>-24.156</v>
      </c>
      <c r="F91" t="s">
        <v>1400</v>
      </c>
      <c r="G91" t="s">
        <v>1608</v>
      </c>
      <c r="H91" t="s">
        <v>1383</v>
      </c>
      <c r="I91" t="s">
        <v>1382</v>
      </c>
      <c r="J91" t="s">
        <v>1382</v>
      </c>
      <c r="K91" t="b">
        <v>1</v>
      </c>
      <c r="L91" t="b">
        <v>0</v>
      </c>
      <c r="M91" t="s">
        <v>1382</v>
      </c>
      <c r="N91" t="s">
        <v>1403</v>
      </c>
      <c r="O91" t="s">
        <v>1385</v>
      </c>
      <c r="P91" t="s">
        <v>1404</v>
      </c>
      <c r="Q91" t="s">
        <v>1609</v>
      </c>
    </row>
    <row r="92" spans="1:17" x14ac:dyDescent="0.25">
      <c r="A92" t="s">
        <v>39</v>
      </c>
      <c r="B92" t="s">
        <v>1610</v>
      </c>
      <c r="C92" t="s">
        <v>272</v>
      </c>
      <c r="D92" t="s">
        <v>1380</v>
      </c>
      <c r="E92">
        <v>0</v>
      </c>
      <c r="F92" t="s">
        <v>1477</v>
      </c>
      <c r="G92" t="s">
        <v>1611</v>
      </c>
      <c r="H92" t="s">
        <v>1383</v>
      </c>
      <c r="I92" t="s">
        <v>1382</v>
      </c>
      <c r="J92" t="s">
        <v>1382</v>
      </c>
      <c r="K92" t="b">
        <v>1</v>
      </c>
      <c r="L92" t="b">
        <v>0</v>
      </c>
      <c r="M92" t="s">
        <v>1382</v>
      </c>
      <c r="N92" t="s">
        <v>1403</v>
      </c>
      <c r="O92" t="s">
        <v>1385</v>
      </c>
      <c r="P92" t="s">
        <v>1404</v>
      </c>
      <c r="Q92" t="s">
        <v>1612</v>
      </c>
    </row>
    <row r="93" spans="1:17" x14ac:dyDescent="0.25">
      <c r="A93" t="s">
        <v>39</v>
      </c>
      <c r="B93" t="s">
        <v>1613</v>
      </c>
      <c r="C93" t="s">
        <v>272</v>
      </c>
      <c r="D93" t="s">
        <v>1407</v>
      </c>
      <c r="E93">
        <v>0</v>
      </c>
      <c r="F93" t="s">
        <v>1477</v>
      </c>
      <c r="G93" t="s">
        <v>1611</v>
      </c>
      <c r="H93" t="s">
        <v>1383</v>
      </c>
      <c r="I93" t="s">
        <v>1382</v>
      </c>
      <c r="J93" t="s">
        <v>1382</v>
      </c>
      <c r="K93" t="b">
        <v>1</v>
      </c>
      <c r="L93" t="b">
        <v>0</v>
      </c>
      <c r="M93" t="s">
        <v>1382</v>
      </c>
      <c r="N93" t="s">
        <v>1403</v>
      </c>
      <c r="O93" t="s">
        <v>1385</v>
      </c>
      <c r="P93" t="s">
        <v>1404</v>
      </c>
      <c r="Q93" t="s">
        <v>1612</v>
      </c>
    </row>
    <row r="94" spans="1:17" x14ac:dyDescent="0.25">
      <c r="A94" t="s">
        <v>39</v>
      </c>
      <c r="B94" t="s">
        <v>1614</v>
      </c>
      <c r="C94" t="s">
        <v>272</v>
      </c>
      <c r="D94" t="s">
        <v>1411</v>
      </c>
      <c r="E94">
        <v>0</v>
      </c>
      <c r="F94" t="s">
        <v>1477</v>
      </c>
      <c r="G94" t="s">
        <v>1611</v>
      </c>
      <c r="H94" t="s">
        <v>1383</v>
      </c>
      <c r="I94" t="s">
        <v>1382</v>
      </c>
      <c r="J94" t="s">
        <v>1382</v>
      </c>
      <c r="K94" t="b">
        <v>1</v>
      </c>
      <c r="L94" t="b">
        <v>0</v>
      </c>
      <c r="M94" t="s">
        <v>1382</v>
      </c>
      <c r="N94" t="s">
        <v>1403</v>
      </c>
      <c r="O94" t="s">
        <v>1385</v>
      </c>
      <c r="P94" t="s">
        <v>1404</v>
      </c>
      <c r="Q94" t="s">
        <v>1612</v>
      </c>
    </row>
    <row r="95" spans="1:17" x14ac:dyDescent="0.25">
      <c r="A95" t="s">
        <v>39</v>
      </c>
      <c r="B95" t="s">
        <v>1615</v>
      </c>
      <c r="C95" t="s">
        <v>272</v>
      </c>
      <c r="D95" t="s">
        <v>1415</v>
      </c>
      <c r="E95">
        <v>0</v>
      </c>
      <c r="F95" t="s">
        <v>1477</v>
      </c>
      <c r="G95" t="s">
        <v>1611</v>
      </c>
      <c r="H95" t="s">
        <v>1383</v>
      </c>
      <c r="I95" t="s">
        <v>1382</v>
      </c>
      <c r="J95" t="s">
        <v>1382</v>
      </c>
      <c r="K95" t="b">
        <v>1</v>
      </c>
      <c r="L95" t="b">
        <v>0</v>
      </c>
      <c r="M95" t="s">
        <v>1382</v>
      </c>
      <c r="N95" t="s">
        <v>1403</v>
      </c>
      <c r="O95" t="s">
        <v>1385</v>
      </c>
      <c r="P95" t="s">
        <v>1404</v>
      </c>
      <c r="Q95" t="s">
        <v>1612</v>
      </c>
    </row>
    <row r="96" spans="1:17" x14ac:dyDescent="0.25">
      <c r="A96" t="s">
        <v>39</v>
      </c>
      <c r="B96" t="s">
        <v>1616</v>
      </c>
      <c r="C96" t="s">
        <v>272</v>
      </c>
      <c r="D96" t="s">
        <v>1389</v>
      </c>
      <c r="E96">
        <v>0</v>
      </c>
      <c r="F96" t="s">
        <v>1477</v>
      </c>
      <c r="G96" t="s">
        <v>1611</v>
      </c>
      <c r="H96" t="s">
        <v>1383</v>
      </c>
      <c r="I96" t="s">
        <v>1382</v>
      </c>
      <c r="J96" t="s">
        <v>1382</v>
      </c>
      <c r="K96" t="b">
        <v>1</v>
      </c>
      <c r="L96" t="b">
        <v>0</v>
      </c>
      <c r="M96" t="s">
        <v>1382</v>
      </c>
      <c r="N96" t="s">
        <v>1403</v>
      </c>
      <c r="O96" t="s">
        <v>1385</v>
      </c>
      <c r="P96" t="s">
        <v>1404</v>
      </c>
      <c r="Q96" t="s">
        <v>1612</v>
      </c>
    </row>
    <row r="97" spans="1:17" x14ac:dyDescent="0.25">
      <c r="A97" t="s">
        <v>39</v>
      </c>
      <c r="B97" t="s">
        <v>1617</v>
      </c>
      <c r="C97" t="s">
        <v>272</v>
      </c>
      <c r="D97" t="s">
        <v>1422</v>
      </c>
      <c r="E97">
        <v>0</v>
      </c>
      <c r="F97" t="s">
        <v>1477</v>
      </c>
      <c r="G97" t="s">
        <v>1611</v>
      </c>
      <c r="H97" t="s">
        <v>1383</v>
      </c>
      <c r="I97" t="s">
        <v>1382</v>
      </c>
      <c r="J97" t="s">
        <v>1382</v>
      </c>
      <c r="K97" t="b">
        <v>1</v>
      </c>
      <c r="L97" t="b">
        <v>0</v>
      </c>
      <c r="M97" t="s">
        <v>1382</v>
      </c>
      <c r="N97" t="s">
        <v>1403</v>
      </c>
      <c r="O97" t="s">
        <v>1385</v>
      </c>
      <c r="P97" t="s">
        <v>1404</v>
      </c>
      <c r="Q97" t="s">
        <v>1612</v>
      </c>
    </row>
    <row r="98" spans="1:17" x14ac:dyDescent="0.25">
      <c r="A98" t="s">
        <v>39</v>
      </c>
      <c r="B98" t="s">
        <v>1618</v>
      </c>
      <c r="C98" t="s">
        <v>272</v>
      </c>
      <c r="D98" t="s">
        <v>1426</v>
      </c>
      <c r="E98">
        <v>0</v>
      </c>
      <c r="F98" t="s">
        <v>1477</v>
      </c>
      <c r="G98" t="s">
        <v>1611</v>
      </c>
      <c r="H98" t="s">
        <v>1383</v>
      </c>
      <c r="I98" t="s">
        <v>1382</v>
      </c>
      <c r="J98" t="s">
        <v>1382</v>
      </c>
      <c r="K98" t="b">
        <v>1</v>
      </c>
      <c r="L98" t="b">
        <v>0</v>
      </c>
      <c r="M98" t="s">
        <v>1382</v>
      </c>
      <c r="N98" t="s">
        <v>1403</v>
      </c>
      <c r="O98" t="s">
        <v>1385</v>
      </c>
      <c r="P98" t="s">
        <v>1404</v>
      </c>
      <c r="Q98" t="s">
        <v>1612</v>
      </c>
    </row>
    <row r="99" spans="1:17" x14ac:dyDescent="0.25">
      <c r="A99" t="s">
        <v>39</v>
      </c>
      <c r="B99" t="s">
        <v>1619</v>
      </c>
      <c r="C99" t="s">
        <v>272</v>
      </c>
      <c r="D99" t="s">
        <v>1430</v>
      </c>
      <c r="E99">
        <v>0</v>
      </c>
      <c r="F99" t="s">
        <v>1477</v>
      </c>
      <c r="G99" t="s">
        <v>1611</v>
      </c>
      <c r="H99" t="s">
        <v>1383</v>
      </c>
      <c r="I99" t="s">
        <v>1382</v>
      </c>
      <c r="J99" t="s">
        <v>1382</v>
      </c>
      <c r="K99" t="b">
        <v>1</v>
      </c>
      <c r="L99" t="b">
        <v>0</v>
      </c>
      <c r="M99" t="s">
        <v>1382</v>
      </c>
      <c r="N99" t="s">
        <v>1403</v>
      </c>
      <c r="O99" t="s">
        <v>1385</v>
      </c>
      <c r="P99" t="s">
        <v>1404</v>
      </c>
      <c r="Q99" t="s">
        <v>1612</v>
      </c>
    </row>
    <row r="100" spans="1:17" x14ac:dyDescent="0.25">
      <c r="A100" t="s">
        <v>39</v>
      </c>
      <c r="B100" t="s">
        <v>1620</v>
      </c>
      <c r="C100" t="s">
        <v>272</v>
      </c>
      <c r="D100" t="s">
        <v>1391</v>
      </c>
      <c r="E100">
        <v>0</v>
      </c>
      <c r="F100" t="s">
        <v>1477</v>
      </c>
      <c r="G100" t="s">
        <v>1621</v>
      </c>
      <c r="H100" t="s">
        <v>1383</v>
      </c>
      <c r="I100" t="s">
        <v>1622</v>
      </c>
      <c r="J100" t="s">
        <v>1382</v>
      </c>
      <c r="K100" t="b">
        <v>1</v>
      </c>
      <c r="L100" t="b">
        <v>0</v>
      </c>
      <c r="M100" t="s">
        <v>1382</v>
      </c>
      <c r="N100" t="s">
        <v>1403</v>
      </c>
      <c r="O100" t="s">
        <v>1385</v>
      </c>
      <c r="P100" t="s">
        <v>1404</v>
      </c>
      <c r="Q100" t="s">
        <v>1623</v>
      </c>
    </row>
    <row r="101" spans="1:17" x14ac:dyDescent="0.25">
      <c r="A101" t="s">
        <v>39</v>
      </c>
      <c r="B101" t="s">
        <v>1624</v>
      </c>
      <c r="C101" t="s">
        <v>272</v>
      </c>
      <c r="D101" t="s">
        <v>1437</v>
      </c>
      <c r="E101">
        <v>0</v>
      </c>
      <c r="F101" t="s">
        <v>1477</v>
      </c>
      <c r="G101" t="s">
        <v>1625</v>
      </c>
      <c r="H101" t="s">
        <v>1383</v>
      </c>
      <c r="I101" t="s">
        <v>1424</v>
      </c>
      <c r="J101" t="s">
        <v>1382</v>
      </c>
      <c r="K101" t="b">
        <v>1</v>
      </c>
      <c r="L101" t="b">
        <v>0</v>
      </c>
      <c r="M101" t="s">
        <v>1382</v>
      </c>
      <c r="N101" t="s">
        <v>1403</v>
      </c>
      <c r="O101" t="s">
        <v>1385</v>
      </c>
      <c r="P101" t="s">
        <v>1404</v>
      </c>
      <c r="Q101" t="s">
        <v>1623</v>
      </c>
    </row>
    <row r="102" spans="1:17" x14ac:dyDescent="0.25">
      <c r="A102" t="s">
        <v>39</v>
      </c>
      <c r="B102" t="s">
        <v>1626</v>
      </c>
      <c r="C102" t="s">
        <v>272</v>
      </c>
      <c r="D102" t="s">
        <v>1439</v>
      </c>
      <c r="E102">
        <v>0</v>
      </c>
      <c r="F102" t="s">
        <v>1477</v>
      </c>
      <c r="G102" t="s">
        <v>1627</v>
      </c>
      <c r="H102" t="s">
        <v>1383</v>
      </c>
      <c r="I102" t="s">
        <v>1428</v>
      </c>
      <c r="J102" t="s">
        <v>1382</v>
      </c>
      <c r="K102" t="b">
        <v>1</v>
      </c>
      <c r="L102" t="b">
        <v>0</v>
      </c>
      <c r="M102" t="s">
        <v>1382</v>
      </c>
      <c r="N102" t="s">
        <v>1403</v>
      </c>
      <c r="O102" t="s">
        <v>1385</v>
      </c>
      <c r="P102" t="s">
        <v>1404</v>
      </c>
      <c r="Q102" t="s">
        <v>1623</v>
      </c>
    </row>
    <row r="103" spans="1:17" x14ac:dyDescent="0.25">
      <c r="A103" t="s">
        <v>39</v>
      </c>
      <c r="B103" t="s">
        <v>1628</v>
      </c>
      <c r="C103" t="s">
        <v>272</v>
      </c>
      <c r="D103" t="s">
        <v>1442</v>
      </c>
      <c r="E103">
        <v>-4.734</v>
      </c>
      <c r="F103" t="s">
        <v>1477</v>
      </c>
      <c r="G103" t="s">
        <v>1629</v>
      </c>
      <c r="H103" t="s">
        <v>1383</v>
      </c>
      <c r="I103" t="s">
        <v>1382</v>
      </c>
      <c r="J103" t="s">
        <v>1382</v>
      </c>
      <c r="K103" t="b">
        <v>1</v>
      </c>
      <c r="L103" t="b">
        <v>0</v>
      </c>
      <c r="M103" t="s">
        <v>1382</v>
      </c>
      <c r="N103" t="s">
        <v>1403</v>
      </c>
      <c r="O103" t="s">
        <v>1385</v>
      </c>
      <c r="P103" t="s">
        <v>1404</v>
      </c>
      <c r="Q103" t="s">
        <v>1630</v>
      </c>
    </row>
    <row r="104" spans="1:17" x14ac:dyDescent="0.25">
      <c r="A104" t="s">
        <v>39</v>
      </c>
      <c r="B104" t="s">
        <v>1631</v>
      </c>
      <c r="C104" t="s">
        <v>273</v>
      </c>
      <c r="D104" t="s">
        <v>1380</v>
      </c>
      <c r="E104">
        <v>6.311</v>
      </c>
      <c r="F104" t="s">
        <v>1477</v>
      </c>
      <c r="G104" t="s">
        <v>1632</v>
      </c>
      <c r="H104" t="s">
        <v>1383</v>
      </c>
      <c r="I104" t="s">
        <v>1402</v>
      </c>
      <c r="J104" t="s">
        <v>1382</v>
      </c>
      <c r="K104" t="b">
        <v>1</v>
      </c>
      <c r="L104" t="b">
        <v>0</v>
      </c>
      <c r="M104" t="s">
        <v>1382</v>
      </c>
      <c r="N104" t="s">
        <v>1403</v>
      </c>
      <c r="O104" t="s">
        <v>1385</v>
      </c>
      <c r="P104" t="s">
        <v>1404</v>
      </c>
      <c r="Q104" t="s">
        <v>1633</v>
      </c>
    </row>
    <row r="105" spans="1:17" x14ac:dyDescent="0.25">
      <c r="A105" t="s">
        <v>39</v>
      </c>
      <c r="B105" t="s">
        <v>1634</v>
      </c>
      <c r="C105" t="s">
        <v>273</v>
      </c>
      <c r="D105" t="s">
        <v>1407</v>
      </c>
      <c r="E105">
        <v>3.711</v>
      </c>
      <c r="F105" t="s">
        <v>1477</v>
      </c>
      <c r="G105" t="s">
        <v>1635</v>
      </c>
      <c r="H105" t="s">
        <v>1383</v>
      </c>
      <c r="I105" t="s">
        <v>1409</v>
      </c>
      <c r="J105" t="s">
        <v>1382</v>
      </c>
      <c r="K105" t="b">
        <v>1</v>
      </c>
      <c r="L105" t="b">
        <v>0</v>
      </c>
      <c r="M105" t="s">
        <v>1382</v>
      </c>
      <c r="N105" t="s">
        <v>1403</v>
      </c>
      <c r="O105" t="s">
        <v>1385</v>
      </c>
      <c r="P105" t="s">
        <v>1404</v>
      </c>
      <c r="Q105" t="s">
        <v>1633</v>
      </c>
    </row>
    <row r="106" spans="1:17" x14ac:dyDescent="0.25">
      <c r="A106" t="s">
        <v>39</v>
      </c>
      <c r="B106" t="s">
        <v>1636</v>
      </c>
      <c r="C106" t="s">
        <v>273</v>
      </c>
      <c r="D106" t="s">
        <v>1411</v>
      </c>
      <c r="E106">
        <v>3.772</v>
      </c>
      <c r="F106" t="s">
        <v>1477</v>
      </c>
      <c r="G106" t="s">
        <v>1637</v>
      </c>
      <c r="H106" t="s">
        <v>1383</v>
      </c>
      <c r="I106" t="s">
        <v>1413</v>
      </c>
      <c r="J106" t="s">
        <v>1382</v>
      </c>
      <c r="K106" t="b">
        <v>1</v>
      </c>
      <c r="L106" t="b">
        <v>0</v>
      </c>
      <c r="M106" t="s">
        <v>1382</v>
      </c>
      <c r="N106" t="s">
        <v>1403</v>
      </c>
      <c r="O106" t="s">
        <v>1385</v>
      </c>
      <c r="P106" t="s">
        <v>1404</v>
      </c>
      <c r="Q106" t="s">
        <v>1633</v>
      </c>
    </row>
    <row r="107" spans="1:17" x14ac:dyDescent="0.25">
      <c r="A107" t="s">
        <v>39</v>
      </c>
      <c r="B107" t="s">
        <v>1638</v>
      </c>
      <c r="C107" t="s">
        <v>273</v>
      </c>
      <c r="D107" t="s">
        <v>1415</v>
      </c>
      <c r="E107">
        <v>1.506</v>
      </c>
      <c r="F107" t="s">
        <v>1477</v>
      </c>
      <c r="G107" t="s">
        <v>1639</v>
      </c>
      <c r="H107" t="s">
        <v>1383</v>
      </c>
      <c r="I107" t="s">
        <v>1382</v>
      </c>
      <c r="J107" t="s">
        <v>1382</v>
      </c>
      <c r="K107" t="b">
        <v>1</v>
      </c>
      <c r="L107" t="b">
        <v>0</v>
      </c>
      <c r="M107" t="s">
        <v>1382</v>
      </c>
      <c r="N107" t="s">
        <v>1403</v>
      </c>
      <c r="O107" t="s">
        <v>1385</v>
      </c>
      <c r="P107" t="s">
        <v>1404</v>
      </c>
      <c r="Q107" t="s">
        <v>1640</v>
      </c>
    </row>
    <row r="108" spans="1:17" x14ac:dyDescent="0.25">
      <c r="A108" t="s">
        <v>39</v>
      </c>
      <c r="B108" t="s">
        <v>1641</v>
      </c>
      <c r="C108" t="s">
        <v>273</v>
      </c>
      <c r="D108" t="s">
        <v>1389</v>
      </c>
      <c r="E108">
        <v>-0.453</v>
      </c>
      <c r="F108" t="s">
        <v>1477</v>
      </c>
      <c r="G108" t="s">
        <v>1642</v>
      </c>
      <c r="H108" t="s">
        <v>1383</v>
      </c>
      <c r="I108" t="s">
        <v>1420</v>
      </c>
      <c r="J108" t="s">
        <v>1382</v>
      </c>
      <c r="K108" t="b">
        <v>1</v>
      </c>
      <c r="L108" t="b">
        <v>0</v>
      </c>
      <c r="M108" t="s">
        <v>1382</v>
      </c>
      <c r="N108" t="s">
        <v>1403</v>
      </c>
      <c r="O108" t="s">
        <v>1385</v>
      </c>
      <c r="P108" t="s">
        <v>1404</v>
      </c>
      <c r="Q108" t="s">
        <v>1643</v>
      </c>
    </row>
    <row r="109" spans="1:17" x14ac:dyDescent="0.25">
      <c r="A109" t="s">
        <v>39</v>
      </c>
      <c r="B109" t="s">
        <v>1644</v>
      </c>
      <c r="C109" t="s">
        <v>273</v>
      </c>
      <c r="D109" t="s">
        <v>1422</v>
      </c>
      <c r="E109">
        <v>4.83</v>
      </c>
      <c r="F109" t="s">
        <v>1477</v>
      </c>
      <c r="G109" t="s">
        <v>1645</v>
      </c>
      <c r="H109" t="s">
        <v>1383</v>
      </c>
      <c r="I109" t="s">
        <v>1424</v>
      </c>
      <c r="J109" t="s">
        <v>1382</v>
      </c>
      <c r="K109" t="b">
        <v>1</v>
      </c>
      <c r="L109" t="b">
        <v>0</v>
      </c>
      <c r="M109" t="s">
        <v>1382</v>
      </c>
      <c r="N109" t="s">
        <v>1403</v>
      </c>
      <c r="O109" t="s">
        <v>1385</v>
      </c>
      <c r="P109" t="s">
        <v>1404</v>
      </c>
      <c r="Q109" t="s">
        <v>1643</v>
      </c>
    </row>
    <row r="110" spans="1:17" x14ac:dyDescent="0.25">
      <c r="A110" t="s">
        <v>39</v>
      </c>
      <c r="B110" t="s">
        <v>1646</v>
      </c>
      <c r="C110" t="s">
        <v>273</v>
      </c>
      <c r="D110" t="s">
        <v>1426</v>
      </c>
      <c r="E110">
        <v>13.237</v>
      </c>
      <c r="F110" t="s">
        <v>1477</v>
      </c>
      <c r="G110" t="s">
        <v>1647</v>
      </c>
      <c r="H110" t="s">
        <v>1383</v>
      </c>
      <c r="I110" t="s">
        <v>1428</v>
      </c>
      <c r="J110" t="s">
        <v>1382</v>
      </c>
      <c r="K110" t="b">
        <v>1</v>
      </c>
      <c r="L110" t="b">
        <v>0</v>
      </c>
      <c r="M110" t="s">
        <v>1382</v>
      </c>
      <c r="N110" t="s">
        <v>1403</v>
      </c>
      <c r="O110" t="s">
        <v>1385</v>
      </c>
      <c r="P110" t="s">
        <v>1404</v>
      </c>
      <c r="Q110" t="s">
        <v>1643</v>
      </c>
    </row>
    <row r="111" spans="1:17" x14ac:dyDescent="0.25">
      <c r="A111" t="s">
        <v>39</v>
      </c>
      <c r="B111" t="s">
        <v>1648</v>
      </c>
      <c r="C111" t="s">
        <v>273</v>
      </c>
      <c r="D111" t="s">
        <v>1430</v>
      </c>
      <c r="E111">
        <v>13.417</v>
      </c>
      <c r="F111" t="s">
        <v>1477</v>
      </c>
      <c r="G111" t="s">
        <v>1649</v>
      </c>
      <c r="H111" t="s">
        <v>1383</v>
      </c>
      <c r="I111" t="s">
        <v>1382</v>
      </c>
      <c r="J111" t="s">
        <v>1382</v>
      </c>
      <c r="K111" t="b">
        <v>1</v>
      </c>
      <c r="L111" t="b">
        <v>0</v>
      </c>
      <c r="M111" t="s">
        <v>1382</v>
      </c>
      <c r="N111" t="s">
        <v>1403</v>
      </c>
      <c r="O111" t="s">
        <v>1385</v>
      </c>
      <c r="P111" t="s">
        <v>1404</v>
      </c>
      <c r="Q111" t="s">
        <v>1650</v>
      </c>
    </row>
    <row r="112" spans="1:17" x14ac:dyDescent="0.25">
      <c r="A112" t="s">
        <v>39</v>
      </c>
      <c r="B112" t="s">
        <v>1651</v>
      </c>
      <c r="C112" t="s">
        <v>273</v>
      </c>
      <c r="D112" t="s">
        <v>1391</v>
      </c>
      <c r="E112">
        <v>6.983</v>
      </c>
      <c r="F112" t="s">
        <v>1477</v>
      </c>
      <c r="G112" t="s">
        <v>1652</v>
      </c>
      <c r="H112" t="s">
        <v>1383</v>
      </c>
      <c r="I112" t="s">
        <v>1435</v>
      </c>
      <c r="J112" t="s">
        <v>1382</v>
      </c>
      <c r="K112" t="b">
        <v>1</v>
      </c>
      <c r="L112" t="b">
        <v>0</v>
      </c>
      <c r="M112" t="s">
        <v>1382</v>
      </c>
      <c r="N112" t="s">
        <v>1403</v>
      </c>
      <c r="O112" t="s">
        <v>1385</v>
      </c>
      <c r="P112" t="s">
        <v>1404</v>
      </c>
      <c r="Q112" t="s">
        <v>1633</v>
      </c>
    </row>
    <row r="113" spans="1:17" x14ac:dyDescent="0.25">
      <c r="A113" t="s">
        <v>39</v>
      </c>
      <c r="B113" t="s">
        <v>1653</v>
      </c>
      <c r="C113" t="s">
        <v>273</v>
      </c>
      <c r="D113" t="s">
        <v>1437</v>
      </c>
      <c r="E113">
        <v>7.668</v>
      </c>
      <c r="F113" t="s">
        <v>1477</v>
      </c>
      <c r="G113" t="s">
        <v>1654</v>
      </c>
      <c r="H113" t="s">
        <v>1383</v>
      </c>
      <c r="I113" t="s">
        <v>1424</v>
      </c>
      <c r="J113" t="s">
        <v>1382</v>
      </c>
      <c r="K113" t="b">
        <v>1</v>
      </c>
      <c r="L113" t="b">
        <v>0</v>
      </c>
      <c r="M113" t="s">
        <v>1382</v>
      </c>
      <c r="N113" t="s">
        <v>1403</v>
      </c>
      <c r="O113" t="s">
        <v>1385</v>
      </c>
      <c r="P113" t="s">
        <v>1404</v>
      </c>
      <c r="Q113" t="s">
        <v>1633</v>
      </c>
    </row>
    <row r="114" spans="1:17" x14ac:dyDescent="0.25">
      <c r="A114" t="s">
        <v>39</v>
      </c>
      <c r="B114" t="s">
        <v>1655</v>
      </c>
      <c r="C114" t="s">
        <v>273</v>
      </c>
      <c r="D114" t="s">
        <v>1439</v>
      </c>
      <c r="E114">
        <v>10.041</v>
      </c>
      <c r="F114" t="s">
        <v>1477</v>
      </c>
      <c r="G114" t="s">
        <v>1656</v>
      </c>
      <c r="H114" t="s">
        <v>1383</v>
      </c>
      <c r="I114" t="s">
        <v>1428</v>
      </c>
      <c r="J114" t="s">
        <v>1382</v>
      </c>
      <c r="K114" t="b">
        <v>1</v>
      </c>
      <c r="L114" t="b">
        <v>0</v>
      </c>
      <c r="M114" t="s">
        <v>1382</v>
      </c>
      <c r="N114" t="s">
        <v>1403</v>
      </c>
      <c r="O114" t="s">
        <v>1385</v>
      </c>
      <c r="P114" t="s">
        <v>1404</v>
      </c>
      <c r="Q114" t="s">
        <v>1633</v>
      </c>
    </row>
    <row r="115" spans="1:17" x14ac:dyDescent="0.25">
      <c r="A115" t="s">
        <v>39</v>
      </c>
      <c r="B115" t="s">
        <v>1657</v>
      </c>
      <c r="C115" t="s">
        <v>273</v>
      </c>
      <c r="D115" t="s">
        <v>1442</v>
      </c>
      <c r="E115">
        <v>3.738</v>
      </c>
      <c r="F115" t="s">
        <v>1477</v>
      </c>
      <c r="G115" t="s">
        <v>1635</v>
      </c>
      <c r="H115" t="s">
        <v>1383</v>
      </c>
      <c r="I115" t="s">
        <v>1382</v>
      </c>
      <c r="J115" t="s">
        <v>1382</v>
      </c>
      <c r="K115" t="b">
        <v>1</v>
      </c>
      <c r="L115" t="b">
        <v>0</v>
      </c>
      <c r="M115" t="s">
        <v>1382</v>
      </c>
      <c r="N115" t="s">
        <v>1403</v>
      </c>
      <c r="O115" t="s">
        <v>1385</v>
      </c>
      <c r="P115" t="s">
        <v>1404</v>
      </c>
      <c r="Q115" t="s">
        <v>1658</v>
      </c>
    </row>
    <row r="116" spans="1:17" x14ac:dyDescent="0.25">
      <c r="A116" t="s">
        <v>39</v>
      </c>
      <c r="B116" t="s">
        <v>1659</v>
      </c>
      <c r="C116" t="s">
        <v>317</v>
      </c>
      <c r="D116" t="s">
        <v>1380</v>
      </c>
      <c r="E116">
        <v>7508.508</v>
      </c>
      <c r="F116" t="s">
        <v>1400</v>
      </c>
      <c r="G116" t="s">
        <v>1660</v>
      </c>
      <c r="H116" t="s">
        <v>1661</v>
      </c>
      <c r="I116" t="s">
        <v>1662</v>
      </c>
      <c r="J116" t="s">
        <v>1382</v>
      </c>
      <c r="K116" t="b">
        <v>1</v>
      </c>
      <c r="L116" t="b">
        <v>0</v>
      </c>
      <c r="M116" t="s">
        <v>1382</v>
      </c>
      <c r="N116" t="s">
        <v>1403</v>
      </c>
      <c r="O116" t="s">
        <v>1385</v>
      </c>
      <c r="P116" t="s">
        <v>1404</v>
      </c>
      <c r="Q116" t="s">
        <v>1663</v>
      </c>
    </row>
    <row r="117" spans="1:17" x14ac:dyDescent="0.25">
      <c r="A117" t="s">
        <v>39</v>
      </c>
      <c r="B117" t="s">
        <v>1664</v>
      </c>
      <c r="C117" t="s">
        <v>317</v>
      </c>
      <c r="D117" t="s">
        <v>1407</v>
      </c>
      <c r="E117">
        <v>8004.88</v>
      </c>
      <c r="F117" t="s">
        <v>1400</v>
      </c>
      <c r="G117" t="s">
        <v>1665</v>
      </c>
      <c r="H117" t="s">
        <v>1661</v>
      </c>
      <c r="I117" t="s">
        <v>1666</v>
      </c>
      <c r="J117" t="s">
        <v>1382</v>
      </c>
      <c r="K117" t="b">
        <v>1</v>
      </c>
      <c r="L117" t="b">
        <v>0</v>
      </c>
      <c r="M117" t="s">
        <v>1382</v>
      </c>
      <c r="N117" t="s">
        <v>1403</v>
      </c>
      <c r="O117" t="s">
        <v>1385</v>
      </c>
      <c r="P117" t="s">
        <v>1404</v>
      </c>
      <c r="Q117" t="s">
        <v>1663</v>
      </c>
    </row>
    <row r="118" spans="1:17" x14ac:dyDescent="0.25">
      <c r="A118" t="s">
        <v>39</v>
      </c>
      <c r="B118" t="s">
        <v>1667</v>
      </c>
      <c r="C118" t="s">
        <v>317</v>
      </c>
      <c r="D118" t="s">
        <v>1411</v>
      </c>
      <c r="E118">
        <v>8817.357</v>
      </c>
      <c r="F118" t="s">
        <v>1400</v>
      </c>
      <c r="G118" t="s">
        <v>1668</v>
      </c>
      <c r="H118" t="s">
        <v>1661</v>
      </c>
      <c r="I118" t="s">
        <v>1669</v>
      </c>
      <c r="J118" t="s">
        <v>1382</v>
      </c>
      <c r="K118" t="b">
        <v>1</v>
      </c>
      <c r="L118" t="b">
        <v>0</v>
      </c>
      <c r="M118" t="s">
        <v>1382</v>
      </c>
      <c r="N118" t="s">
        <v>1403</v>
      </c>
      <c r="O118" t="s">
        <v>1385</v>
      </c>
      <c r="P118" t="s">
        <v>1404</v>
      </c>
      <c r="Q118" t="s">
        <v>1663</v>
      </c>
    </row>
    <row r="119" spans="1:17" x14ac:dyDescent="0.25">
      <c r="A119" t="s">
        <v>39</v>
      </c>
      <c r="B119" t="s">
        <v>1670</v>
      </c>
      <c r="C119" t="s">
        <v>317</v>
      </c>
      <c r="D119" t="s">
        <v>1415</v>
      </c>
      <c r="E119">
        <v>8526.363</v>
      </c>
      <c r="F119" t="s">
        <v>1400</v>
      </c>
      <c r="G119" t="s">
        <v>1671</v>
      </c>
      <c r="H119" t="s">
        <v>1661</v>
      </c>
      <c r="I119" t="s">
        <v>1672</v>
      </c>
      <c r="J119" t="s">
        <v>1382</v>
      </c>
      <c r="K119" t="b">
        <v>1</v>
      </c>
      <c r="L119" t="b">
        <v>0</v>
      </c>
      <c r="M119" t="s">
        <v>1382</v>
      </c>
      <c r="N119" t="s">
        <v>1403</v>
      </c>
      <c r="O119" t="s">
        <v>1385</v>
      </c>
      <c r="P119" t="s">
        <v>1404</v>
      </c>
      <c r="Q119" t="s">
        <v>1663</v>
      </c>
    </row>
    <row r="120" spans="1:17" x14ac:dyDescent="0.25">
      <c r="A120" t="s">
        <v>39</v>
      </c>
      <c r="B120" t="s">
        <v>1673</v>
      </c>
      <c r="C120" t="s">
        <v>317</v>
      </c>
      <c r="D120" t="s">
        <v>1389</v>
      </c>
      <c r="E120">
        <v>7615.691</v>
      </c>
      <c r="F120" t="s">
        <v>1400</v>
      </c>
      <c r="G120" t="s">
        <v>1674</v>
      </c>
      <c r="H120" t="s">
        <v>1661</v>
      </c>
      <c r="I120" t="s">
        <v>1402</v>
      </c>
      <c r="J120" t="s">
        <v>1382</v>
      </c>
      <c r="K120" t="b">
        <v>1</v>
      </c>
      <c r="L120" t="b">
        <v>0</v>
      </c>
      <c r="M120" t="s">
        <v>1382</v>
      </c>
      <c r="N120" t="s">
        <v>1403</v>
      </c>
      <c r="O120" t="s">
        <v>1385</v>
      </c>
      <c r="P120" t="s">
        <v>1404</v>
      </c>
      <c r="Q120" t="s">
        <v>1663</v>
      </c>
    </row>
    <row r="121" spans="1:17" x14ac:dyDescent="0.25">
      <c r="A121" t="s">
        <v>39</v>
      </c>
      <c r="B121" t="s">
        <v>1675</v>
      </c>
      <c r="C121" t="s">
        <v>317</v>
      </c>
      <c r="D121" t="s">
        <v>1422</v>
      </c>
      <c r="E121">
        <v>10841.622</v>
      </c>
      <c r="F121" t="s">
        <v>1400</v>
      </c>
      <c r="G121" t="s">
        <v>1676</v>
      </c>
      <c r="H121" t="s">
        <v>1661</v>
      </c>
      <c r="I121" t="s">
        <v>1409</v>
      </c>
      <c r="J121" t="s">
        <v>1382</v>
      </c>
      <c r="K121" t="b">
        <v>1</v>
      </c>
      <c r="L121" t="b">
        <v>0</v>
      </c>
      <c r="M121" t="s">
        <v>1382</v>
      </c>
      <c r="N121" t="s">
        <v>1403</v>
      </c>
      <c r="O121" t="s">
        <v>1385</v>
      </c>
      <c r="P121" t="s">
        <v>1404</v>
      </c>
      <c r="Q121" t="s">
        <v>1663</v>
      </c>
    </row>
    <row r="122" spans="1:17" x14ac:dyDescent="0.25">
      <c r="A122" t="s">
        <v>39</v>
      </c>
      <c r="B122" t="s">
        <v>1677</v>
      </c>
      <c r="C122" t="s">
        <v>317</v>
      </c>
      <c r="D122" t="s">
        <v>1426</v>
      </c>
      <c r="E122">
        <v>10573.471</v>
      </c>
      <c r="F122" t="s">
        <v>1400</v>
      </c>
      <c r="G122" t="s">
        <v>1678</v>
      </c>
      <c r="H122" t="s">
        <v>1661</v>
      </c>
      <c r="I122" t="s">
        <v>1413</v>
      </c>
      <c r="J122" t="s">
        <v>1382</v>
      </c>
      <c r="K122" t="b">
        <v>1</v>
      </c>
      <c r="L122" t="b">
        <v>0</v>
      </c>
      <c r="M122" t="s">
        <v>1382</v>
      </c>
      <c r="N122" t="s">
        <v>1403</v>
      </c>
      <c r="O122" t="s">
        <v>1385</v>
      </c>
      <c r="P122" t="s">
        <v>1404</v>
      </c>
      <c r="Q122" t="s">
        <v>1663</v>
      </c>
    </row>
    <row r="123" spans="1:17" x14ac:dyDescent="0.25">
      <c r="A123" t="s">
        <v>39</v>
      </c>
      <c r="B123" t="s">
        <v>1679</v>
      </c>
      <c r="C123" t="s">
        <v>317</v>
      </c>
      <c r="D123" t="s">
        <v>1430</v>
      </c>
      <c r="E123">
        <v>12153.414</v>
      </c>
      <c r="F123" t="s">
        <v>1400</v>
      </c>
      <c r="G123" t="s">
        <v>1680</v>
      </c>
      <c r="H123" t="s">
        <v>1661</v>
      </c>
      <c r="I123" t="s">
        <v>1486</v>
      </c>
      <c r="J123" t="s">
        <v>1382</v>
      </c>
      <c r="K123" t="b">
        <v>1</v>
      </c>
      <c r="L123" t="b">
        <v>0</v>
      </c>
      <c r="M123" t="s">
        <v>1382</v>
      </c>
      <c r="N123" t="s">
        <v>1403</v>
      </c>
      <c r="O123" t="s">
        <v>1385</v>
      </c>
      <c r="P123" t="s">
        <v>1404</v>
      </c>
      <c r="Q123" t="s">
        <v>1663</v>
      </c>
    </row>
    <row r="124" spans="1:17" x14ac:dyDescent="0.25">
      <c r="A124" t="s">
        <v>39</v>
      </c>
      <c r="B124" t="s">
        <v>1681</v>
      </c>
      <c r="C124" t="s">
        <v>317</v>
      </c>
      <c r="D124" t="s">
        <v>1391</v>
      </c>
      <c r="E124">
        <v>11176.343</v>
      </c>
      <c r="F124" t="s">
        <v>1400</v>
      </c>
      <c r="G124" t="s">
        <v>1682</v>
      </c>
      <c r="H124" t="s">
        <v>1661</v>
      </c>
      <c r="I124" t="s">
        <v>1420</v>
      </c>
      <c r="J124" t="s">
        <v>1382</v>
      </c>
      <c r="K124" t="b">
        <v>1</v>
      </c>
      <c r="L124" t="b">
        <v>0</v>
      </c>
      <c r="M124" t="s">
        <v>1382</v>
      </c>
      <c r="N124" t="s">
        <v>1403</v>
      </c>
      <c r="O124" t="s">
        <v>1385</v>
      </c>
      <c r="P124" t="s">
        <v>1404</v>
      </c>
      <c r="Q124" t="s">
        <v>1663</v>
      </c>
    </row>
    <row r="125" spans="1:17" x14ac:dyDescent="0.25">
      <c r="A125" t="s">
        <v>39</v>
      </c>
      <c r="B125" t="s">
        <v>1683</v>
      </c>
      <c r="C125" t="s">
        <v>317</v>
      </c>
      <c r="D125" t="s">
        <v>1437</v>
      </c>
      <c r="E125">
        <v>11260.403</v>
      </c>
      <c r="F125" t="s">
        <v>1400</v>
      </c>
      <c r="G125" t="s">
        <v>1684</v>
      </c>
      <c r="H125" t="s">
        <v>1661</v>
      </c>
      <c r="I125" t="s">
        <v>1424</v>
      </c>
      <c r="J125" t="s">
        <v>1382</v>
      </c>
      <c r="K125" t="b">
        <v>1</v>
      </c>
      <c r="L125" t="b">
        <v>0</v>
      </c>
      <c r="M125" t="s">
        <v>1382</v>
      </c>
      <c r="N125" t="s">
        <v>1403</v>
      </c>
      <c r="O125" t="s">
        <v>1385</v>
      </c>
      <c r="P125" t="s">
        <v>1404</v>
      </c>
      <c r="Q125" t="s">
        <v>1663</v>
      </c>
    </row>
    <row r="126" spans="1:17" x14ac:dyDescent="0.25">
      <c r="A126" t="s">
        <v>39</v>
      </c>
      <c r="B126" t="s">
        <v>1685</v>
      </c>
      <c r="C126" t="s">
        <v>317</v>
      </c>
      <c r="D126" t="s">
        <v>1439</v>
      </c>
      <c r="E126">
        <v>11458.472</v>
      </c>
      <c r="F126" t="s">
        <v>1400</v>
      </c>
      <c r="G126" t="s">
        <v>1686</v>
      </c>
      <c r="H126" t="s">
        <v>1661</v>
      </c>
      <c r="I126" t="s">
        <v>1428</v>
      </c>
      <c r="J126" t="s">
        <v>1382</v>
      </c>
      <c r="K126" t="b">
        <v>1</v>
      </c>
      <c r="L126" t="b">
        <v>0</v>
      </c>
      <c r="M126" t="s">
        <v>1382</v>
      </c>
      <c r="N126" t="s">
        <v>1403</v>
      </c>
      <c r="O126" t="s">
        <v>1385</v>
      </c>
      <c r="P126" t="s">
        <v>1404</v>
      </c>
      <c r="Q126" t="s">
        <v>1663</v>
      </c>
    </row>
    <row r="127" spans="1:17" x14ac:dyDescent="0.25">
      <c r="A127" t="s">
        <v>39</v>
      </c>
      <c r="B127" t="s">
        <v>1687</v>
      </c>
      <c r="C127" t="s">
        <v>317</v>
      </c>
      <c r="D127" t="s">
        <v>1442</v>
      </c>
      <c r="E127">
        <v>14043.889</v>
      </c>
      <c r="F127" t="s">
        <v>1400</v>
      </c>
      <c r="G127" t="s">
        <v>1688</v>
      </c>
      <c r="H127" t="s">
        <v>1661</v>
      </c>
      <c r="I127" t="s">
        <v>1486</v>
      </c>
      <c r="J127" t="s">
        <v>1382</v>
      </c>
      <c r="K127" t="b">
        <v>1</v>
      </c>
      <c r="L127" t="b">
        <v>0</v>
      </c>
      <c r="M127" t="s">
        <v>1382</v>
      </c>
      <c r="N127" t="s">
        <v>1403</v>
      </c>
      <c r="O127" t="s">
        <v>1385</v>
      </c>
      <c r="P127" t="s">
        <v>1404</v>
      </c>
      <c r="Q127" t="s">
        <v>1663</v>
      </c>
    </row>
    <row r="128" spans="1:17" x14ac:dyDescent="0.25">
      <c r="A128" t="s">
        <v>39</v>
      </c>
      <c r="B128" t="s">
        <v>1689</v>
      </c>
      <c r="C128" t="s">
        <v>318</v>
      </c>
      <c r="D128" t="s">
        <v>1380</v>
      </c>
      <c r="E128">
        <v>3747.893</v>
      </c>
      <c r="F128" t="s">
        <v>1477</v>
      </c>
      <c r="G128" t="s">
        <v>1690</v>
      </c>
      <c r="H128" t="s">
        <v>1661</v>
      </c>
      <c r="I128" t="s">
        <v>1662</v>
      </c>
      <c r="J128" t="s">
        <v>1382</v>
      </c>
      <c r="K128" t="b">
        <v>1</v>
      </c>
      <c r="L128" t="b">
        <v>0</v>
      </c>
      <c r="M128" t="s">
        <v>1382</v>
      </c>
      <c r="N128" t="s">
        <v>1403</v>
      </c>
      <c r="O128" t="s">
        <v>1385</v>
      </c>
      <c r="P128" t="s">
        <v>1404</v>
      </c>
      <c r="Q128" t="s">
        <v>1691</v>
      </c>
    </row>
    <row r="129" spans="1:17" x14ac:dyDescent="0.25">
      <c r="A129" t="s">
        <v>39</v>
      </c>
      <c r="B129" t="s">
        <v>1692</v>
      </c>
      <c r="C129" t="s">
        <v>318</v>
      </c>
      <c r="D129" t="s">
        <v>1407</v>
      </c>
      <c r="E129">
        <v>3372.051</v>
      </c>
      <c r="F129" t="s">
        <v>1477</v>
      </c>
      <c r="G129" t="s">
        <v>1693</v>
      </c>
      <c r="H129" t="s">
        <v>1661</v>
      </c>
      <c r="I129" t="s">
        <v>1666</v>
      </c>
      <c r="J129" t="s">
        <v>1382</v>
      </c>
      <c r="K129" t="b">
        <v>1</v>
      </c>
      <c r="L129" t="b">
        <v>0</v>
      </c>
      <c r="M129" t="s">
        <v>1382</v>
      </c>
      <c r="N129" t="s">
        <v>1403</v>
      </c>
      <c r="O129" t="s">
        <v>1385</v>
      </c>
      <c r="P129" t="s">
        <v>1404</v>
      </c>
      <c r="Q129" t="s">
        <v>1691</v>
      </c>
    </row>
    <row r="130" spans="1:17" x14ac:dyDescent="0.25">
      <c r="A130" t="s">
        <v>39</v>
      </c>
      <c r="B130" t="s">
        <v>1694</v>
      </c>
      <c r="C130" t="s">
        <v>318</v>
      </c>
      <c r="D130" t="s">
        <v>1411</v>
      </c>
      <c r="E130">
        <v>3916.626</v>
      </c>
      <c r="F130" t="s">
        <v>1477</v>
      </c>
      <c r="G130" t="s">
        <v>1695</v>
      </c>
      <c r="H130" t="s">
        <v>1661</v>
      </c>
      <c r="I130" t="s">
        <v>1669</v>
      </c>
      <c r="J130" t="s">
        <v>1382</v>
      </c>
      <c r="K130" t="b">
        <v>1</v>
      </c>
      <c r="L130" t="b">
        <v>0</v>
      </c>
      <c r="M130" t="s">
        <v>1382</v>
      </c>
      <c r="N130" t="s">
        <v>1403</v>
      </c>
      <c r="O130" t="s">
        <v>1385</v>
      </c>
      <c r="P130" t="s">
        <v>1404</v>
      </c>
      <c r="Q130" t="s">
        <v>1691</v>
      </c>
    </row>
    <row r="131" spans="1:17" x14ac:dyDescent="0.25">
      <c r="A131" t="s">
        <v>39</v>
      </c>
      <c r="B131" t="s">
        <v>1696</v>
      </c>
      <c r="C131" t="s">
        <v>318</v>
      </c>
      <c r="D131" t="s">
        <v>1415</v>
      </c>
      <c r="E131">
        <v>4716.299</v>
      </c>
      <c r="F131" t="s">
        <v>1477</v>
      </c>
      <c r="G131" t="s">
        <v>1697</v>
      </c>
      <c r="H131" t="s">
        <v>1661</v>
      </c>
      <c r="I131" t="s">
        <v>1672</v>
      </c>
      <c r="J131" t="s">
        <v>1382</v>
      </c>
      <c r="K131" t="b">
        <v>1</v>
      </c>
      <c r="L131" t="b">
        <v>0</v>
      </c>
      <c r="M131" t="s">
        <v>1382</v>
      </c>
      <c r="N131" t="s">
        <v>1403</v>
      </c>
      <c r="O131" t="s">
        <v>1385</v>
      </c>
      <c r="P131" t="s">
        <v>1404</v>
      </c>
      <c r="Q131" t="s">
        <v>1691</v>
      </c>
    </row>
    <row r="132" spans="1:17" x14ac:dyDescent="0.25">
      <c r="A132" t="s">
        <v>39</v>
      </c>
      <c r="B132" t="s">
        <v>1698</v>
      </c>
      <c r="C132" t="s">
        <v>318</v>
      </c>
      <c r="D132" t="s">
        <v>1389</v>
      </c>
      <c r="E132">
        <v>5480.747</v>
      </c>
      <c r="F132" t="s">
        <v>1477</v>
      </c>
      <c r="G132" t="s">
        <v>1699</v>
      </c>
      <c r="H132" t="s">
        <v>1661</v>
      </c>
      <c r="I132" t="s">
        <v>1402</v>
      </c>
      <c r="J132" t="s">
        <v>1382</v>
      </c>
      <c r="K132" t="b">
        <v>1</v>
      </c>
      <c r="L132" t="b">
        <v>0</v>
      </c>
      <c r="M132" t="s">
        <v>1382</v>
      </c>
      <c r="N132" t="s">
        <v>1403</v>
      </c>
      <c r="O132" t="s">
        <v>1385</v>
      </c>
      <c r="P132" t="s">
        <v>1404</v>
      </c>
      <c r="Q132" t="s">
        <v>1691</v>
      </c>
    </row>
    <row r="133" spans="1:17" x14ac:dyDescent="0.25">
      <c r="A133" t="s">
        <v>39</v>
      </c>
      <c r="B133" t="s">
        <v>1700</v>
      </c>
      <c r="C133" t="s">
        <v>318</v>
      </c>
      <c r="D133" t="s">
        <v>1422</v>
      </c>
      <c r="E133">
        <v>6114.367</v>
      </c>
      <c r="F133" t="s">
        <v>1477</v>
      </c>
      <c r="G133" t="s">
        <v>1701</v>
      </c>
      <c r="H133" t="s">
        <v>1661</v>
      </c>
      <c r="I133" t="s">
        <v>1409</v>
      </c>
      <c r="J133" t="s">
        <v>1382</v>
      </c>
      <c r="K133" t="b">
        <v>1</v>
      </c>
      <c r="L133" t="b">
        <v>0</v>
      </c>
      <c r="M133" t="s">
        <v>1382</v>
      </c>
      <c r="N133" t="s">
        <v>1403</v>
      </c>
      <c r="O133" t="s">
        <v>1385</v>
      </c>
      <c r="P133" t="s">
        <v>1404</v>
      </c>
      <c r="Q133" t="s">
        <v>1691</v>
      </c>
    </row>
    <row r="134" spans="1:17" x14ac:dyDescent="0.25">
      <c r="A134" t="s">
        <v>39</v>
      </c>
      <c r="B134" t="s">
        <v>1702</v>
      </c>
      <c r="C134" t="s">
        <v>318</v>
      </c>
      <c r="D134" t="s">
        <v>1426</v>
      </c>
      <c r="E134">
        <v>5305.207</v>
      </c>
      <c r="F134" t="s">
        <v>1477</v>
      </c>
      <c r="G134" t="s">
        <v>1703</v>
      </c>
      <c r="H134" t="s">
        <v>1661</v>
      </c>
      <c r="I134" t="s">
        <v>1413</v>
      </c>
      <c r="J134" t="s">
        <v>1382</v>
      </c>
      <c r="K134" t="b">
        <v>1</v>
      </c>
      <c r="L134" t="b">
        <v>0</v>
      </c>
      <c r="M134" t="s">
        <v>1382</v>
      </c>
      <c r="N134" t="s">
        <v>1403</v>
      </c>
      <c r="O134" t="s">
        <v>1385</v>
      </c>
      <c r="P134" t="s">
        <v>1404</v>
      </c>
      <c r="Q134" t="s">
        <v>1691</v>
      </c>
    </row>
    <row r="135" spans="1:17" x14ac:dyDescent="0.25">
      <c r="A135" t="s">
        <v>39</v>
      </c>
      <c r="B135" t="s">
        <v>1704</v>
      </c>
      <c r="C135" t="s">
        <v>318</v>
      </c>
      <c r="D135" t="s">
        <v>1430</v>
      </c>
      <c r="E135">
        <v>5824.844</v>
      </c>
      <c r="F135" t="s">
        <v>1477</v>
      </c>
      <c r="G135" t="s">
        <v>1705</v>
      </c>
      <c r="H135" t="s">
        <v>1661</v>
      </c>
      <c r="I135" t="s">
        <v>1486</v>
      </c>
      <c r="J135" t="s">
        <v>1382</v>
      </c>
      <c r="K135" t="b">
        <v>1</v>
      </c>
      <c r="L135" t="b">
        <v>0</v>
      </c>
      <c r="M135" t="s">
        <v>1382</v>
      </c>
      <c r="N135" t="s">
        <v>1403</v>
      </c>
      <c r="O135" t="s">
        <v>1385</v>
      </c>
      <c r="P135" t="s">
        <v>1404</v>
      </c>
      <c r="Q135" t="s">
        <v>1691</v>
      </c>
    </row>
    <row r="136" spans="1:17" x14ac:dyDescent="0.25">
      <c r="A136" t="s">
        <v>39</v>
      </c>
      <c r="B136" t="s">
        <v>1706</v>
      </c>
      <c r="C136" t="s">
        <v>318</v>
      </c>
      <c r="D136" t="s">
        <v>1391</v>
      </c>
      <c r="E136">
        <v>6703.258</v>
      </c>
      <c r="F136" t="s">
        <v>1477</v>
      </c>
      <c r="G136" t="s">
        <v>1707</v>
      </c>
      <c r="H136" t="s">
        <v>1661</v>
      </c>
      <c r="I136" t="s">
        <v>1420</v>
      </c>
      <c r="J136" t="s">
        <v>1382</v>
      </c>
      <c r="K136" t="b">
        <v>1</v>
      </c>
      <c r="L136" t="b">
        <v>0</v>
      </c>
      <c r="M136" t="s">
        <v>1382</v>
      </c>
      <c r="N136" t="s">
        <v>1403</v>
      </c>
      <c r="O136" t="s">
        <v>1385</v>
      </c>
      <c r="P136" t="s">
        <v>1404</v>
      </c>
      <c r="Q136" t="s">
        <v>1691</v>
      </c>
    </row>
    <row r="137" spans="1:17" x14ac:dyDescent="0.25">
      <c r="A137" t="s">
        <v>39</v>
      </c>
      <c r="B137" t="s">
        <v>1708</v>
      </c>
      <c r="C137" t="s">
        <v>318</v>
      </c>
      <c r="D137" t="s">
        <v>1437</v>
      </c>
      <c r="E137">
        <v>6225.189</v>
      </c>
      <c r="F137" t="s">
        <v>1477</v>
      </c>
      <c r="G137" t="s">
        <v>1709</v>
      </c>
      <c r="H137" t="s">
        <v>1661</v>
      </c>
      <c r="I137" t="s">
        <v>1424</v>
      </c>
      <c r="J137" t="s">
        <v>1382</v>
      </c>
      <c r="K137" t="b">
        <v>1</v>
      </c>
      <c r="L137" t="b">
        <v>0</v>
      </c>
      <c r="M137" t="s">
        <v>1382</v>
      </c>
      <c r="N137" t="s">
        <v>1403</v>
      </c>
      <c r="O137" t="s">
        <v>1385</v>
      </c>
      <c r="P137" t="s">
        <v>1404</v>
      </c>
      <c r="Q137" t="s">
        <v>1691</v>
      </c>
    </row>
    <row r="138" spans="1:17" x14ac:dyDescent="0.25">
      <c r="A138" t="s">
        <v>39</v>
      </c>
      <c r="B138" t="s">
        <v>1710</v>
      </c>
      <c r="C138" t="s">
        <v>318</v>
      </c>
      <c r="D138" t="s">
        <v>1439</v>
      </c>
      <c r="E138">
        <v>6627.64</v>
      </c>
      <c r="F138" t="s">
        <v>1477</v>
      </c>
      <c r="G138" t="s">
        <v>1711</v>
      </c>
      <c r="H138" t="s">
        <v>1661</v>
      </c>
      <c r="I138" t="s">
        <v>1428</v>
      </c>
      <c r="J138" t="s">
        <v>1382</v>
      </c>
      <c r="K138" t="b">
        <v>1</v>
      </c>
      <c r="L138" t="b">
        <v>0</v>
      </c>
      <c r="M138" t="s">
        <v>1382</v>
      </c>
      <c r="N138" t="s">
        <v>1403</v>
      </c>
      <c r="O138" t="s">
        <v>1385</v>
      </c>
      <c r="P138" t="s">
        <v>1404</v>
      </c>
      <c r="Q138" t="s">
        <v>1691</v>
      </c>
    </row>
    <row r="139" spans="1:17" x14ac:dyDescent="0.25">
      <c r="A139" t="s">
        <v>39</v>
      </c>
      <c r="B139" t="s">
        <v>1712</v>
      </c>
      <c r="C139" t="s">
        <v>318</v>
      </c>
      <c r="D139" t="s">
        <v>1442</v>
      </c>
      <c r="E139">
        <v>8556.388</v>
      </c>
      <c r="F139" t="s">
        <v>1477</v>
      </c>
      <c r="G139" t="s">
        <v>1713</v>
      </c>
      <c r="H139" t="s">
        <v>1661</v>
      </c>
      <c r="I139" t="s">
        <v>1486</v>
      </c>
      <c r="J139" t="s">
        <v>1382</v>
      </c>
      <c r="K139" t="b">
        <v>1</v>
      </c>
      <c r="L139" t="b">
        <v>0</v>
      </c>
      <c r="M139" t="s">
        <v>1382</v>
      </c>
      <c r="N139" t="s">
        <v>1403</v>
      </c>
      <c r="O139" t="s">
        <v>1385</v>
      </c>
      <c r="P139" t="s">
        <v>1404</v>
      </c>
      <c r="Q139" t="s">
        <v>1714</v>
      </c>
    </row>
    <row r="140" spans="1:17" x14ac:dyDescent="0.25">
      <c r="A140" t="s">
        <v>39</v>
      </c>
      <c r="B140" t="s">
        <v>1715</v>
      </c>
      <c r="C140" t="s">
        <v>320</v>
      </c>
      <c r="D140" t="s">
        <v>1380</v>
      </c>
      <c r="E140">
        <v>34534.191</v>
      </c>
      <c r="F140" t="s">
        <v>1477</v>
      </c>
      <c r="G140" t="s">
        <v>1716</v>
      </c>
      <c r="H140" t="s">
        <v>1661</v>
      </c>
      <c r="I140" t="s">
        <v>1662</v>
      </c>
      <c r="J140" t="s">
        <v>1382</v>
      </c>
      <c r="K140" t="b">
        <v>1</v>
      </c>
      <c r="L140" t="b">
        <v>0</v>
      </c>
      <c r="M140" t="s">
        <v>1382</v>
      </c>
      <c r="N140" t="s">
        <v>1403</v>
      </c>
      <c r="O140" t="s">
        <v>1385</v>
      </c>
      <c r="P140" t="s">
        <v>1404</v>
      </c>
      <c r="Q140" t="s">
        <v>1717</v>
      </c>
    </row>
    <row r="141" spans="1:17" x14ac:dyDescent="0.25">
      <c r="A141" t="s">
        <v>39</v>
      </c>
      <c r="B141" t="s">
        <v>1718</v>
      </c>
      <c r="C141" t="s">
        <v>320</v>
      </c>
      <c r="D141" t="s">
        <v>1407</v>
      </c>
      <c r="E141">
        <v>36089.956</v>
      </c>
      <c r="F141" t="s">
        <v>1477</v>
      </c>
      <c r="G141" t="s">
        <v>1719</v>
      </c>
      <c r="H141" t="s">
        <v>1661</v>
      </c>
      <c r="I141" t="s">
        <v>1666</v>
      </c>
      <c r="J141" t="s">
        <v>1382</v>
      </c>
      <c r="K141" t="b">
        <v>1</v>
      </c>
      <c r="L141" t="b">
        <v>0</v>
      </c>
      <c r="M141" t="s">
        <v>1382</v>
      </c>
      <c r="N141" t="s">
        <v>1403</v>
      </c>
      <c r="O141" t="s">
        <v>1385</v>
      </c>
      <c r="P141" t="s">
        <v>1404</v>
      </c>
      <c r="Q141" t="s">
        <v>1717</v>
      </c>
    </row>
    <row r="142" spans="1:17" x14ac:dyDescent="0.25">
      <c r="A142" t="s">
        <v>39</v>
      </c>
      <c r="B142" t="s">
        <v>1720</v>
      </c>
      <c r="C142" t="s">
        <v>320</v>
      </c>
      <c r="D142" t="s">
        <v>1411</v>
      </c>
      <c r="E142">
        <v>37089.349</v>
      </c>
      <c r="F142" t="s">
        <v>1477</v>
      </c>
      <c r="G142" t="s">
        <v>1721</v>
      </c>
      <c r="H142" t="s">
        <v>1661</v>
      </c>
      <c r="I142" t="s">
        <v>1669</v>
      </c>
      <c r="J142" t="s">
        <v>1382</v>
      </c>
      <c r="K142" t="b">
        <v>1</v>
      </c>
      <c r="L142" t="b">
        <v>0</v>
      </c>
      <c r="M142" t="s">
        <v>1382</v>
      </c>
      <c r="N142" t="s">
        <v>1403</v>
      </c>
      <c r="O142" t="s">
        <v>1385</v>
      </c>
      <c r="P142" t="s">
        <v>1404</v>
      </c>
      <c r="Q142" t="s">
        <v>1717</v>
      </c>
    </row>
    <row r="143" spans="1:17" x14ac:dyDescent="0.25">
      <c r="A143" t="s">
        <v>39</v>
      </c>
      <c r="B143" t="s">
        <v>1722</v>
      </c>
      <c r="C143" t="s">
        <v>320</v>
      </c>
      <c r="D143" t="s">
        <v>1415</v>
      </c>
      <c r="E143">
        <v>37552.851</v>
      </c>
      <c r="F143" t="s">
        <v>1477</v>
      </c>
      <c r="G143" t="s">
        <v>1723</v>
      </c>
      <c r="H143" t="s">
        <v>1661</v>
      </c>
      <c r="I143" t="s">
        <v>1672</v>
      </c>
      <c r="J143" t="s">
        <v>1382</v>
      </c>
      <c r="K143" t="b">
        <v>1</v>
      </c>
      <c r="L143" t="b">
        <v>0</v>
      </c>
      <c r="M143" t="s">
        <v>1382</v>
      </c>
      <c r="N143" t="s">
        <v>1403</v>
      </c>
      <c r="O143" t="s">
        <v>1385</v>
      </c>
      <c r="P143" t="s">
        <v>1404</v>
      </c>
      <c r="Q143" t="s">
        <v>1724</v>
      </c>
    </row>
    <row r="144" spans="1:17" x14ac:dyDescent="0.25">
      <c r="A144" t="s">
        <v>39</v>
      </c>
      <c r="B144" t="s">
        <v>1725</v>
      </c>
      <c r="C144" t="s">
        <v>320</v>
      </c>
      <c r="D144" t="s">
        <v>1389</v>
      </c>
      <c r="E144">
        <v>40121.199</v>
      </c>
      <c r="F144" t="s">
        <v>1477</v>
      </c>
      <c r="G144" t="s">
        <v>1726</v>
      </c>
      <c r="H144" t="s">
        <v>1661</v>
      </c>
      <c r="I144" t="s">
        <v>1402</v>
      </c>
      <c r="J144" t="s">
        <v>1382</v>
      </c>
      <c r="K144" t="b">
        <v>1</v>
      </c>
      <c r="L144" t="b">
        <v>0</v>
      </c>
      <c r="M144" t="s">
        <v>1382</v>
      </c>
      <c r="N144" t="s">
        <v>1403</v>
      </c>
      <c r="O144" t="s">
        <v>1385</v>
      </c>
      <c r="P144" t="s">
        <v>1404</v>
      </c>
      <c r="Q144" t="s">
        <v>1724</v>
      </c>
    </row>
    <row r="145" spans="1:17" x14ac:dyDescent="0.25">
      <c r="A145" t="s">
        <v>39</v>
      </c>
      <c r="B145" t="s">
        <v>1727</v>
      </c>
      <c r="C145" t="s">
        <v>320</v>
      </c>
      <c r="D145" t="s">
        <v>1422</v>
      </c>
      <c r="E145">
        <v>39184.116</v>
      </c>
      <c r="F145" t="s">
        <v>1477</v>
      </c>
      <c r="G145" t="s">
        <v>1728</v>
      </c>
      <c r="H145" t="s">
        <v>1661</v>
      </c>
      <c r="I145" t="s">
        <v>1409</v>
      </c>
      <c r="J145" t="s">
        <v>1382</v>
      </c>
      <c r="K145" t="b">
        <v>1</v>
      </c>
      <c r="L145" t="b">
        <v>0</v>
      </c>
      <c r="M145" t="s">
        <v>1382</v>
      </c>
      <c r="N145" t="s">
        <v>1403</v>
      </c>
      <c r="O145" t="s">
        <v>1385</v>
      </c>
      <c r="P145" t="s">
        <v>1404</v>
      </c>
      <c r="Q145" t="s">
        <v>1724</v>
      </c>
    </row>
    <row r="146" spans="1:17" x14ac:dyDescent="0.25">
      <c r="A146" t="s">
        <v>39</v>
      </c>
      <c r="B146" t="s">
        <v>1729</v>
      </c>
      <c r="C146" t="s">
        <v>320</v>
      </c>
      <c r="D146" t="s">
        <v>1426</v>
      </c>
      <c r="E146">
        <v>41070.805</v>
      </c>
      <c r="F146" t="s">
        <v>1477</v>
      </c>
      <c r="G146" t="s">
        <v>1730</v>
      </c>
      <c r="H146" t="s">
        <v>1661</v>
      </c>
      <c r="I146" t="s">
        <v>1413</v>
      </c>
      <c r="J146" t="s">
        <v>1382</v>
      </c>
      <c r="K146" t="b">
        <v>1</v>
      </c>
      <c r="L146" t="b">
        <v>0</v>
      </c>
      <c r="M146" t="s">
        <v>1382</v>
      </c>
      <c r="N146" t="s">
        <v>1403</v>
      </c>
      <c r="O146" t="s">
        <v>1385</v>
      </c>
      <c r="P146" t="s">
        <v>1404</v>
      </c>
      <c r="Q146" t="s">
        <v>1724</v>
      </c>
    </row>
    <row r="147" spans="1:17" x14ac:dyDescent="0.25">
      <c r="A147" t="s">
        <v>39</v>
      </c>
      <c r="B147" t="s">
        <v>1731</v>
      </c>
      <c r="C147" t="s">
        <v>320</v>
      </c>
      <c r="D147" t="s">
        <v>1430</v>
      </c>
      <c r="E147">
        <v>40235.206</v>
      </c>
      <c r="F147" t="s">
        <v>1477</v>
      </c>
      <c r="G147" t="s">
        <v>1732</v>
      </c>
      <c r="H147" t="s">
        <v>1661</v>
      </c>
      <c r="I147" t="s">
        <v>1486</v>
      </c>
      <c r="J147" t="s">
        <v>1382</v>
      </c>
      <c r="K147" t="b">
        <v>1</v>
      </c>
      <c r="L147" t="b">
        <v>0</v>
      </c>
      <c r="M147" t="s">
        <v>1382</v>
      </c>
      <c r="N147" t="s">
        <v>1403</v>
      </c>
      <c r="O147" t="s">
        <v>1385</v>
      </c>
      <c r="P147" t="s">
        <v>1404</v>
      </c>
      <c r="Q147" t="s">
        <v>1724</v>
      </c>
    </row>
    <row r="148" spans="1:17" x14ac:dyDescent="0.25">
      <c r="A148" t="s">
        <v>39</v>
      </c>
      <c r="B148" t="s">
        <v>1733</v>
      </c>
      <c r="C148" t="s">
        <v>320</v>
      </c>
      <c r="D148" t="s">
        <v>1391</v>
      </c>
      <c r="E148">
        <v>45950.985</v>
      </c>
      <c r="F148" t="s">
        <v>1477</v>
      </c>
      <c r="G148" t="s">
        <v>1734</v>
      </c>
      <c r="H148" t="s">
        <v>1661</v>
      </c>
      <c r="I148" t="s">
        <v>1420</v>
      </c>
      <c r="J148" t="s">
        <v>1382</v>
      </c>
      <c r="K148" t="b">
        <v>1</v>
      </c>
      <c r="L148" t="b">
        <v>0</v>
      </c>
      <c r="M148" t="s">
        <v>1382</v>
      </c>
      <c r="N148" t="s">
        <v>1403</v>
      </c>
      <c r="O148" t="s">
        <v>1385</v>
      </c>
      <c r="P148" t="s">
        <v>1404</v>
      </c>
      <c r="Q148" t="s">
        <v>1724</v>
      </c>
    </row>
    <row r="149" spans="1:17" x14ac:dyDescent="0.25">
      <c r="A149" t="s">
        <v>39</v>
      </c>
      <c r="B149" t="s">
        <v>1735</v>
      </c>
      <c r="C149" t="s">
        <v>320</v>
      </c>
      <c r="D149" t="s">
        <v>1437</v>
      </c>
      <c r="E149">
        <v>43438.891</v>
      </c>
      <c r="F149" t="s">
        <v>1477</v>
      </c>
      <c r="G149" t="s">
        <v>1736</v>
      </c>
      <c r="H149" t="s">
        <v>1661</v>
      </c>
      <c r="I149" t="s">
        <v>1424</v>
      </c>
      <c r="J149" t="s">
        <v>1382</v>
      </c>
      <c r="K149" t="b">
        <v>1</v>
      </c>
      <c r="L149" t="b">
        <v>0</v>
      </c>
      <c r="M149" t="s">
        <v>1382</v>
      </c>
      <c r="N149" t="s">
        <v>1403</v>
      </c>
      <c r="O149" t="s">
        <v>1385</v>
      </c>
      <c r="P149" t="s">
        <v>1404</v>
      </c>
      <c r="Q149" t="s">
        <v>1724</v>
      </c>
    </row>
    <row r="150" spans="1:17" x14ac:dyDescent="0.25">
      <c r="A150" t="s">
        <v>39</v>
      </c>
      <c r="B150" t="s">
        <v>1737</v>
      </c>
      <c r="C150" t="s">
        <v>320</v>
      </c>
      <c r="D150" t="s">
        <v>1439</v>
      </c>
      <c r="E150">
        <v>44833.717</v>
      </c>
      <c r="F150" t="s">
        <v>1477</v>
      </c>
      <c r="G150" t="s">
        <v>1738</v>
      </c>
      <c r="H150" t="s">
        <v>1661</v>
      </c>
      <c r="I150" t="s">
        <v>1428</v>
      </c>
      <c r="J150" t="s">
        <v>1382</v>
      </c>
      <c r="K150" t="b">
        <v>1</v>
      </c>
      <c r="L150" t="b">
        <v>0</v>
      </c>
      <c r="M150" t="s">
        <v>1382</v>
      </c>
      <c r="N150" t="s">
        <v>1403</v>
      </c>
      <c r="O150" t="s">
        <v>1385</v>
      </c>
      <c r="P150" t="s">
        <v>1404</v>
      </c>
      <c r="Q150" t="s">
        <v>1724</v>
      </c>
    </row>
    <row r="151" spans="1:17" x14ac:dyDescent="0.25">
      <c r="A151" t="s">
        <v>39</v>
      </c>
      <c r="B151" t="s">
        <v>1739</v>
      </c>
      <c r="C151" t="s">
        <v>320</v>
      </c>
      <c r="D151" t="s">
        <v>1442</v>
      </c>
      <c r="E151">
        <v>47081.324</v>
      </c>
      <c r="F151" t="s">
        <v>1477</v>
      </c>
      <c r="G151" t="s">
        <v>1740</v>
      </c>
      <c r="H151" t="s">
        <v>1661</v>
      </c>
      <c r="I151" t="s">
        <v>1486</v>
      </c>
      <c r="J151" t="s">
        <v>1382</v>
      </c>
      <c r="K151" t="b">
        <v>1</v>
      </c>
      <c r="L151" t="b">
        <v>0</v>
      </c>
      <c r="M151" t="s">
        <v>1382</v>
      </c>
      <c r="N151" t="s">
        <v>1403</v>
      </c>
      <c r="O151" t="s">
        <v>1385</v>
      </c>
      <c r="P151" t="s">
        <v>1404</v>
      </c>
      <c r="Q151" t="s">
        <v>1741</v>
      </c>
    </row>
    <row r="152" spans="1:17" x14ac:dyDescent="0.25">
      <c r="A152" t="s">
        <v>39</v>
      </c>
      <c r="B152" t="s">
        <v>1742</v>
      </c>
      <c r="C152" t="s">
        <v>322</v>
      </c>
      <c r="D152" t="s">
        <v>1380</v>
      </c>
      <c r="E152">
        <v>904.064</v>
      </c>
      <c r="F152" t="s">
        <v>1477</v>
      </c>
      <c r="G152" t="s">
        <v>1743</v>
      </c>
      <c r="H152" t="s">
        <v>1661</v>
      </c>
      <c r="I152" t="s">
        <v>1662</v>
      </c>
      <c r="J152" t="s">
        <v>1382</v>
      </c>
      <c r="K152" t="b">
        <v>1</v>
      </c>
      <c r="L152" t="b">
        <v>0</v>
      </c>
      <c r="M152" t="s">
        <v>1382</v>
      </c>
      <c r="N152" t="s">
        <v>1403</v>
      </c>
      <c r="O152" t="s">
        <v>1385</v>
      </c>
      <c r="P152" t="s">
        <v>1404</v>
      </c>
      <c r="Q152" t="s">
        <v>1744</v>
      </c>
    </row>
    <row r="153" spans="1:17" x14ac:dyDescent="0.25">
      <c r="A153" t="s">
        <v>39</v>
      </c>
      <c r="B153" t="s">
        <v>1745</v>
      </c>
      <c r="C153" t="s">
        <v>322</v>
      </c>
      <c r="D153" t="s">
        <v>1407</v>
      </c>
      <c r="E153">
        <v>907.234</v>
      </c>
      <c r="F153" t="s">
        <v>1477</v>
      </c>
      <c r="G153" t="s">
        <v>1746</v>
      </c>
      <c r="H153" t="s">
        <v>1661</v>
      </c>
      <c r="I153" t="s">
        <v>1666</v>
      </c>
      <c r="J153" t="s">
        <v>1382</v>
      </c>
      <c r="K153" t="b">
        <v>1</v>
      </c>
      <c r="L153" t="b">
        <v>0</v>
      </c>
      <c r="M153" t="s">
        <v>1382</v>
      </c>
      <c r="N153" t="s">
        <v>1403</v>
      </c>
      <c r="O153" t="s">
        <v>1385</v>
      </c>
      <c r="P153" t="s">
        <v>1404</v>
      </c>
      <c r="Q153" t="s">
        <v>1744</v>
      </c>
    </row>
    <row r="154" spans="1:17" x14ac:dyDescent="0.25">
      <c r="A154" t="s">
        <v>39</v>
      </c>
      <c r="B154" t="s">
        <v>1747</v>
      </c>
      <c r="C154" t="s">
        <v>322</v>
      </c>
      <c r="D154" t="s">
        <v>1411</v>
      </c>
      <c r="E154">
        <v>929.903</v>
      </c>
      <c r="F154" t="s">
        <v>1477</v>
      </c>
      <c r="G154" t="s">
        <v>1748</v>
      </c>
      <c r="H154" t="s">
        <v>1661</v>
      </c>
      <c r="I154" t="s">
        <v>1669</v>
      </c>
      <c r="J154" t="s">
        <v>1382</v>
      </c>
      <c r="K154" t="b">
        <v>1</v>
      </c>
      <c r="L154" t="b">
        <v>0</v>
      </c>
      <c r="M154" t="s">
        <v>1382</v>
      </c>
      <c r="N154" t="s">
        <v>1403</v>
      </c>
      <c r="O154" t="s">
        <v>1385</v>
      </c>
      <c r="P154" t="s">
        <v>1404</v>
      </c>
      <c r="Q154" t="s">
        <v>1744</v>
      </c>
    </row>
    <row r="155" spans="1:17" x14ac:dyDescent="0.25">
      <c r="A155" t="s">
        <v>39</v>
      </c>
      <c r="B155" t="s">
        <v>1749</v>
      </c>
      <c r="C155" t="s">
        <v>322</v>
      </c>
      <c r="D155" t="s">
        <v>1415</v>
      </c>
      <c r="E155">
        <v>1065.68</v>
      </c>
      <c r="F155" t="s">
        <v>1477</v>
      </c>
      <c r="G155" t="s">
        <v>1750</v>
      </c>
      <c r="H155" t="s">
        <v>1661</v>
      </c>
      <c r="I155" t="s">
        <v>1672</v>
      </c>
      <c r="J155" t="s">
        <v>1382</v>
      </c>
      <c r="K155" t="b">
        <v>1</v>
      </c>
      <c r="L155" t="b">
        <v>0</v>
      </c>
      <c r="M155" t="s">
        <v>1382</v>
      </c>
      <c r="N155" t="s">
        <v>1403</v>
      </c>
      <c r="O155" t="s">
        <v>1385</v>
      </c>
      <c r="P155" t="s">
        <v>1404</v>
      </c>
      <c r="Q155" t="s">
        <v>1744</v>
      </c>
    </row>
    <row r="156" spans="1:17" x14ac:dyDescent="0.25">
      <c r="A156" t="s">
        <v>39</v>
      </c>
      <c r="B156" t="s">
        <v>1751</v>
      </c>
      <c r="C156" t="s">
        <v>322</v>
      </c>
      <c r="D156" t="s">
        <v>1389</v>
      </c>
      <c r="E156">
        <v>1103.49</v>
      </c>
      <c r="F156" t="s">
        <v>1477</v>
      </c>
      <c r="G156" t="s">
        <v>1752</v>
      </c>
      <c r="H156" t="s">
        <v>1661</v>
      </c>
      <c r="I156" t="s">
        <v>1402</v>
      </c>
      <c r="J156" t="s">
        <v>1382</v>
      </c>
      <c r="K156" t="b">
        <v>1</v>
      </c>
      <c r="L156" t="b">
        <v>0</v>
      </c>
      <c r="M156" t="s">
        <v>1382</v>
      </c>
      <c r="N156" t="s">
        <v>1403</v>
      </c>
      <c r="O156" t="s">
        <v>1385</v>
      </c>
      <c r="P156" t="s">
        <v>1404</v>
      </c>
      <c r="Q156" t="s">
        <v>1744</v>
      </c>
    </row>
    <row r="157" spans="1:17" x14ac:dyDescent="0.25">
      <c r="A157" t="s">
        <v>39</v>
      </c>
      <c r="B157" t="s">
        <v>1753</v>
      </c>
      <c r="C157" t="s">
        <v>322</v>
      </c>
      <c r="D157" t="s">
        <v>1422</v>
      </c>
      <c r="E157">
        <v>1206.489</v>
      </c>
      <c r="F157" t="s">
        <v>1477</v>
      </c>
      <c r="G157" t="s">
        <v>1754</v>
      </c>
      <c r="H157" t="s">
        <v>1661</v>
      </c>
      <c r="I157" t="s">
        <v>1409</v>
      </c>
      <c r="J157" t="s">
        <v>1382</v>
      </c>
      <c r="K157" t="b">
        <v>1</v>
      </c>
      <c r="L157" t="b">
        <v>0</v>
      </c>
      <c r="M157" t="s">
        <v>1382</v>
      </c>
      <c r="N157" t="s">
        <v>1403</v>
      </c>
      <c r="O157" t="s">
        <v>1385</v>
      </c>
      <c r="P157" t="s">
        <v>1404</v>
      </c>
      <c r="Q157" t="s">
        <v>1744</v>
      </c>
    </row>
    <row r="158" spans="1:17" x14ac:dyDescent="0.25">
      <c r="A158" t="s">
        <v>39</v>
      </c>
      <c r="B158" t="s">
        <v>1755</v>
      </c>
      <c r="C158" t="s">
        <v>322</v>
      </c>
      <c r="D158" t="s">
        <v>1426</v>
      </c>
      <c r="E158">
        <v>1229.028</v>
      </c>
      <c r="F158" t="s">
        <v>1477</v>
      </c>
      <c r="G158" t="s">
        <v>1756</v>
      </c>
      <c r="H158" t="s">
        <v>1661</v>
      </c>
      <c r="I158" t="s">
        <v>1413</v>
      </c>
      <c r="J158" t="s">
        <v>1382</v>
      </c>
      <c r="K158" t="b">
        <v>1</v>
      </c>
      <c r="L158" t="b">
        <v>0</v>
      </c>
      <c r="M158" t="s">
        <v>1382</v>
      </c>
      <c r="N158" t="s">
        <v>1403</v>
      </c>
      <c r="O158" t="s">
        <v>1385</v>
      </c>
      <c r="P158" t="s">
        <v>1404</v>
      </c>
      <c r="Q158" t="s">
        <v>1744</v>
      </c>
    </row>
    <row r="159" spans="1:17" x14ac:dyDescent="0.25">
      <c r="A159" t="s">
        <v>39</v>
      </c>
      <c r="B159" t="s">
        <v>1757</v>
      </c>
      <c r="C159" t="s">
        <v>322</v>
      </c>
      <c r="D159" t="s">
        <v>1430</v>
      </c>
      <c r="E159">
        <v>1194.72</v>
      </c>
      <c r="F159" t="s">
        <v>1477</v>
      </c>
      <c r="G159" t="s">
        <v>1758</v>
      </c>
      <c r="H159" t="s">
        <v>1661</v>
      </c>
      <c r="I159" t="s">
        <v>1486</v>
      </c>
      <c r="J159" t="s">
        <v>1382</v>
      </c>
      <c r="K159" t="b">
        <v>1</v>
      </c>
      <c r="L159" t="b">
        <v>0</v>
      </c>
      <c r="M159" t="s">
        <v>1382</v>
      </c>
      <c r="N159" t="s">
        <v>1403</v>
      </c>
      <c r="O159" t="s">
        <v>1385</v>
      </c>
      <c r="P159" t="s">
        <v>1404</v>
      </c>
      <c r="Q159" t="s">
        <v>1744</v>
      </c>
    </row>
    <row r="160" spans="1:17" x14ac:dyDescent="0.25">
      <c r="A160" t="s">
        <v>39</v>
      </c>
      <c r="B160" t="s">
        <v>1759</v>
      </c>
      <c r="C160" t="s">
        <v>322</v>
      </c>
      <c r="D160" t="s">
        <v>1391</v>
      </c>
      <c r="E160">
        <v>1217.202</v>
      </c>
      <c r="F160" t="s">
        <v>1477</v>
      </c>
      <c r="G160" t="s">
        <v>1760</v>
      </c>
      <c r="H160" t="s">
        <v>1661</v>
      </c>
      <c r="I160" t="s">
        <v>1420</v>
      </c>
      <c r="J160" t="s">
        <v>1382</v>
      </c>
      <c r="K160" t="b">
        <v>1</v>
      </c>
      <c r="L160" t="b">
        <v>0</v>
      </c>
      <c r="M160" t="s">
        <v>1382</v>
      </c>
      <c r="N160" t="s">
        <v>1403</v>
      </c>
      <c r="O160" t="s">
        <v>1385</v>
      </c>
      <c r="P160" t="s">
        <v>1404</v>
      </c>
      <c r="Q160" t="s">
        <v>1744</v>
      </c>
    </row>
    <row r="161" spans="1:17" x14ac:dyDescent="0.25">
      <c r="A161" t="s">
        <v>39</v>
      </c>
      <c r="B161" t="s">
        <v>1761</v>
      </c>
      <c r="C161" t="s">
        <v>322</v>
      </c>
      <c r="D161" t="s">
        <v>1437</v>
      </c>
      <c r="E161">
        <v>1235.343</v>
      </c>
      <c r="F161" t="s">
        <v>1477</v>
      </c>
      <c r="G161" t="s">
        <v>1762</v>
      </c>
      <c r="H161" t="s">
        <v>1661</v>
      </c>
      <c r="I161" t="s">
        <v>1424</v>
      </c>
      <c r="J161" t="s">
        <v>1382</v>
      </c>
      <c r="K161" t="b">
        <v>1</v>
      </c>
      <c r="L161" t="b">
        <v>0</v>
      </c>
      <c r="M161" t="s">
        <v>1382</v>
      </c>
      <c r="N161" t="s">
        <v>1403</v>
      </c>
      <c r="O161" t="s">
        <v>1385</v>
      </c>
      <c r="P161" t="s">
        <v>1404</v>
      </c>
      <c r="Q161" t="s">
        <v>1744</v>
      </c>
    </row>
    <row r="162" spans="1:17" x14ac:dyDescent="0.25">
      <c r="A162" t="s">
        <v>39</v>
      </c>
      <c r="B162" t="s">
        <v>1763</v>
      </c>
      <c r="C162" t="s">
        <v>322</v>
      </c>
      <c r="D162" t="s">
        <v>1439</v>
      </c>
      <c r="E162">
        <v>1255</v>
      </c>
      <c r="F162" t="s">
        <v>1477</v>
      </c>
      <c r="G162" t="s">
        <v>1764</v>
      </c>
      <c r="H162" t="s">
        <v>1661</v>
      </c>
      <c r="I162" t="s">
        <v>1428</v>
      </c>
      <c r="J162" t="s">
        <v>1382</v>
      </c>
      <c r="K162" t="b">
        <v>1</v>
      </c>
      <c r="L162" t="b">
        <v>0</v>
      </c>
      <c r="M162" t="s">
        <v>1382</v>
      </c>
      <c r="N162" t="s">
        <v>1403</v>
      </c>
      <c r="O162" t="s">
        <v>1385</v>
      </c>
      <c r="P162" t="s">
        <v>1404</v>
      </c>
      <c r="Q162" t="s">
        <v>1744</v>
      </c>
    </row>
    <row r="163" spans="1:17" x14ac:dyDescent="0.25">
      <c r="A163" t="s">
        <v>39</v>
      </c>
      <c r="B163" t="s">
        <v>1765</v>
      </c>
      <c r="C163" t="s">
        <v>322</v>
      </c>
      <c r="D163" t="s">
        <v>1442</v>
      </c>
      <c r="E163">
        <v>1246.47</v>
      </c>
      <c r="F163" t="s">
        <v>1477</v>
      </c>
      <c r="G163" t="s">
        <v>1766</v>
      </c>
      <c r="H163" t="s">
        <v>1661</v>
      </c>
      <c r="I163" t="s">
        <v>1486</v>
      </c>
      <c r="J163" t="s">
        <v>1382</v>
      </c>
      <c r="K163" t="b">
        <v>1</v>
      </c>
      <c r="L163" t="b">
        <v>0</v>
      </c>
      <c r="M163" t="s">
        <v>1382</v>
      </c>
      <c r="N163" t="s">
        <v>1403</v>
      </c>
      <c r="O163" t="s">
        <v>1385</v>
      </c>
      <c r="P163" t="s">
        <v>1404</v>
      </c>
      <c r="Q163" t="s">
        <v>1744</v>
      </c>
    </row>
    <row r="164" spans="1:17" x14ac:dyDescent="0.25">
      <c r="A164" t="s">
        <v>39</v>
      </c>
      <c r="B164" t="s">
        <v>1767</v>
      </c>
      <c r="C164" t="s">
        <v>323</v>
      </c>
      <c r="D164" t="s">
        <v>1380</v>
      </c>
      <c r="E164">
        <v>0</v>
      </c>
      <c r="F164" t="s">
        <v>1477</v>
      </c>
      <c r="G164" t="s">
        <v>1768</v>
      </c>
      <c r="H164" t="s">
        <v>1661</v>
      </c>
      <c r="I164" t="s">
        <v>1382</v>
      </c>
      <c r="J164" t="s">
        <v>1382</v>
      </c>
      <c r="K164" t="b">
        <v>1</v>
      </c>
      <c r="L164" t="b">
        <v>0</v>
      </c>
      <c r="M164" t="s">
        <v>1382</v>
      </c>
      <c r="N164" t="s">
        <v>1403</v>
      </c>
      <c r="O164" t="s">
        <v>1385</v>
      </c>
      <c r="P164" t="s">
        <v>1404</v>
      </c>
      <c r="Q164" t="s">
        <v>1769</v>
      </c>
    </row>
    <row r="165" spans="1:17" x14ac:dyDescent="0.25">
      <c r="A165" t="s">
        <v>39</v>
      </c>
      <c r="B165" t="s">
        <v>1770</v>
      </c>
      <c r="C165" t="s">
        <v>323</v>
      </c>
      <c r="D165" t="s">
        <v>1407</v>
      </c>
      <c r="E165">
        <v>0</v>
      </c>
      <c r="F165" t="s">
        <v>1477</v>
      </c>
      <c r="G165" t="s">
        <v>1768</v>
      </c>
      <c r="H165" t="s">
        <v>1661</v>
      </c>
      <c r="I165" t="s">
        <v>1382</v>
      </c>
      <c r="J165" t="s">
        <v>1382</v>
      </c>
      <c r="K165" t="b">
        <v>1</v>
      </c>
      <c r="L165" t="b">
        <v>0</v>
      </c>
      <c r="M165" t="s">
        <v>1382</v>
      </c>
      <c r="N165" t="s">
        <v>1403</v>
      </c>
      <c r="O165" t="s">
        <v>1385</v>
      </c>
      <c r="P165" t="s">
        <v>1404</v>
      </c>
      <c r="Q165" t="s">
        <v>1769</v>
      </c>
    </row>
    <row r="166" spans="1:17" x14ac:dyDescent="0.25">
      <c r="A166" t="s">
        <v>39</v>
      </c>
      <c r="B166" t="s">
        <v>1771</v>
      </c>
      <c r="C166" t="s">
        <v>323</v>
      </c>
      <c r="D166" t="s">
        <v>1411</v>
      </c>
      <c r="E166">
        <v>0</v>
      </c>
      <c r="F166" t="s">
        <v>1477</v>
      </c>
      <c r="G166" t="s">
        <v>1768</v>
      </c>
      <c r="H166" t="s">
        <v>1661</v>
      </c>
      <c r="I166" t="s">
        <v>1382</v>
      </c>
      <c r="J166" t="s">
        <v>1382</v>
      </c>
      <c r="K166" t="b">
        <v>1</v>
      </c>
      <c r="L166" t="b">
        <v>0</v>
      </c>
      <c r="M166" t="s">
        <v>1382</v>
      </c>
      <c r="N166" t="s">
        <v>1403</v>
      </c>
      <c r="O166" t="s">
        <v>1385</v>
      </c>
      <c r="P166" t="s">
        <v>1404</v>
      </c>
      <c r="Q166" t="s">
        <v>1769</v>
      </c>
    </row>
    <row r="167" spans="1:17" x14ac:dyDescent="0.25">
      <c r="A167" t="s">
        <v>39</v>
      </c>
      <c r="B167" t="s">
        <v>1772</v>
      </c>
      <c r="C167" t="s">
        <v>323</v>
      </c>
      <c r="D167" t="s">
        <v>1415</v>
      </c>
      <c r="E167">
        <v>0</v>
      </c>
      <c r="F167" t="s">
        <v>1477</v>
      </c>
      <c r="G167" t="s">
        <v>1768</v>
      </c>
      <c r="H167" t="s">
        <v>1661</v>
      </c>
      <c r="I167" t="s">
        <v>1382</v>
      </c>
      <c r="J167" t="s">
        <v>1382</v>
      </c>
      <c r="K167" t="b">
        <v>1</v>
      </c>
      <c r="L167" t="b">
        <v>0</v>
      </c>
      <c r="M167" t="s">
        <v>1382</v>
      </c>
      <c r="N167" t="s">
        <v>1403</v>
      </c>
      <c r="O167" t="s">
        <v>1385</v>
      </c>
      <c r="P167" t="s">
        <v>1404</v>
      </c>
      <c r="Q167" t="s">
        <v>1769</v>
      </c>
    </row>
    <row r="168" spans="1:17" x14ac:dyDescent="0.25">
      <c r="A168" t="s">
        <v>39</v>
      </c>
      <c r="B168" t="s">
        <v>1773</v>
      </c>
      <c r="C168" t="s">
        <v>323</v>
      </c>
      <c r="D168" t="s">
        <v>1389</v>
      </c>
      <c r="E168">
        <v>0</v>
      </c>
      <c r="F168" t="s">
        <v>1477</v>
      </c>
      <c r="G168" t="s">
        <v>1768</v>
      </c>
      <c r="H168" t="s">
        <v>1661</v>
      </c>
      <c r="I168" t="s">
        <v>1382</v>
      </c>
      <c r="J168" t="s">
        <v>1382</v>
      </c>
      <c r="K168" t="b">
        <v>1</v>
      </c>
      <c r="L168" t="b">
        <v>0</v>
      </c>
      <c r="M168" t="s">
        <v>1382</v>
      </c>
      <c r="N168" t="s">
        <v>1403</v>
      </c>
      <c r="O168" t="s">
        <v>1385</v>
      </c>
      <c r="P168" t="s">
        <v>1404</v>
      </c>
      <c r="Q168" t="s">
        <v>1769</v>
      </c>
    </row>
    <row r="169" spans="1:17" x14ac:dyDescent="0.25">
      <c r="A169" t="s">
        <v>39</v>
      </c>
      <c r="B169" t="s">
        <v>1774</v>
      </c>
      <c r="C169" t="s">
        <v>323</v>
      </c>
      <c r="D169" t="s">
        <v>1422</v>
      </c>
      <c r="E169">
        <v>0</v>
      </c>
      <c r="F169" t="s">
        <v>1477</v>
      </c>
      <c r="G169" t="s">
        <v>1768</v>
      </c>
      <c r="H169" t="s">
        <v>1661</v>
      </c>
      <c r="I169" t="s">
        <v>1382</v>
      </c>
      <c r="J169" t="s">
        <v>1382</v>
      </c>
      <c r="K169" t="b">
        <v>1</v>
      </c>
      <c r="L169" t="b">
        <v>0</v>
      </c>
      <c r="M169" t="s">
        <v>1382</v>
      </c>
      <c r="N169" t="s">
        <v>1403</v>
      </c>
      <c r="O169" t="s">
        <v>1385</v>
      </c>
      <c r="P169" t="s">
        <v>1404</v>
      </c>
      <c r="Q169" t="s">
        <v>1769</v>
      </c>
    </row>
    <row r="170" spans="1:17" x14ac:dyDescent="0.25">
      <c r="A170" t="s">
        <v>39</v>
      </c>
      <c r="B170" t="s">
        <v>1775</v>
      </c>
      <c r="C170" t="s">
        <v>323</v>
      </c>
      <c r="D170" t="s">
        <v>1426</v>
      </c>
      <c r="E170">
        <v>0</v>
      </c>
      <c r="F170" t="s">
        <v>1477</v>
      </c>
      <c r="G170" t="s">
        <v>1768</v>
      </c>
      <c r="H170" t="s">
        <v>1661</v>
      </c>
      <c r="I170" t="s">
        <v>1382</v>
      </c>
      <c r="J170" t="s">
        <v>1382</v>
      </c>
      <c r="K170" t="b">
        <v>1</v>
      </c>
      <c r="L170" t="b">
        <v>0</v>
      </c>
      <c r="M170" t="s">
        <v>1382</v>
      </c>
      <c r="N170" t="s">
        <v>1403</v>
      </c>
      <c r="O170" t="s">
        <v>1385</v>
      </c>
      <c r="P170" t="s">
        <v>1404</v>
      </c>
      <c r="Q170" t="s">
        <v>1769</v>
      </c>
    </row>
    <row r="171" spans="1:17" x14ac:dyDescent="0.25">
      <c r="A171" t="s">
        <v>39</v>
      </c>
      <c r="B171" t="s">
        <v>1776</v>
      </c>
      <c r="C171" t="s">
        <v>323</v>
      </c>
      <c r="D171" t="s">
        <v>1430</v>
      </c>
      <c r="E171">
        <v>0</v>
      </c>
      <c r="F171" t="s">
        <v>1477</v>
      </c>
      <c r="G171" t="s">
        <v>1768</v>
      </c>
      <c r="H171" t="s">
        <v>1661</v>
      </c>
      <c r="I171" t="s">
        <v>1382</v>
      </c>
      <c r="J171" t="s">
        <v>1382</v>
      </c>
      <c r="K171" t="b">
        <v>1</v>
      </c>
      <c r="L171" t="b">
        <v>0</v>
      </c>
      <c r="M171" t="s">
        <v>1382</v>
      </c>
      <c r="N171" t="s">
        <v>1403</v>
      </c>
      <c r="O171" t="s">
        <v>1385</v>
      </c>
      <c r="P171" t="s">
        <v>1404</v>
      </c>
      <c r="Q171" t="s">
        <v>1769</v>
      </c>
    </row>
    <row r="172" spans="1:17" x14ac:dyDescent="0.25">
      <c r="A172" t="s">
        <v>39</v>
      </c>
      <c r="B172" t="s">
        <v>1777</v>
      </c>
      <c r="C172" t="s">
        <v>323</v>
      </c>
      <c r="D172" t="s">
        <v>1391</v>
      </c>
      <c r="E172">
        <v>0</v>
      </c>
      <c r="F172" t="s">
        <v>1477</v>
      </c>
      <c r="G172" t="s">
        <v>1768</v>
      </c>
      <c r="H172" t="s">
        <v>1661</v>
      </c>
      <c r="I172" t="s">
        <v>1382</v>
      </c>
      <c r="J172" t="s">
        <v>1382</v>
      </c>
      <c r="K172" t="b">
        <v>1</v>
      </c>
      <c r="L172" t="b">
        <v>0</v>
      </c>
      <c r="M172" t="s">
        <v>1382</v>
      </c>
      <c r="N172" t="s">
        <v>1403</v>
      </c>
      <c r="O172" t="s">
        <v>1385</v>
      </c>
      <c r="P172" t="s">
        <v>1404</v>
      </c>
      <c r="Q172" t="s">
        <v>1769</v>
      </c>
    </row>
    <row r="173" spans="1:17" x14ac:dyDescent="0.25">
      <c r="A173" t="s">
        <v>39</v>
      </c>
      <c r="B173" t="s">
        <v>1778</v>
      </c>
      <c r="C173" t="s">
        <v>323</v>
      </c>
      <c r="D173" t="s">
        <v>1437</v>
      </c>
      <c r="E173">
        <v>0</v>
      </c>
      <c r="F173" t="s">
        <v>1477</v>
      </c>
      <c r="G173" t="s">
        <v>1768</v>
      </c>
      <c r="H173" t="s">
        <v>1661</v>
      </c>
      <c r="I173" t="s">
        <v>1382</v>
      </c>
      <c r="J173" t="s">
        <v>1382</v>
      </c>
      <c r="K173" t="b">
        <v>1</v>
      </c>
      <c r="L173" t="b">
        <v>0</v>
      </c>
      <c r="M173" t="s">
        <v>1382</v>
      </c>
      <c r="N173" t="s">
        <v>1403</v>
      </c>
      <c r="O173" t="s">
        <v>1385</v>
      </c>
      <c r="P173" t="s">
        <v>1404</v>
      </c>
      <c r="Q173" t="s">
        <v>1769</v>
      </c>
    </row>
    <row r="174" spans="1:17" x14ac:dyDescent="0.25">
      <c r="A174" t="s">
        <v>39</v>
      </c>
      <c r="B174" t="s">
        <v>1779</v>
      </c>
      <c r="C174" t="s">
        <v>323</v>
      </c>
      <c r="D174" t="s">
        <v>1439</v>
      </c>
      <c r="E174">
        <v>0</v>
      </c>
      <c r="F174" t="s">
        <v>1477</v>
      </c>
      <c r="G174" t="s">
        <v>1768</v>
      </c>
      <c r="H174" t="s">
        <v>1661</v>
      </c>
      <c r="I174" t="s">
        <v>1382</v>
      </c>
      <c r="J174" t="s">
        <v>1382</v>
      </c>
      <c r="K174" t="b">
        <v>1</v>
      </c>
      <c r="L174" t="b">
        <v>0</v>
      </c>
      <c r="M174" t="s">
        <v>1382</v>
      </c>
      <c r="N174" t="s">
        <v>1403</v>
      </c>
      <c r="O174" t="s">
        <v>1385</v>
      </c>
      <c r="P174" t="s">
        <v>1404</v>
      </c>
      <c r="Q174" t="s">
        <v>1769</v>
      </c>
    </row>
    <row r="175" spans="1:17" x14ac:dyDescent="0.25">
      <c r="A175" t="s">
        <v>39</v>
      </c>
      <c r="B175" t="s">
        <v>1780</v>
      </c>
      <c r="C175" t="s">
        <v>323</v>
      </c>
      <c r="D175" t="s">
        <v>1442</v>
      </c>
      <c r="E175">
        <v>0</v>
      </c>
      <c r="F175" t="s">
        <v>1477</v>
      </c>
      <c r="G175" t="s">
        <v>1768</v>
      </c>
      <c r="H175" t="s">
        <v>1661</v>
      </c>
      <c r="I175" t="s">
        <v>1382</v>
      </c>
      <c r="J175" t="s">
        <v>1382</v>
      </c>
      <c r="K175" t="b">
        <v>1</v>
      </c>
      <c r="L175" t="b">
        <v>0</v>
      </c>
      <c r="M175" t="s">
        <v>1382</v>
      </c>
      <c r="N175" t="s">
        <v>1403</v>
      </c>
      <c r="O175" t="s">
        <v>1385</v>
      </c>
      <c r="P175" t="s">
        <v>1404</v>
      </c>
      <c r="Q175" t="s">
        <v>1769</v>
      </c>
    </row>
    <row r="176" spans="1:17" x14ac:dyDescent="0.25">
      <c r="A176" t="s">
        <v>39</v>
      </c>
      <c r="B176" t="s">
        <v>1781</v>
      </c>
      <c r="C176" t="s">
        <v>324</v>
      </c>
      <c r="D176" t="s">
        <v>1380</v>
      </c>
      <c r="E176">
        <v>1735.865</v>
      </c>
      <c r="F176" t="s">
        <v>1400</v>
      </c>
      <c r="G176" t="s">
        <v>1782</v>
      </c>
      <c r="H176" t="s">
        <v>1661</v>
      </c>
      <c r="I176" t="s">
        <v>1402</v>
      </c>
      <c r="J176" t="s">
        <v>1382</v>
      </c>
      <c r="K176" t="b">
        <v>1</v>
      </c>
      <c r="L176" t="b">
        <v>0</v>
      </c>
      <c r="M176" t="s">
        <v>1382</v>
      </c>
      <c r="N176" t="s">
        <v>1403</v>
      </c>
      <c r="O176" t="s">
        <v>1385</v>
      </c>
      <c r="P176" t="s">
        <v>1404</v>
      </c>
      <c r="Q176" t="s">
        <v>1382</v>
      </c>
    </row>
    <row r="177" spans="1:17" x14ac:dyDescent="0.25">
      <c r="A177" t="s">
        <v>39</v>
      </c>
      <c r="B177" t="s">
        <v>1783</v>
      </c>
      <c r="C177" t="s">
        <v>324</v>
      </c>
      <c r="D177" t="s">
        <v>1407</v>
      </c>
      <c r="E177">
        <v>1738.19</v>
      </c>
      <c r="F177" t="s">
        <v>1400</v>
      </c>
      <c r="G177" t="s">
        <v>1784</v>
      </c>
      <c r="H177" t="s">
        <v>1661</v>
      </c>
      <c r="I177" t="s">
        <v>1409</v>
      </c>
      <c r="J177" t="s">
        <v>1382</v>
      </c>
      <c r="K177" t="b">
        <v>1</v>
      </c>
      <c r="L177" t="b">
        <v>0</v>
      </c>
      <c r="M177" t="s">
        <v>1382</v>
      </c>
      <c r="N177" t="s">
        <v>1403</v>
      </c>
      <c r="O177" t="s">
        <v>1385</v>
      </c>
      <c r="P177" t="s">
        <v>1404</v>
      </c>
      <c r="Q177" t="s">
        <v>1382</v>
      </c>
    </row>
    <row r="178" spans="1:17" x14ac:dyDescent="0.25">
      <c r="A178" t="s">
        <v>39</v>
      </c>
      <c r="B178" t="s">
        <v>1785</v>
      </c>
      <c r="C178" t="s">
        <v>324</v>
      </c>
      <c r="D178" t="s">
        <v>1411</v>
      </c>
      <c r="E178">
        <v>1739.468</v>
      </c>
      <c r="F178" t="s">
        <v>1400</v>
      </c>
      <c r="G178" t="s">
        <v>1786</v>
      </c>
      <c r="H178" t="s">
        <v>1661</v>
      </c>
      <c r="I178" t="s">
        <v>1413</v>
      </c>
      <c r="J178" t="s">
        <v>1382</v>
      </c>
      <c r="K178" t="b">
        <v>1</v>
      </c>
      <c r="L178" t="b">
        <v>0</v>
      </c>
      <c r="M178" t="s">
        <v>1382</v>
      </c>
      <c r="N178" t="s">
        <v>1403</v>
      </c>
      <c r="O178" t="s">
        <v>1385</v>
      </c>
      <c r="P178" t="s">
        <v>1404</v>
      </c>
      <c r="Q178" t="s">
        <v>1382</v>
      </c>
    </row>
    <row r="179" spans="1:17" x14ac:dyDescent="0.25">
      <c r="A179" t="s">
        <v>39</v>
      </c>
      <c r="B179" t="s">
        <v>1787</v>
      </c>
      <c r="C179" t="s">
        <v>324</v>
      </c>
      <c r="D179" t="s">
        <v>1415</v>
      </c>
      <c r="E179">
        <v>1847.856</v>
      </c>
      <c r="F179" t="s">
        <v>1400</v>
      </c>
      <c r="G179" t="s">
        <v>1788</v>
      </c>
      <c r="H179" t="s">
        <v>1661</v>
      </c>
      <c r="I179" t="s">
        <v>1486</v>
      </c>
      <c r="J179" t="s">
        <v>1382</v>
      </c>
      <c r="K179" t="b">
        <v>1</v>
      </c>
      <c r="L179" t="b">
        <v>0</v>
      </c>
      <c r="M179" t="s">
        <v>1382</v>
      </c>
      <c r="N179" t="s">
        <v>1403</v>
      </c>
      <c r="O179" t="s">
        <v>1385</v>
      </c>
      <c r="P179" t="s">
        <v>1404</v>
      </c>
      <c r="Q179" t="s">
        <v>1382</v>
      </c>
    </row>
    <row r="180" spans="1:17" x14ac:dyDescent="0.25">
      <c r="A180" t="s">
        <v>39</v>
      </c>
      <c r="B180" t="s">
        <v>1789</v>
      </c>
      <c r="C180" t="s">
        <v>324</v>
      </c>
      <c r="D180" t="s">
        <v>1389</v>
      </c>
      <c r="E180">
        <v>1824.037</v>
      </c>
      <c r="F180" t="s">
        <v>1400</v>
      </c>
      <c r="G180" t="s">
        <v>1790</v>
      </c>
      <c r="H180" t="s">
        <v>1661</v>
      </c>
      <c r="I180" t="s">
        <v>1420</v>
      </c>
      <c r="J180" t="s">
        <v>1382</v>
      </c>
      <c r="K180" t="b">
        <v>1</v>
      </c>
      <c r="L180" t="b">
        <v>0</v>
      </c>
      <c r="M180" t="s">
        <v>1382</v>
      </c>
      <c r="N180" t="s">
        <v>1403</v>
      </c>
      <c r="O180" t="s">
        <v>1385</v>
      </c>
      <c r="P180" t="s">
        <v>1404</v>
      </c>
      <c r="Q180" t="s">
        <v>1382</v>
      </c>
    </row>
    <row r="181" spans="1:17" x14ac:dyDescent="0.25">
      <c r="A181" t="s">
        <v>39</v>
      </c>
      <c r="B181" t="s">
        <v>1791</v>
      </c>
      <c r="C181" t="s">
        <v>324</v>
      </c>
      <c r="D181" t="s">
        <v>1422</v>
      </c>
      <c r="E181">
        <v>1822.809</v>
      </c>
      <c r="F181" t="s">
        <v>1400</v>
      </c>
      <c r="G181" t="s">
        <v>1792</v>
      </c>
      <c r="H181" t="s">
        <v>1661</v>
      </c>
      <c r="I181" t="s">
        <v>1424</v>
      </c>
      <c r="J181" t="s">
        <v>1382</v>
      </c>
      <c r="K181" t="b">
        <v>1</v>
      </c>
      <c r="L181" t="b">
        <v>0</v>
      </c>
      <c r="M181" t="s">
        <v>1382</v>
      </c>
      <c r="N181" t="s">
        <v>1403</v>
      </c>
      <c r="O181" t="s">
        <v>1385</v>
      </c>
      <c r="P181" t="s">
        <v>1404</v>
      </c>
      <c r="Q181" t="s">
        <v>1382</v>
      </c>
    </row>
    <row r="182" spans="1:17" x14ac:dyDescent="0.25">
      <c r="A182" t="s">
        <v>39</v>
      </c>
      <c r="B182" t="s">
        <v>1793</v>
      </c>
      <c r="C182" t="s">
        <v>324</v>
      </c>
      <c r="D182" t="s">
        <v>1426</v>
      </c>
      <c r="E182">
        <v>1832.958</v>
      </c>
      <c r="F182" t="s">
        <v>1400</v>
      </c>
      <c r="G182" t="s">
        <v>1794</v>
      </c>
      <c r="H182" t="s">
        <v>1661</v>
      </c>
      <c r="I182" t="s">
        <v>1428</v>
      </c>
      <c r="J182" t="s">
        <v>1382</v>
      </c>
      <c r="K182" t="b">
        <v>1</v>
      </c>
      <c r="L182" t="b">
        <v>0</v>
      </c>
      <c r="M182" t="s">
        <v>1382</v>
      </c>
      <c r="N182" t="s">
        <v>1403</v>
      </c>
      <c r="O182" t="s">
        <v>1385</v>
      </c>
      <c r="P182" t="s">
        <v>1404</v>
      </c>
      <c r="Q182" t="s">
        <v>1382</v>
      </c>
    </row>
    <row r="183" spans="1:17" x14ac:dyDescent="0.25">
      <c r="A183" t="s">
        <v>39</v>
      </c>
      <c r="B183" t="s">
        <v>1795</v>
      </c>
      <c r="C183" t="s">
        <v>324</v>
      </c>
      <c r="D183" t="s">
        <v>1430</v>
      </c>
      <c r="E183">
        <v>1827.938</v>
      </c>
      <c r="F183" t="s">
        <v>1400</v>
      </c>
      <c r="G183" t="s">
        <v>1796</v>
      </c>
      <c r="H183" t="s">
        <v>1661</v>
      </c>
      <c r="I183" t="s">
        <v>1486</v>
      </c>
      <c r="J183" t="s">
        <v>1382</v>
      </c>
      <c r="K183" t="b">
        <v>1</v>
      </c>
      <c r="L183" t="b">
        <v>0</v>
      </c>
      <c r="M183" t="s">
        <v>1382</v>
      </c>
      <c r="N183" t="s">
        <v>1403</v>
      </c>
      <c r="O183" t="s">
        <v>1385</v>
      </c>
      <c r="P183" t="s">
        <v>1404</v>
      </c>
      <c r="Q183" t="s">
        <v>1382</v>
      </c>
    </row>
    <row r="184" spans="1:17" x14ac:dyDescent="0.25">
      <c r="A184" t="s">
        <v>39</v>
      </c>
      <c r="B184" t="s">
        <v>1797</v>
      </c>
      <c r="C184" t="s">
        <v>324</v>
      </c>
      <c r="D184" t="s">
        <v>1391</v>
      </c>
      <c r="E184">
        <v>1824.647</v>
      </c>
      <c r="F184" t="s">
        <v>1400</v>
      </c>
      <c r="G184" t="s">
        <v>1798</v>
      </c>
      <c r="H184" t="s">
        <v>1661</v>
      </c>
      <c r="I184" t="s">
        <v>1435</v>
      </c>
      <c r="J184" t="s">
        <v>1382</v>
      </c>
      <c r="K184" t="b">
        <v>1</v>
      </c>
      <c r="L184" t="b">
        <v>0</v>
      </c>
      <c r="M184" t="s">
        <v>1382</v>
      </c>
      <c r="N184" t="s">
        <v>1403</v>
      </c>
      <c r="O184" t="s">
        <v>1385</v>
      </c>
      <c r="P184" t="s">
        <v>1404</v>
      </c>
      <c r="Q184" t="s">
        <v>1382</v>
      </c>
    </row>
    <row r="185" spans="1:17" x14ac:dyDescent="0.25">
      <c r="A185" t="s">
        <v>39</v>
      </c>
      <c r="B185" t="s">
        <v>1799</v>
      </c>
      <c r="C185" t="s">
        <v>324</v>
      </c>
      <c r="D185" t="s">
        <v>1437</v>
      </c>
      <c r="E185">
        <v>1842.114</v>
      </c>
      <c r="F185" t="s">
        <v>1400</v>
      </c>
      <c r="G185" t="s">
        <v>1800</v>
      </c>
      <c r="H185" t="s">
        <v>1661</v>
      </c>
      <c r="I185" t="s">
        <v>1424</v>
      </c>
      <c r="J185" t="s">
        <v>1382</v>
      </c>
      <c r="K185" t="b">
        <v>1</v>
      </c>
      <c r="L185" t="b">
        <v>0</v>
      </c>
      <c r="M185" t="s">
        <v>1382</v>
      </c>
      <c r="N185" t="s">
        <v>1403</v>
      </c>
      <c r="O185" t="s">
        <v>1385</v>
      </c>
      <c r="P185" t="s">
        <v>1404</v>
      </c>
      <c r="Q185" t="s">
        <v>1382</v>
      </c>
    </row>
    <row r="186" spans="1:17" x14ac:dyDescent="0.25">
      <c r="A186" t="s">
        <v>39</v>
      </c>
      <c r="B186" t="s">
        <v>1801</v>
      </c>
      <c r="C186" t="s">
        <v>324</v>
      </c>
      <c r="D186" t="s">
        <v>1439</v>
      </c>
      <c r="E186">
        <v>1840.432</v>
      </c>
      <c r="F186" t="s">
        <v>1400</v>
      </c>
      <c r="G186" t="s">
        <v>1802</v>
      </c>
      <c r="H186" t="s">
        <v>1661</v>
      </c>
      <c r="I186" t="s">
        <v>1428</v>
      </c>
      <c r="J186" t="s">
        <v>1382</v>
      </c>
      <c r="K186" t="b">
        <v>1</v>
      </c>
      <c r="L186" t="b">
        <v>0</v>
      </c>
      <c r="M186" t="s">
        <v>1382</v>
      </c>
      <c r="N186" t="s">
        <v>1403</v>
      </c>
      <c r="O186" t="s">
        <v>1385</v>
      </c>
      <c r="P186" t="s">
        <v>1404</v>
      </c>
      <c r="Q186" t="s">
        <v>1382</v>
      </c>
    </row>
    <row r="187" spans="1:17" x14ac:dyDescent="0.25">
      <c r="A187" t="s">
        <v>39</v>
      </c>
      <c r="B187" t="s">
        <v>1803</v>
      </c>
      <c r="C187" t="s">
        <v>324</v>
      </c>
      <c r="D187" t="s">
        <v>1442</v>
      </c>
      <c r="E187">
        <v>1837.57</v>
      </c>
      <c r="F187" t="s">
        <v>1400</v>
      </c>
      <c r="G187" t="s">
        <v>1804</v>
      </c>
      <c r="H187" t="s">
        <v>1661</v>
      </c>
      <c r="I187" t="s">
        <v>1486</v>
      </c>
      <c r="J187" t="s">
        <v>1382</v>
      </c>
      <c r="K187" t="b">
        <v>1</v>
      </c>
      <c r="L187" t="b">
        <v>0</v>
      </c>
      <c r="M187" t="s">
        <v>1382</v>
      </c>
      <c r="N187" t="s">
        <v>1403</v>
      </c>
      <c r="O187" t="s">
        <v>1385</v>
      </c>
      <c r="P187" t="s">
        <v>1404</v>
      </c>
      <c r="Q187" t="s">
        <v>1382</v>
      </c>
    </row>
    <row r="188" spans="1:17" x14ac:dyDescent="0.25">
      <c r="A188" t="s">
        <v>39</v>
      </c>
      <c r="B188" t="s">
        <v>1805</v>
      </c>
      <c r="C188" t="s">
        <v>325</v>
      </c>
      <c r="D188" t="s">
        <v>1380</v>
      </c>
      <c r="E188">
        <v>3602.422</v>
      </c>
      <c r="F188" t="s">
        <v>1477</v>
      </c>
      <c r="G188" t="s">
        <v>1806</v>
      </c>
      <c r="H188" t="s">
        <v>1661</v>
      </c>
      <c r="I188" t="s">
        <v>1807</v>
      </c>
      <c r="J188" t="s">
        <v>1382</v>
      </c>
      <c r="K188" t="b">
        <v>1</v>
      </c>
      <c r="L188" t="b">
        <v>0</v>
      </c>
      <c r="M188" t="s">
        <v>1382</v>
      </c>
      <c r="N188" t="s">
        <v>1403</v>
      </c>
      <c r="O188" t="s">
        <v>1385</v>
      </c>
      <c r="P188" t="s">
        <v>1404</v>
      </c>
      <c r="Q188" t="s">
        <v>1808</v>
      </c>
    </row>
    <row r="189" spans="1:17" x14ac:dyDescent="0.25">
      <c r="A189" t="s">
        <v>39</v>
      </c>
      <c r="B189" t="s">
        <v>1809</v>
      </c>
      <c r="C189" t="s">
        <v>325</v>
      </c>
      <c r="D189" t="s">
        <v>1407</v>
      </c>
      <c r="E189">
        <v>3627.699</v>
      </c>
      <c r="F189" t="s">
        <v>1477</v>
      </c>
      <c r="G189" t="s">
        <v>1810</v>
      </c>
      <c r="H189" t="s">
        <v>1661</v>
      </c>
      <c r="I189" t="s">
        <v>1811</v>
      </c>
      <c r="J189" t="s">
        <v>1382</v>
      </c>
      <c r="K189" t="b">
        <v>1</v>
      </c>
      <c r="L189" t="b">
        <v>0</v>
      </c>
      <c r="M189" t="s">
        <v>1382</v>
      </c>
      <c r="N189" t="s">
        <v>1403</v>
      </c>
      <c r="O189" t="s">
        <v>1385</v>
      </c>
      <c r="P189" t="s">
        <v>1404</v>
      </c>
      <c r="Q189" t="s">
        <v>1808</v>
      </c>
    </row>
    <row r="190" spans="1:17" x14ac:dyDescent="0.25">
      <c r="A190" t="s">
        <v>39</v>
      </c>
      <c r="B190" t="s">
        <v>1812</v>
      </c>
      <c r="C190" t="s">
        <v>325</v>
      </c>
      <c r="D190" t="s">
        <v>1411</v>
      </c>
      <c r="E190">
        <v>3551.856</v>
      </c>
      <c r="F190" t="s">
        <v>1477</v>
      </c>
      <c r="G190" t="s">
        <v>1813</v>
      </c>
      <c r="H190" t="s">
        <v>1661</v>
      </c>
      <c r="I190" t="s">
        <v>1814</v>
      </c>
      <c r="J190" t="s">
        <v>1382</v>
      </c>
      <c r="K190" t="b">
        <v>1</v>
      </c>
      <c r="L190" t="b">
        <v>0</v>
      </c>
      <c r="M190" t="s">
        <v>1382</v>
      </c>
      <c r="N190" t="s">
        <v>1403</v>
      </c>
      <c r="O190" t="s">
        <v>1385</v>
      </c>
      <c r="P190" t="s">
        <v>1404</v>
      </c>
      <c r="Q190" t="s">
        <v>1808</v>
      </c>
    </row>
    <row r="191" spans="1:17" x14ac:dyDescent="0.25">
      <c r="A191" t="s">
        <v>39</v>
      </c>
      <c r="B191" t="s">
        <v>1815</v>
      </c>
      <c r="C191" t="s">
        <v>325</v>
      </c>
      <c r="D191" t="s">
        <v>1415</v>
      </c>
      <c r="E191">
        <v>4196.112</v>
      </c>
      <c r="F191" t="s">
        <v>1477</v>
      </c>
      <c r="G191" t="s">
        <v>1816</v>
      </c>
      <c r="H191" t="s">
        <v>1661</v>
      </c>
      <c r="I191" t="s">
        <v>1817</v>
      </c>
      <c r="J191" t="s">
        <v>1382</v>
      </c>
      <c r="K191" t="b">
        <v>1</v>
      </c>
      <c r="L191" t="b">
        <v>0</v>
      </c>
      <c r="M191" t="s">
        <v>1382</v>
      </c>
      <c r="N191" t="s">
        <v>1403</v>
      </c>
      <c r="O191" t="s">
        <v>1385</v>
      </c>
      <c r="P191" t="s">
        <v>1404</v>
      </c>
      <c r="Q191" t="s">
        <v>1818</v>
      </c>
    </row>
    <row r="192" spans="1:17" x14ac:dyDescent="0.25">
      <c r="A192" t="s">
        <v>39</v>
      </c>
      <c r="B192" t="s">
        <v>1819</v>
      </c>
      <c r="C192" t="s">
        <v>325</v>
      </c>
      <c r="D192" t="s">
        <v>1389</v>
      </c>
      <c r="E192">
        <v>4787.836</v>
      </c>
      <c r="F192" t="s">
        <v>1477</v>
      </c>
      <c r="G192" t="s">
        <v>1820</v>
      </c>
      <c r="H192" t="s">
        <v>1661</v>
      </c>
      <c r="I192" t="s">
        <v>1821</v>
      </c>
      <c r="J192" t="s">
        <v>1382</v>
      </c>
      <c r="K192" t="b">
        <v>1</v>
      </c>
      <c r="L192" t="b">
        <v>0</v>
      </c>
      <c r="M192" t="s">
        <v>1382</v>
      </c>
      <c r="N192" t="s">
        <v>1403</v>
      </c>
      <c r="O192" t="s">
        <v>1385</v>
      </c>
      <c r="P192" t="s">
        <v>1404</v>
      </c>
      <c r="Q192" t="s">
        <v>1818</v>
      </c>
    </row>
    <row r="193" spans="1:17" x14ac:dyDescent="0.25">
      <c r="A193" t="s">
        <v>39</v>
      </c>
      <c r="B193" t="s">
        <v>1822</v>
      </c>
      <c r="C193" t="s">
        <v>325</v>
      </c>
      <c r="D193" t="s">
        <v>1422</v>
      </c>
      <c r="E193">
        <v>3831.127</v>
      </c>
      <c r="F193" t="s">
        <v>1477</v>
      </c>
      <c r="G193" t="s">
        <v>1823</v>
      </c>
      <c r="H193" t="s">
        <v>1661</v>
      </c>
      <c r="I193" t="s">
        <v>1824</v>
      </c>
      <c r="J193" t="s">
        <v>1382</v>
      </c>
      <c r="K193" t="b">
        <v>1</v>
      </c>
      <c r="L193" t="b">
        <v>0</v>
      </c>
      <c r="M193" t="s">
        <v>1382</v>
      </c>
      <c r="N193" t="s">
        <v>1403</v>
      </c>
      <c r="O193" t="s">
        <v>1385</v>
      </c>
      <c r="P193" t="s">
        <v>1404</v>
      </c>
      <c r="Q193" t="s">
        <v>1818</v>
      </c>
    </row>
    <row r="194" spans="1:17" x14ac:dyDescent="0.25">
      <c r="A194" t="s">
        <v>39</v>
      </c>
      <c r="B194" t="s">
        <v>1825</v>
      </c>
      <c r="C194" t="s">
        <v>325</v>
      </c>
      <c r="D194" t="s">
        <v>1426</v>
      </c>
      <c r="E194">
        <v>3263.629</v>
      </c>
      <c r="F194" t="s">
        <v>1477</v>
      </c>
      <c r="G194" t="s">
        <v>1826</v>
      </c>
      <c r="H194" t="s">
        <v>1661</v>
      </c>
      <c r="I194" t="s">
        <v>1827</v>
      </c>
      <c r="J194" t="s">
        <v>1382</v>
      </c>
      <c r="K194" t="b">
        <v>1</v>
      </c>
      <c r="L194" t="b">
        <v>0</v>
      </c>
      <c r="M194" t="s">
        <v>1382</v>
      </c>
      <c r="N194" t="s">
        <v>1403</v>
      </c>
      <c r="O194" t="s">
        <v>1385</v>
      </c>
      <c r="P194" t="s">
        <v>1404</v>
      </c>
      <c r="Q194" t="s">
        <v>1818</v>
      </c>
    </row>
    <row r="195" spans="1:17" x14ac:dyDescent="0.25">
      <c r="A195" t="s">
        <v>39</v>
      </c>
      <c r="B195" t="s">
        <v>1828</v>
      </c>
      <c r="C195" t="s">
        <v>325</v>
      </c>
      <c r="D195" t="s">
        <v>1430</v>
      </c>
      <c r="E195">
        <v>3124.187</v>
      </c>
      <c r="F195" t="s">
        <v>1477</v>
      </c>
      <c r="G195" t="s">
        <v>1829</v>
      </c>
      <c r="H195" t="s">
        <v>1661</v>
      </c>
      <c r="I195" t="s">
        <v>1486</v>
      </c>
      <c r="J195" t="s">
        <v>1382</v>
      </c>
      <c r="K195" t="b">
        <v>1</v>
      </c>
      <c r="L195" t="b">
        <v>0</v>
      </c>
      <c r="M195" t="s">
        <v>1382</v>
      </c>
      <c r="N195" t="s">
        <v>1403</v>
      </c>
      <c r="O195" t="s">
        <v>1385</v>
      </c>
      <c r="P195" t="s">
        <v>1404</v>
      </c>
      <c r="Q195" t="s">
        <v>1818</v>
      </c>
    </row>
    <row r="196" spans="1:17" x14ac:dyDescent="0.25">
      <c r="A196" t="s">
        <v>39</v>
      </c>
      <c r="B196" t="s">
        <v>1830</v>
      </c>
      <c r="C196" t="s">
        <v>325</v>
      </c>
      <c r="D196" t="s">
        <v>1391</v>
      </c>
      <c r="E196">
        <v>3346.456</v>
      </c>
      <c r="F196" t="s">
        <v>1477</v>
      </c>
      <c r="G196" t="s">
        <v>1831</v>
      </c>
      <c r="H196" t="s">
        <v>1661</v>
      </c>
      <c r="I196" t="s">
        <v>1622</v>
      </c>
      <c r="J196" t="s">
        <v>1382</v>
      </c>
      <c r="K196" t="b">
        <v>1</v>
      </c>
      <c r="L196" t="b">
        <v>0</v>
      </c>
      <c r="M196" t="s">
        <v>1382</v>
      </c>
      <c r="N196" t="s">
        <v>1403</v>
      </c>
      <c r="O196" t="s">
        <v>1385</v>
      </c>
      <c r="P196" t="s">
        <v>1404</v>
      </c>
      <c r="Q196" t="s">
        <v>1818</v>
      </c>
    </row>
    <row r="197" spans="1:17" x14ac:dyDescent="0.25">
      <c r="A197" t="s">
        <v>39</v>
      </c>
      <c r="B197" t="s">
        <v>1832</v>
      </c>
      <c r="C197" t="s">
        <v>325</v>
      </c>
      <c r="D197" t="s">
        <v>1437</v>
      </c>
      <c r="E197">
        <v>3283.404</v>
      </c>
      <c r="F197" t="s">
        <v>1477</v>
      </c>
      <c r="G197" t="s">
        <v>1833</v>
      </c>
      <c r="H197" t="s">
        <v>1661</v>
      </c>
      <c r="I197" t="s">
        <v>1424</v>
      </c>
      <c r="J197" t="s">
        <v>1382</v>
      </c>
      <c r="K197" t="b">
        <v>1</v>
      </c>
      <c r="L197" t="b">
        <v>0</v>
      </c>
      <c r="M197" t="s">
        <v>1382</v>
      </c>
      <c r="N197" t="s">
        <v>1403</v>
      </c>
      <c r="O197" t="s">
        <v>1385</v>
      </c>
      <c r="P197" t="s">
        <v>1404</v>
      </c>
      <c r="Q197" t="s">
        <v>1818</v>
      </c>
    </row>
    <row r="198" spans="1:17" x14ac:dyDescent="0.25">
      <c r="A198" t="s">
        <v>39</v>
      </c>
      <c r="B198" t="s">
        <v>1834</v>
      </c>
      <c r="C198" t="s">
        <v>325</v>
      </c>
      <c r="D198" t="s">
        <v>1439</v>
      </c>
      <c r="E198">
        <v>3304.448</v>
      </c>
      <c r="F198" t="s">
        <v>1477</v>
      </c>
      <c r="G198" t="s">
        <v>1835</v>
      </c>
      <c r="H198" t="s">
        <v>1661</v>
      </c>
      <c r="I198" t="s">
        <v>1428</v>
      </c>
      <c r="J198" t="s">
        <v>1382</v>
      </c>
      <c r="K198" t="b">
        <v>1</v>
      </c>
      <c r="L198" t="b">
        <v>0</v>
      </c>
      <c r="M198" t="s">
        <v>1382</v>
      </c>
      <c r="N198" t="s">
        <v>1403</v>
      </c>
      <c r="O198" t="s">
        <v>1385</v>
      </c>
      <c r="P198" t="s">
        <v>1404</v>
      </c>
      <c r="Q198" t="s">
        <v>1818</v>
      </c>
    </row>
    <row r="199" spans="1:17" x14ac:dyDescent="0.25">
      <c r="A199" t="s">
        <v>39</v>
      </c>
      <c r="B199" t="s">
        <v>1836</v>
      </c>
      <c r="C199" t="s">
        <v>325</v>
      </c>
      <c r="D199" t="s">
        <v>1442</v>
      </c>
      <c r="E199">
        <v>3246.706</v>
      </c>
      <c r="F199" t="s">
        <v>1477</v>
      </c>
      <c r="G199" t="s">
        <v>1837</v>
      </c>
      <c r="H199" t="s">
        <v>1661</v>
      </c>
      <c r="I199" t="s">
        <v>1486</v>
      </c>
      <c r="J199" t="s">
        <v>1382</v>
      </c>
      <c r="K199" t="b">
        <v>1</v>
      </c>
      <c r="L199" t="b">
        <v>0</v>
      </c>
      <c r="M199" t="s">
        <v>1382</v>
      </c>
      <c r="N199" t="s">
        <v>1403</v>
      </c>
      <c r="O199" t="s">
        <v>1385</v>
      </c>
      <c r="P199" t="s">
        <v>1404</v>
      </c>
      <c r="Q199" t="s">
        <v>1838</v>
      </c>
    </row>
    <row r="200" spans="1:17" x14ac:dyDescent="0.25">
      <c r="A200" t="s">
        <v>39</v>
      </c>
      <c r="B200" t="s">
        <v>1839</v>
      </c>
      <c r="C200" t="s">
        <v>328</v>
      </c>
      <c r="D200" t="s">
        <v>1380</v>
      </c>
      <c r="E200">
        <v>477.764</v>
      </c>
      <c r="F200" t="s">
        <v>1400</v>
      </c>
      <c r="G200" t="s">
        <v>1840</v>
      </c>
      <c r="H200" t="s">
        <v>1661</v>
      </c>
      <c r="I200" t="s">
        <v>1662</v>
      </c>
      <c r="J200" t="s">
        <v>1382</v>
      </c>
      <c r="K200" t="b">
        <v>1</v>
      </c>
      <c r="L200" t="b">
        <v>0</v>
      </c>
      <c r="M200" t="s">
        <v>1382</v>
      </c>
      <c r="N200" t="s">
        <v>1403</v>
      </c>
      <c r="O200" t="s">
        <v>1385</v>
      </c>
      <c r="P200" t="s">
        <v>1404</v>
      </c>
      <c r="Q200" t="s">
        <v>1382</v>
      </c>
    </row>
    <row r="201" spans="1:17" x14ac:dyDescent="0.25">
      <c r="A201" t="s">
        <v>39</v>
      </c>
      <c r="B201" t="s">
        <v>1841</v>
      </c>
      <c r="C201" t="s">
        <v>328</v>
      </c>
      <c r="D201" t="s">
        <v>1407</v>
      </c>
      <c r="E201">
        <v>846.9</v>
      </c>
      <c r="F201" t="s">
        <v>1400</v>
      </c>
      <c r="G201" t="s">
        <v>1842</v>
      </c>
      <c r="H201" t="s">
        <v>1661</v>
      </c>
      <c r="I201" t="s">
        <v>1666</v>
      </c>
      <c r="J201" t="s">
        <v>1382</v>
      </c>
      <c r="K201" t="b">
        <v>1</v>
      </c>
      <c r="L201" t="b">
        <v>0</v>
      </c>
      <c r="M201" t="s">
        <v>1382</v>
      </c>
      <c r="N201" t="s">
        <v>1403</v>
      </c>
      <c r="O201" t="s">
        <v>1385</v>
      </c>
      <c r="P201" t="s">
        <v>1404</v>
      </c>
      <c r="Q201" t="s">
        <v>1382</v>
      </c>
    </row>
    <row r="202" spans="1:17" x14ac:dyDescent="0.25">
      <c r="A202" t="s">
        <v>39</v>
      </c>
      <c r="B202" t="s">
        <v>1843</v>
      </c>
      <c r="C202" t="s">
        <v>328</v>
      </c>
      <c r="D202" t="s">
        <v>1411</v>
      </c>
      <c r="E202">
        <v>924.892</v>
      </c>
      <c r="F202" t="s">
        <v>1400</v>
      </c>
      <c r="G202" t="s">
        <v>1844</v>
      </c>
      <c r="H202" t="s">
        <v>1661</v>
      </c>
      <c r="I202" t="s">
        <v>1669</v>
      </c>
      <c r="J202" t="s">
        <v>1382</v>
      </c>
      <c r="K202" t="b">
        <v>1</v>
      </c>
      <c r="L202" t="b">
        <v>0</v>
      </c>
      <c r="M202" t="s">
        <v>1382</v>
      </c>
      <c r="N202" t="s">
        <v>1403</v>
      </c>
      <c r="O202" t="s">
        <v>1385</v>
      </c>
      <c r="P202" t="s">
        <v>1404</v>
      </c>
      <c r="Q202" t="s">
        <v>1382</v>
      </c>
    </row>
    <row r="203" spans="1:17" x14ac:dyDescent="0.25">
      <c r="A203" t="s">
        <v>39</v>
      </c>
      <c r="B203" t="s">
        <v>1845</v>
      </c>
      <c r="C203" t="s">
        <v>328</v>
      </c>
      <c r="D203" t="s">
        <v>1415</v>
      </c>
      <c r="E203">
        <v>989.715</v>
      </c>
      <c r="F203" t="s">
        <v>1400</v>
      </c>
      <c r="G203" t="s">
        <v>1846</v>
      </c>
      <c r="H203" t="s">
        <v>1661</v>
      </c>
      <c r="I203" t="s">
        <v>1672</v>
      </c>
      <c r="J203" t="s">
        <v>1382</v>
      </c>
      <c r="K203" t="b">
        <v>1</v>
      </c>
      <c r="L203" t="b">
        <v>0</v>
      </c>
      <c r="M203" t="s">
        <v>1382</v>
      </c>
      <c r="N203" t="s">
        <v>1403</v>
      </c>
      <c r="O203" t="s">
        <v>1385</v>
      </c>
      <c r="P203" t="s">
        <v>1404</v>
      </c>
      <c r="Q203" t="s">
        <v>1382</v>
      </c>
    </row>
    <row r="204" spans="1:17" x14ac:dyDescent="0.25">
      <c r="A204" t="s">
        <v>39</v>
      </c>
      <c r="B204" t="s">
        <v>1847</v>
      </c>
      <c r="C204" t="s">
        <v>328</v>
      </c>
      <c r="D204" t="s">
        <v>1389</v>
      </c>
      <c r="E204">
        <v>1254.31</v>
      </c>
      <c r="F204" t="s">
        <v>1400</v>
      </c>
      <c r="G204" t="s">
        <v>1848</v>
      </c>
      <c r="H204" t="s">
        <v>1661</v>
      </c>
      <c r="I204" t="s">
        <v>1402</v>
      </c>
      <c r="J204" t="s">
        <v>1382</v>
      </c>
      <c r="K204" t="b">
        <v>1</v>
      </c>
      <c r="L204" t="b">
        <v>0</v>
      </c>
      <c r="M204" t="s">
        <v>1382</v>
      </c>
      <c r="N204" t="s">
        <v>1403</v>
      </c>
      <c r="O204" t="s">
        <v>1385</v>
      </c>
      <c r="P204" t="s">
        <v>1404</v>
      </c>
      <c r="Q204" t="s">
        <v>1382</v>
      </c>
    </row>
    <row r="205" spans="1:17" x14ac:dyDescent="0.25">
      <c r="A205" t="s">
        <v>39</v>
      </c>
      <c r="B205" t="s">
        <v>1849</v>
      </c>
      <c r="C205" t="s">
        <v>328</v>
      </c>
      <c r="D205" t="s">
        <v>1422</v>
      </c>
      <c r="E205">
        <v>1625.31</v>
      </c>
      <c r="F205" t="s">
        <v>1400</v>
      </c>
      <c r="G205" t="s">
        <v>1850</v>
      </c>
      <c r="H205" t="s">
        <v>1661</v>
      </c>
      <c r="I205" t="s">
        <v>1409</v>
      </c>
      <c r="J205" t="s">
        <v>1382</v>
      </c>
      <c r="K205" t="b">
        <v>1</v>
      </c>
      <c r="L205" t="b">
        <v>0</v>
      </c>
      <c r="M205" t="s">
        <v>1382</v>
      </c>
      <c r="N205" t="s">
        <v>1403</v>
      </c>
      <c r="O205" t="s">
        <v>1385</v>
      </c>
      <c r="P205" t="s">
        <v>1404</v>
      </c>
      <c r="Q205" t="s">
        <v>1382</v>
      </c>
    </row>
    <row r="206" spans="1:17" x14ac:dyDescent="0.25">
      <c r="A206" t="s">
        <v>39</v>
      </c>
      <c r="B206" t="s">
        <v>1851</v>
      </c>
      <c r="C206" t="s">
        <v>328</v>
      </c>
      <c r="D206" t="s">
        <v>1426</v>
      </c>
      <c r="E206">
        <v>1725.864</v>
      </c>
      <c r="F206" t="s">
        <v>1400</v>
      </c>
      <c r="G206" t="s">
        <v>1852</v>
      </c>
      <c r="H206" t="s">
        <v>1661</v>
      </c>
      <c r="I206" t="s">
        <v>1413</v>
      </c>
      <c r="J206" t="s">
        <v>1382</v>
      </c>
      <c r="K206" t="b">
        <v>1</v>
      </c>
      <c r="L206" t="b">
        <v>0</v>
      </c>
      <c r="M206" t="s">
        <v>1382</v>
      </c>
      <c r="N206" t="s">
        <v>1403</v>
      </c>
      <c r="O206" t="s">
        <v>1385</v>
      </c>
      <c r="P206" t="s">
        <v>1404</v>
      </c>
      <c r="Q206" t="s">
        <v>1382</v>
      </c>
    </row>
    <row r="207" spans="1:17" x14ac:dyDescent="0.25">
      <c r="A207" t="s">
        <v>39</v>
      </c>
      <c r="B207" t="s">
        <v>1853</v>
      </c>
      <c r="C207" t="s">
        <v>328</v>
      </c>
      <c r="D207" t="s">
        <v>1430</v>
      </c>
      <c r="E207">
        <v>443.16</v>
      </c>
      <c r="F207" t="s">
        <v>1400</v>
      </c>
      <c r="G207" t="s">
        <v>1854</v>
      </c>
      <c r="H207" t="s">
        <v>1661</v>
      </c>
      <c r="I207" t="s">
        <v>1486</v>
      </c>
      <c r="J207" t="s">
        <v>1382</v>
      </c>
      <c r="K207" t="b">
        <v>1</v>
      </c>
      <c r="L207" t="b">
        <v>0</v>
      </c>
      <c r="M207" t="s">
        <v>1382</v>
      </c>
      <c r="N207" t="s">
        <v>1403</v>
      </c>
      <c r="O207" t="s">
        <v>1385</v>
      </c>
      <c r="P207" t="s">
        <v>1404</v>
      </c>
      <c r="Q207" t="s">
        <v>1382</v>
      </c>
    </row>
    <row r="208" spans="1:17" x14ac:dyDescent="0.25">
      <c r="A208" t="s">
        <v>39</v>
      </c>
      <c r="B208" t="s">
        <v>1855</v>
      </c>
      <c r="C208" t="s">
        <v>328</v>
      </c>
      <c r="D208" t="s">
        <v>1391</v>
      </c>
      <c r="E208">
        <v>1172.806</v>
      </c>
      <c r="F208" t="s">
        <v>1400</v>
      </c>
      <c r="G208" t="s">
        <v>1856</v>
      </c>
      <c r="H208" t="s">
        <v>1661</v>
      </c>
      <c r="I208" t="s">
        <v>1420</v>
      </c>
      <c r="J208" t="s">
        <v>1382</v>
      </c>
      <c r="K208" t="b">
        <v>1</v>
      </c>
      <c r="L208" t="b">
        <v>0</v>
      </c>
      <c r="M208" t="s">
        <v>1382</v>
      </c>
      <c r="N208" t="s">
        <v>1403</v>
      </c>
      <c r="O208" t="s">
        <v>1385</v>
      </c>
      <c r="P208" t="s">
        <v>1404</v>
      </c>
      <c r="Q208" t="s">
        <v>1382</v>
      </c>
    </row>
    <row r="209" spans="1:17" x14ac:dyDescent="0.25">
      <c r="A209" t="s">
        <v>39</v>
      </c>
      <c r="B209" t="s">
        <v>1857</v>
      </c>
      <c r="C209" t="s">
        <v>328</v>
      </c>
      <c r="D209" t="s">
        <v>1437</v>
      </c>
      <c r="E209">
        <v>1315.103</v>
      </c>
      <c r="F209" t="s">
        <v>1400</v>
      </c>
      <c r="G209" t="s">
        <v>1858</v>
      </c>
      <c r="H209" t="s">
        <v>1661</v>
      </c>
      <c r="I209" t="s">
        <v>1424</v>
      </c>
      <c r="J209" t="s">
        <v>1382</v>
      </c>
      <c r="K209" t="b">
        <v>1</v>
      </c>
      <c r="L209" t="b">
        <v>0</v>
      </c>
      <c r="M209" t="s">
        <v>1382</v>
      </c>
      <c r="N209" t="s">
        <v>1403</v>
      </c>
      <c r="O209" t="s">
        <v>1385</v>
      </c>
      <c r="P209" t="s">
        <v>1404</v>
      </c>
      <c r="Q209" t="s">
        <v>1382</v>
      </c>
    </row>
    <row r="210" spans="1:17" x14ac:dyDescent="0.25">
      <c r="A210" t="s">
        <v>39</v>
      </c>
      <c r="B210" t="s">
        <v>1859</v>
      </c>
      <c r="C210" t="s">
        <v>328</v>
      </c>
      <c r="D210" t="s">
        <v>1439</v>
      </c>
      <c r="E210">
        <v>1231.328</v>
      </c>
      <c r="F210" t="s">
        <v>1400</v>
      </c>
      <c r="G210" t="s">
        <v>1860</v>
      </c>
      <c r="H210" t="s">
        <v>1661</v>
      </c>
      <c r="I210" t="s">
        <v>1428</v>
      </c>
      <c r="J210" t="s">
        <v>1382</v>
      </c>
      <c r="K210" t="b">
        <v>1</v>
      </c>
      <c r="L210" t="b">
        <v>0</v>
      </c>
      <c r="M210" t="s">
        <v>1382</v>
      </c>
      <c r="N210" t="s">
        <v>1403</v>
      </c>
      <c r="O210" t="s">
        <v>1385</v>
      </c>
      <c r="P210" t="s">
        <v>1404</v>
      </c>
      <c r="Q210" t="s">
        <v>1382</v>
      </c>
    </row>
    <row r="211" spans="1:17" x14ac:dyDescent="0.25">
      <c r="A211" t="s">
        <v>39</v>
      </c>
      <c r="B211" t="s">
        <v>1861</v>
      </c>
      <c r="C211" t="s">
        <v>328</v>
      </c>
      <c r="D211" t="s">
        <v>1442</v>
      </c>
      <c r="E211">
        <v>1767.206</v>
      </c>
      <c r="F211" t="s">
        <v>1400</v>
      </c>
      <c r="G211" t="s">
        <v>1862</v>
      </c>
      <c r="H211" t="s">
        <v>1661</v>
      </c>
      <c r="I211" t="s">
        <v>1486</v>
      </c>
      <c r="J211" t="s">
        <v>1382</v>
      </c>
      <c r="K211" t="b">
        <v>1</v>
      </c>
      <c r="L211" t="b">
        <v>0</v>
      </c>
      <c r="M211" t="s">
        <v>1382</v>
      </c>
      <c r="N211" t="s">
        <v>1403</v>
      </c>
      <c r="O211" t="s">
        <v>1385</v>
      </c>
      <c r="P211" t="s">
        <v>1404</v>
      </c>
      <c r="Q211" t="s">
        <v>1382</v>
      </c>
    </row>
    <row r="212" spans="1:17" x14ac:dyDescent="0.25">
      <c r="A212" t="s">
        <v>39</v>
      </c>
      <c r="B212" t="s">
        <v>1863</v>
      </c>
      <c r="C212" t="s">
        <v>329</v>
      </c>
      <c r="D212" t="s">
        <v>1380</v>
      </c>
      <c r="E212">
        <v>7207.89</v>
      </c>
      <c r="F212" t="s">
        <v>1477</v>
      </c>
      <c r="G212" t="s">
        <v>1864</v>
      </c>
      <c r="H212" t="s">
        <v>1661</v>
      </c>
      <c r="I212" t="s">
        <v>1662</v>
      </c>
      <c r="J212" t="s">
        <v>1382</v>
      </c>
      <c r="K212" t="b">
        <v>1</v>
      </c>
      <c r="L212" t="b">
        <v>0</v>
      </c>
      <c r="M212" t="s">
        <v>1382</v>
      </c>
      <c r="N212" t="s">
        <v>1403</v>
      </c>
      <c r="O212" t="s">
        <v>1385</v>
      </c>
      <c r="P212" t="s">
        <v>1404</v>
      </c>
      <c r="Q212" t="s">
        <v>1865</v>
      </c>
    </row>
    <row r="213" spans="1:17" x14ac:dyDescent="0.25">
      <c r="A213" t="s">
        <v>39</v>
      </c>
      <c r="B213" t="s">
        <v>1866</v>
      </c>
      <c r="C213" t="s">
        <v>329</v>
      </c>
      <c r="D213" t="s">
        <v>1407</v>
      </c>
      <c r="E213">
        <v>7553.79</v>
      </c>
      <c r="F213" t="s">
        <v>1477</v>
      </c>
      <c r="G213" t="s">
        <v>1867</v>
      </c>
      <c r="H213" t="s">
        <v>1661</v>
      </c>
      <c r="I213" t="s">
        <v>1666</v>
      </c>
      <c r="J213" t="s">
        <v>1382</v>
      </c>
      <c r="K213" t="b">
        <v>1</v>
      </c>
      <c r="L213" t="b">
        <v>0</v>
      </c>
      <c r="M213" t="s">
        <v>1382</v>
      </c>
      <c r="N213" t="s">
        <v>1403</v>
      </c>
      <c r="O213" t="s">
        <v>1385</v>
      </c>
      <c r="P213" t="s">
        <v>1404</v>
      </c>
      <c r="Q213" t="s">
        <v>1865</v>
      </c>
    </row>
    <row r="214" spans="1:17" x14ac:dyDescent="0.25">
      <c r="A214" t="s">
        <v>39</v>
      </c>
      <c r="B214" t="s">
        <v>1868</v>
      </c>
      <c r="C214" t="s">
        <v>329</v>
      </c>
      <c r="D214" t="s">
        <v>1411</v>
      </c>
      <c r="E214">
        <v>7171.936</v>
      </c>
      <c r="F214" t="s">
        <v>1477</v>
      </c>
      <c r="G214" t="s">
        <v>1869</v>
      </c>
      <c r="H214" t="s">
        <v>1661</v>
      </c>
      <c r="I214" t="s">
        <v>1669</v>
      </c>
      <c r="J214" t="s">
        <v>1382</v>
      </c>
      <c r="K214" t="b">
        <v>1</v>
      </c>
      <c r="L214" t="b">
        <v>0</v>
      </c>
      <c r="M214" t="s">
        <v>1382</v>
      </c>
      <c r="N214" t="s">
        <v>1403</v>
      </c>
      <c r="O214" t="s">
        <v>1385</v>
      </c>
      <c r="P214" t="s">
        <v>1404</v>
      </c>
      <c r="Q214" t="s">
        <v>1865</v>
      </c>
    </row>
    <row r="215" spans="1:17" x14ac:dyDescent="0.25">
      <c r="A215" t="s">
        <v>39</v>
      </c>
      <c r="B215" t="s">
        <v>1870</v>
      </c>
      <c r="C215" t="s">
        <v>329</v>
      </c>
      <c r="D215" t="s">
        <v>1415</v>
      </c>
      <c r="E215">
        <v>7698.367</v>
      </c>
      <c r="F215" t="s">
        <v>1477</v>
      </c>
      <c r="G215" t="s">
        <v>1871</v>
      </c>
      <c r="H215" t="s">
        <v>1661</v>
      </c>
      <c r="I215" t="s">
        <v>1672</v>
      </c>
      <c r="J215" t="s">
        <v>1382</v>
      </c>
      <c r="K215" t="b">
        <v>1</v>
      </c>
      <c r="L215" t="b">
        <v>0</v>
      </c>
      <c r="M215" t="s">
        <v>1382</v>
      </c>
      <c r="N215" t="s">
        <v>1403</v>
      </c>
      <c r="O215" t="s">
        <v>1385</v>
      </c>
      <c r="P215" t="s">
        <v>1404</v>
      </c>
      <c r="Q215" t="s">
        <v>1865</v>
      </c>
    </row>
    <row r="216" spans="1:17" x14ac:dyDescent="0.25">
      <c r="A216" t="s">
        <v>39</v>
      </c>
      <c r="B216" t="s">
        <v>1872</v>
      </c>
      <c r="C216" t="s">
        <v>329</v>
      </c>
      <c r="D216" t="s">
        <v>1389</v>
      </c>
      <c r="E216">
        <v>8149.941</v>
      </c>
      <c r="F216" t="s">
        <v>1477</v>
      </c>
      <c r="G216" t="s">
        <v>1873</v>
      </c>
      <c r="H216" t="s">
        <v>1661</v>
      </c>
      <c r="I216" t="s">
        <v>1402</v>
      </c>
      <c r="J216" t="s">
        <v>1382</v>
      </c>
      <c r="K216" t="b">
        <v>1</v>
      </c>
      <c r="L216" t="b">
        <v>0</v>
      </c>
      <c r="M216" t="s">
        <v>1382</v>
      </c>
      <c r="N216" t="s">
        <v>1403</v>
      </c>
      <c r="O216" t="s">
        <v>1385</v>
      </c>
      <c r="P216" t="s">
        <v>1404</v>
      </c>
      <c r="Q216" t="s">
        <v>1865</v>
      </c>
    </row>
    <row r="217" spans="1:17" x14ac:dyDescent="0.25">
      <c r="A217" t="s">
        <v>39</v>
      </c>
      <c r="B217" t="s">
        <v>1874</v>
      </c>
      <c r="C217" t="s">
        <v>329</v>
      </c>
      <c r="D217" t="s">
        <v>1422</v>
      </c>
      <c r="E217">
        <v>8178.388</v>
      </c>
      <c r="F217" t="s">
        <v>1477</v>
      </c>
      <c r="G217" t="s">
        <v>1875</v>
      </c>
      <c r="H217" t="s">
        <v>1661</v>
      </c>
      <c r="I217" t="s">
        <v>1409</v>
      </c>
      <c r="J217" t="s">
        <v>1382</v>
      </c>
      <c r="K217" t="b">
        <v>1</v>
      </c>
      <c r="L217" t="b">
        <v>0</v>
      </c>
      <c r="M217" t="s">
        <v>1382</v>
      </c>
      <c r="N217" t="s">
        <v>1403</v>
      </c>
      <c r="O217" t="s">
        <v>1385</v>
      </c>
      <c r="P217" t="s">
        <v>1404</v>
      </c>
      <c r="Q217" t="s">
        <v>1865</v>
      </c>
    </row>
    <row r="218" spans="1:17" x14ac:dyDescent="0.25">
      <c r="A218" t="s">
        <v>39</v>
      </c>
      <c r="B218" t="s">
        <v>1876</v>
      </c>
      <c r="C218" t="s">
        <v>329</v>
      </c>
      <c r="D218" t="s">
        <v>1426</v>
      </c>
      <c r="E218">
        <v>8319.522</v>
      </c>
      <c r="F218" t="s">
        <v>1477</v>
      </c>
      <c r="G218" t="s">
        <v>1877</v>
      </c>
      <c r="H218" t="s">
        <v>1661</v>
      </c>
      <c r="I218" t="s">
        <v>1413</v>
      </c>
      <c r="J218" t="s">
        <v>1382</v>
      </c>
      <c r="K218" t="b">
        <v>1</v>
      </c>
      <c r="L218" t="b">
        <v>0</v>
      </c>
      <c r="M218" t="s">
        <v>1382</v>
      </c>
      <c r="N218" t="s">
        <v>1403</v>
      </c>
      <c r="O218" t="s">
        <v>1385</v>
      </c>
      <c r="P218" t="s">
        <v>1404</v>
      </c>
      <c r="Q218" t="s">
        <v>1865</v>
      </c>
    </row>
    <row r="219" spans="1:17" x14ac:dyDescent="0.25">
      <c r="A219" t="s">
        <v>39</v>
      </c>
      <c r="B219" t="s">
        <v>1878</v>
      </c>
      <c r="C219" t="s">
        <v>329</v>
      </c>
      <c r="D219" t="s">
        <v>1430</v>
      </c>
      <c r="E219">
        <v>7760.342</v>
      </c>
      <c r="F219" t="s">
        <v>1477</v>
      </c>
      <c r="G219" t="s">
        <v>1879</v>
      </c>
      <c r="H219" t="s">
        <v>1661</v>
      </c>
      <c r="I219" t="s">
        <v>1486</v>
      </c>
      <c r="J219" t="s">
        <v>1382</v>
      </c>
      <c r="K219" t="b">
        <v>1</v>
      </c>
      <c r="L219" t="b">
        <v>0</v>
      </c>
      <c r="M219" t="s">
        <v>1382</v>
      </c>
      <c r="N219" t="s">
        <v>1403</v>
      </c>
      <c r="O219" t="s">
        <v>1385</v>
      </c>
      <c r="P219" t="s">
        <v>1404</v>
      </c>
      <c r="Q219" t="s">
        <v>1865</v>
      </c>
    </row>
    <row r="220" spans="1:17" x14ac:dyDescent="0.25">
      <c r="A220" t="s">
        <v>39</v>
      </c>
      <c r="B220" t="s">
        <v>1880</v>
      </c>
      <c r="C220" t="s">
        <v>329</v>
      </c>
      <c r="D220" t="s">
        <v>1391</v>
      </c>
      <c r="E220">
        <v>8344.09</v>
      </c>
      <c r="F220" t="s">
        <v>1477</v>
      </c>
      <c r="G220" t="s">
        <v>1881</v>
      </c>
      <c r="H220" t="s">
        <v>1661</v>
      </c>
      <c r="I220" t="s">
        <v>1420</v>
      </c>
      <c r="J220" t="s">
        <v>1382</v>
      </c>
      <c r="K220" t="b">
        <v>1</v>
      </c>
      <c r="L220" t="b">
        <v>0</v>
      </c>
      <c r="M220" t="s">
        <v>1382</v>
      </c>
      <c r="N220" t="s">
        <v>1403</v>
      </c>
      <c r="O220" t="s">
        <v>1385</v>
      </c>
      <c r="P220" t="s">
        <v>1404</v>
      </c>
      <c r="Q220" t="s">
        <v>1865</v>
      </c>
    </row>
    <row r="221" spans="1:17" x14ac:dyDescent="0.25">
      <c r="A221" t="s">
        <v>39</v>
      </c>
      <c r="B221" t="s">
        <v>1882</v>
      </c>
      <c r="C221" t="s">
        <v>329</v>
      </c>
      <c r="D221" t="s">
        <v>1437</v>
      </c>
      <c r="E221">
        <v>8076.672</v>
      </c>
      <c r="F221" t="s">
        <v>1477</v>
      </c>
      <c r="G221" t="s">
        <v>1883</v>
      </c>
      <c r="H221" t="s">
        <v>1661</v>
      </c>
      <c r="I221" t="s">
        <v>1424</v>
      </c>
      <c r="J221" t="s">
        <v>1382</v>
      </c>
      <c r="K221" t="b">
        <v>1</v>
      </c>
      <c r="L221" t="b">
        <v>0</v>
      </c>
      <c r="M221" t="s">
        <v>1382</v>
      </c>
      <c r="N221" t="s">
        <v>1403</v>
      </c>
      <c r="O221" t="s">
        <v>1385</v>
      </c>
      <c r="P221" t="s">
        <v>1404</v>
      </c>
      <c r="Q221" t="s">
        <v>1865</v>
      </c>
    </row>
    <row r="222" spans="1:17" x14ac:dyDescent="0.25">
      <c r="A222" t="s">
        <v>39</v>
      </c>
      <c r="B222" t="s">
        <v>1884</v>
      </c>
      <c r="C222" t="s">
        <v>329</v>
      </c>
      <c r="D222" t="s">
        <v>1439</v>
      </c>
      <c r="E222">
        <v>8128.541</v>
      </c>
      <c r="F222" t="s">
        <v>1477</v>
      </c>
      <c r="G222" t="s">
        <v>1885</v>
      </c>
      <c r="H222" t="s">
        <v>1661</v>
      </c>
      <c r="I222" t="s">
        <v>1428</v>
      </c>
      <c r="J222" t="s">
        <v>1382</v>
      </c>
      <c r="K222" t="b">
        <v>1</v>
      </c>
      <c r="L222" t="b">
        <v>0</v>
      </c>
      <c r="M222" t="s">
        <v>1382</v>
      </c>
      <c r="N222" t="s">
        <v>1403</v>
      </c>
      <c r="O222" t="s">
        <v>1385</v>
      </c>
      <c r="P222" t="s">
        <v>1404</v>
      </c>
      <c r="Q222" t="s">
        <v>1865</v>
      </c>
    </row>
    <row r="223" spans="1:17" x14ac:dyDescent="0.25">
      <c r="A223" t="s">
        <v>39</v>
      </c>
      <c r="B223" t="s">
        <v>1886</v>
      </c>
      <c r="C223" t="s">
        <v>329</v>
      </c>
      <c r="D223" t="s">
        <v>1442</v>
      </c>
      <c r="E223">
        <v>12171.814</v>
      </c>
      <c r="F223" t="s">
        <v>1477</v>
      </c>
      <c r="G223" t="s">
        <v>1887</v>
      </c>
      <c r="H223" t="s">
        <v>1661</v>
      </c>
      <c r="I223" t="s">
        <v>1486</v>
      </c>
      <c r="J223" t="s">
        <v>1382</v>
      </c>
      <c r="K223" t="b">
        <v>1</v>
      </c>
      <c r="L223" t="b">
        <v>0</v>
      </c>
      <c r="M223" t="s">
        <v>1382</v>
      </c>
      <c r="N223" t="s">
        <v>1403</v>
      </c>
      <c r="O223" t="s">
        <v>1385</v>
      </c>
      <c r="P223" t="s">
        <v>1404</v>
      </c>
      <c r="Q223" t="s">
        <v>1888</v>
      </c>
    </row>
    <row r="224" spans="1:17" x14ac:dyDescent="0.25">
      <c r="A224" t="s">
        <v>39</v>
      </c>
      <c r="B224" t="s">
        <v>1889</v>
      </c>
      <c r="C224" t="s">
        <v>330</v>
      </c>
      <c r="D224" t="s">
        <v>1380</v>
      </c>
      <c r="E224">
        <v>1551.147</v>
      </c>
      <c r="F224" t="s">
        <v>1400</v>
      </c>
      <c r="G224" t="s">
        <v>1890</v>
      </c>
      <c r="H224" t="s">
        <v>1661</v>
      </c>
      <c r="I224" t="s">
        <v>1662</v>
      </c>
      <c r="J224" t="s">
        <v>1382</v>
      </c>
      <c r="K224" t="b">
        <v>1</v>
      </c>
      <c r="L224" t="b">
        <v>0</v>
      </c>
      <c r="M224" t="s">
        <v>1382</v>
      </c>
      <c r="N224" t="s">
        <v>1403</v>
      </c>
      <c r="O224" t="s">
        <v>1385</v>
      </c>
      <c r="P224" t="s">
        <v>1404</v>
      </c>
      <c r="Q224" t="s">
        <v>1382</v>
      </c>
    </row>
    <row r="225" spans="1:17" x14ac:dyDescent="0.25">
      <c r="A225" t="s">
        <v>39</v>
      </c>
      <c r="B225" t="s">
        <v>1891</v>
      </c>
      <c r="C225" t="s">
        <v>330</v>
      </c>
      <c r="D225" t="s">
        <v>1407</v>
      </c>
      <c r="E225">
        <v>1221.523</v>
      </c>
      <c r="F225" t="s">
        <v>1400</v>
      </c>
      <c r="G225" t="s">
        <v>1892</v>
      </c>
      <c r="H225" t="s">
        <v>1661</v>
      </c>
      <c r="I225" t="s">
        <v>1666</v>
      </c>
      <c r="J225" t="s">
        <v>1382</v>
      </c>
      <c r="K225" t="b">
        <v>1</v>
      </c>
      <c r="L225" t="b">
        <v>0</v>
      </c>
      <c r="M225" t="s">
        <v>1382</v>
      </c>
      <c r="N225" t="s">
        <v>1403</v>
      </c>
      <c r="O225" t="s">
        <v>1385</v>
      </c>
      <c r="P225" t="s">
        <v>1404</v>
      </c>
      <c r="Q225" t="s">
        <v>1382</v>
      </c>
    </row>
    <row r="226" spans="1:17" x14ac:dyDescent="0.25">
      <c r="A226" t="s">
        <v>39</v>
      </c>
      <c r="B226" t="s">
        <v>1893</v>
      </c>
      <c r="C226" t="s">
        <v>330</v>
      </c>
      <c r="D226" t="s">
        <v>1411</v>
      </c>
      <c r="E226">
        <v>1416.483</v>
      </c>
      <c r="F226" t="s">
        <v>1400</v>
      </c>
      <c r="G226" t="s">
        <v>1894</v>
      </c>
      <c r="H226" t="s">
        <v>1661</v>
      </c>
      <c r="I226" t="s">
        <v>1669</v>
      </c>
      <c r="J226" t="s">
        <v>1382</v>
      </c>
      <c r="K226" t="b">
        <v>1</v>
      </c>
      <c r="L226" t="b">
        <v>0</v>
      </c>
      <c r="M226" t="s">
        <v>1382</v>
      </c>
      <c r="N226" t="s">
        <v>1403</v>
      </c>
      <c r="O226" t="s">
        <v>1385</v>
      </c>
      <c r="P226" t="s">
        <v>1404</v>
      </c>
      <c r="Q226" t="s">
        <v>1382</v>
      </c>
    </row>
    <row r="227" spans="1:17" x14ac:dyDescent="0.25">
      <c r="A227" t="s">
        <v>39</v>
      </c>
      <c r="B227" t="s">
        <v>1895</v>
      </c>
      <c r="C227" t="s">
        <v>330</v>
      </c>
      <c r="D227" t="s">
        <v>1415</v>
      </c>
      <c r="E227">
        <v>1840.518</v>
      </c>
      <c r="F227" t="s">
        <v>1400</v>
      </c>
      <c r="G227" t="s">
        <v>1896</v>
      </c>
      <c r="H227" t="s">
        <v>1661</v>
      </c>
      <c r="I227" t="s">
        <v>1672</v>
      </c>
      <c r="J227" t="s">
        <v>1382</v>
      </c>
      <c r="K227" t="b">
        <v>1</v>
      </c>
      <c r="L227" t="b">
        <v>0</v>
      </c>
      <c r="M227" t="s">
        <v>1382</v>
      </c>
      <c r="N227" t="s">
        <v>1403</v>
      </c>
      <c r="O227" t="s">
        <v>1385</v>
      </c>
      <c r="P227" t="s">
        <v>1404</v>
      </c>
      <c r="Q227" t="s">
        <v>1382</v>
      </c>
    </row>
    <row r="228" spans="1:17" x14ac:dyDescent="0.25">
      <c r="A228" t="s">
        <v>39</v>
      </c>
      <c r="B228" t="s">
        <v>1897</v>
      </c>
      <c r="C228" t="s">
        <v>330</v>
      </c>
      <c r="D228" t="s">
        <v>1389</v>
      </c>
      <c r="E228">
        <v>2709.17</v>
      </c>
      <c r="F228" t="s">
        <v>1400</v>
      </c>
      <c r="G228" t="s">
        <v>1898</v>
      </c>
      <c r="H228" t="s">
        <v>1661</v>
      </c>
      <c r="I228" t="s">
        <v>1402</v>
      </c>
      <c r="J228" t="s">
        <v>1382</v>
      </c>
      <c r="K228" t="b">
        <v>1</v>
      </c>
      <c r="L228" t="b">
        <v>0</v>
      </c>
      <c r="M228" t="s">
        <v>1382</v>
      </c>
      <c r="N228" t="s">
        <v>1403</v>
      </c>
      <c r="O228" t="s">
        <v>1385</v>
      </c>
      <c r="P228" t="s">
        <v>1404</v>
      </c>
      <c r="Q228" t="s">
        <v>1382</v>
      </c>
    </row>
    <row r="229" spans="1:17" x14ac:dyDescent="0.25">
      <c r="A229" t="s">
        <v>39</v>
      </c>
      <c r="B229" t="s">
        <v>1899</v>
      </c>
      <c r="C229" t="s">
        <v>330</v>
      </c>
      <c r="D229" t="s">
        <v>1422</v>
      </c>
      <c r="E229">
        <v>2244.127</v>
      </c>
      <c r="F229" t="s">
        <v>1400</v>
      </c>
      <c r="G229" t="s">
        <v>1900</v>
      </c>
      <c r="H229" t="s">
        <v>1661</v>
      </c>
      <c r="I229" t="s">
        <v>1409</v>
      </c>
      <c r="J229" t="s">
        <v>1382</v>
      </c>
      <c r="K229" t="b">
        <v>1</v>
      </c>
      <c r="L229" t="b">
        <v>0</v>
      </c>
      <c r="M229" t="s">
        <v>1382</v>
      </c>
      <c r="N229" t="s">
        <v>1403</v>
      </c>
      <c r="O229" t="s">
        <v>1385</v>
      </c>
      <c r="P229" t="s">
        <v>1404</v>
      </c>
      <c r="Q229" t="s">
        <v>1382</v>
      </c>
    </row>
    <row r="230" spans="1:17" x14ac:dyDescent="0.25">
      <c r="A230" t="s">
        <v>39</v>
      </c>
      <c r="B230" t="s">
        <v>1901</v>
      </c>
      <c r="C230" t="s">
        <v>330</v>
      </c>
      <c r="D230" t="s">
        <v>1426</v>
      </c>
      <c r="E230">
        <v>2550.101</v>
      </c>
      <c r="F230" t="s">
        <v>1400</v>
      </c>
      <c r="G230" t="s">
        <v>1902</v>
      </c>
      <c r="H230" t="s">
        <v>1661</v>
      </c>
      <c r="I230" t="s">
        <v>1413</v>
      </c>
      <c r="J230" t="s">
        <v>1382</v>
      </c>
      <c r="K230" t="b">
        <v>1</v>
      </c>
      <c r="L230" t="b">
        <v>0</v>
      </c>
      <c r="M230" t="s">
        <v>1382</v>
      </c>
      <c r="N230" t="s">
        <v>1403</v>
      </c>
      <c r="O230" t="s">
        <v>1385</v>
      </c>
      <c r="P230" t="s">
        <v>1404</v>
      </c>
      <c r="Q230" t="s">
        <v>1382</v>
      </c>
    </row>
    <row r="231" spans="1:17" x14ac:dyDescent="0.25">
      <c r="A231" t="s">
        <v>39</v>
      </c>
      <c r="B231" t="s">
        <v>1903</v>
      </c>
      <c r="C231" t="s">
        <v>330</v>
      </c>
      <c r="D231" t="s">
        <v>1430</v>
      </c>
      <c r="E231">
        <v>2540.861</v>
      </c>
      <c r="F231" t="s">
        <v>1400</v>
      </c>
      <c r="G231" t="s">
        <v>1904</v>
      </c>
      <c r="H231" t="s">
        <v>1661</v>
      </c>
      <c r="I231" t="s">
        <v>1486</v>
      </c>
      <c r="J231" t="s">
        <v>1382</v>
      </c>
      <c r="K231" t="b">
        <v>1</v>
      </c>
      <c r="L231" t="b">
        <v>0</v>
      </c>
      <c r="M231" t="s">
        <v>1382</v>
      </c>
      <c r="N231" t="s">
        <v>1403</v>
      </c>
      <c r="O231" t="s">
        <v>1385</v>
      </c>
      <c r="P231" t="s">
        <v>1404</v>
      </c>
      <c r="Q231" t="s">
        <v>1382</v>
      </c>
    </row>
    <row r="232" spans="1:17" x14ac:dyDescent="0.25">
      <c r="A232" t="s">
        <v>39</v>
      </c>
      <c r="B232" t="s">
        <v>1905</v>
      </c>
      <c r="C232" t="s">
        <v>330</v>
      </c>
      <c r="D232" t="s">
        <v>1391</v>
      </c>
      <c r="E232">
        <v>2501.643</v>
      </c>
      <c r="F232" t="s">
        <v>1400</v>
      </c>
      <c r="G232" t="s">
        <v>1906</v>
      </c>
      <c r="H232" t="s">
        <v>1661</v>
      </c>
      <c r="I232" t="s">
        <v>1420</v>
      </c>
      <c r="J232" t="s">
        <v>1382</v>
      </c>
      <c r="K232" t="b">
        <v>1</v>
      </c>
      <c r="L232" t="b">
        <v>0</v>
      </c>
      <c r="M232" t="s">
        <v>1382</v>
      </c>
      <c r="N232" t="s">
        <v>1403</v>
      </c>
      <c r="O232" t="s">
        <v>1385</v>
      </c>
      <c r="P232" t="s">
        <v>1404</v>
      </c>
      <c r="Q232" t="s">
        <v>1382</v>
      </c>
    </row>
    <row r="233" spans="1:17" x14ac:dyDescent="0.25">
      <c r="A233" t="s">
        <v>39</v>
      </c>
      <c r="B233" t="s">
        <v>1907</v>
      </c>
      <c r="C233" t="s">
        <v>330</v>
      </c>
      <c r="D233" t="s">
        <v>1437</v>
      </c>
      <c r="E233">
        <v>2041.795</v>
      </c>
      <c r="F233" t="s">
        <v>1400</v>
      </c>
      <c r="G233" t="s">
        <v>1908</v>
      </c>
      <c r="H233" t="s">
        <v>1661</v>
      </c>
      <c r="I233" t="s">
        <v>1424</v>
      </c>
      <c r="J233" t="s">
        <v>1382</v>
      </c>
      <c r="K233" t="b">
        <v>1</v>
      </c>
      <c r="L233" t="b">
        <v>0</v>
      </c>
      <c r="M233" t="s">
        <v>1382</v>
      </c>
      <c r="N233" t="s">
        <v>1403</v>
      </c>
      <c r="O233" t="s">
        <v>1385</v>
      </c>
      <c r="P233" t="s">
        <v>1404</v>
      </c>
      <c r="Q233" t="s">
        <v>1382</v>
      </c>
    </row>
    <row r="234" spans="1:17" x14ac:dyDescent="0.25">
      <c r="A234" t="s">
        <v>39</v>
      </c>
      <c r="B234" t="s">
        <v>1909</v>
      </c>
      <c r="C234" t="s">
        <v>330</v>
      </c>
      <c r="D234" t="s">
        <v>1439</v>
      </c>
      <c r="E234">
        <v>2498.013</v>
      </c>
      <c r="F234" t="s">
        <v>1400</v>
      </c>
      <c r="G234" t="s">
        <v>1910</v>
      </c>
      <c r="H234" t="s">
        <v>1661</v>
      </c>
      <c r="I234" t="s">
        <v>1428</v>
      </c>
      <c r="J234" t="s">
        <v>1382</v>
      </c>
      <c r="K234" t="b">
        <v>1</v>
      </c>
      <c r="L234" t="b">
        <v>0</v>
      </c>
      <c r="M234" t="s">
        <v>1382</v>
      </c>
      <c r="N234" t="s">
        <v>1403</v>
      </c>
      <c r="O234" t="s">
        <v>1385</v>
      </c>
      <c r="P234" t="s">
        <v>1404</v>
      </c>
      <c r="Q234" t="s">
        <v>1382</v>
      </c>
    </row>
    <row r="235" spans="1:17" x14ac:dyDescent="0.25">
      <c r="A235" t="s">
        <v>39</v>
      </c>
      <c r="B235" t="s">
        <v>1911</v>
      </c>
      <c r="C235" t="s">
        <v>330</v>
      </c>
      <c r="D235" t="s">
        <v>1442</v>
      </c>
      <c r="E235">
        <v>2540.759</v>
      </c>
      <c r="F235" t="s">
        <v>1400</v>
      </c>
      <c r="G235" t="s">
        <v>1912</v>
      </c>
      <c r="H235" t="s">
        <v>1661</v>
      </c>
      <c r="I235" t="s">
        <v>1486</v>
      </c>
      <c r="J235" t="s">
        <v>1382</v>
      </c>
      <c r="K235" t="b">
        <v>1</v>
      </c>
      <c r="L235" t="b">
        <v>0</v>
      </c>
      <c r="M235" t="s">
        <v>1382</v>
      </c>
      <c r="N235" t="s">
        <v>1403</v>
      </c>
      <c r="O235" t="s">
        <v>1385</v>
      </c>
      <c r="P235" t="s">
        <v>1404</v>
      </c>
      <c r="Q235" t="s">
        <v>1382</v>
      </c>
    </row>
    <row r="236" spans="1:17" x14ac:dyDescent="0.25">
      <c r="A236" t="s">
        <v>39</v>
      </c>
      <c r="B236" t="s">
        <v>1913</v>
      </c>
      <c r="C236" t="s">
        <v>331</v>
      </c>
      <c r="D236" t="s">
        <v>1380</v>
      </c>
      <c r="E236">
        <v>24357.359</v>
      </c>
      <c r="F236" t="s">
        <v>1477</v>
      </c>
      <c r="G236" t="s">
        <v>1914</v>
      </c>
      <c r="H236" t="s">
        <v>1661</v>
      </c>
      <c r="I236" t="s">
        <v>1662</v>
      </c>
      <c r="J236" t="s">
        <v>1382</v>
      </c>
      <c r="K236" t="b">
        <v>1</v>
      </c>
      <c r="L236" t="b">
        <v>0</v>
      </c>
      <c r="M236" t="s">
        <v>1382</v>
      </c>
      <c r="N236" t="s">
        <v>1403</v>
      </c>
      <c r="O236" t="s">
        <v>1385</v>
      </c>
      <c r="P236" t="s">
        <v>1404</v>
      </c>
      <c r="Q236" t="s">
        <v>1915</v>
      </c>
    </row>
    <row r="237" spans="1:17" x14ac:dyDescent="0.25">
      <c r="A237" t="s">
        <v>39</v>
      </c>
      <c r="B237" t="s">
        <v>1916</v>
      </c>
      <c r="C237" t="s">
        <v>331</v>
      </c>
      <c r="D237" t="s">
        <v>1407</v>
      </c>
      <c r="E237">
        <v>25566.601</v>
      </c>
      <c r="F237" t="s">
        <v>1477</v>
      </c>
      <c r="G237" t="s">
        <v>1917</v>
      </c>
      <c r="H237" t="s">
        <v>1661</v>
      </c>
      <c r="I237" t="s">
        <v>1666</v>
      </c>
      <c r="J237" t="s">
        <v>1382</v>
      </c>
      <c r="K237" t="b">
        <v>1</v>
      </c>
      <c r="L237" t="b">
        <v>0</v>
      </c>
      <c r="M237" t="s">
        <v>1382</v>
      </c>
      <c r="N237" t="s">
        <v>1403</v>
      </c>
      <c r="O237" t="s">
        <v>1385</v>
      </c>
      <c r="P237" t="s">
        <v>1404</v>
      </c>
      <c r="Q237" t="s">
        <v>1915</v>
      </c>
    </row>
    <row r="238" spans="1:17" x14ac:dyDescent="0.25">
      <c r="A238" t="s">
        <v>39</v>
      </c>
      <c r="B238" t="s">
        <v>1918</v>
      </c>
      <c r="C238" t="s">
        <v>331</v>
      </c>
      <c r="D238" t="s">
        <v>1411</v>
      </c>
      <c r="E238">
        <v>27303.219</v>
      </c>
      <c r="F238" t="s">
        <v>1477</v>
      </c>
      <c r="G238" t="s">
        <v>1919</v>
      </c>
      <c r="H238" t="s">
        <v>1661</v>
      </c>
      <c r="I238" t="s">
        <v>1669</v>
      </c>
      <c r="J238" t="s">
        <v>1382</v>
      </c>
      <c r="K238" t="b">
        <v>1</v>
      </c>
      <c r="L238" t="b">
        <v>0</v>
      </c>
      <c r="M238" t="s">
        <v>1382</v>
      </c>
      <c r="N238" t="s">
        <v>1403</v>
      </c>
      <c r="O238" t="s">
        <v>1385</v>
      </c>
      <c r="P238" t="s">
        <v>1404</v>
      </c>
      <c r="Q238" t="s">
        <v>1915</v>
      </c>
    </row>
    <row r="239" spans="1:17" x14ac:dyDescent="0.25">
      <c r="A239" t="s">
        <v>39</v>
      </c>
      <c r="B239" t="s">
        <v>1920</v>
      </c>
      <c r="C239" t="s">
        <v>331</v>
      </c>
      <c r="D239" t="s">
        <v>1415</v>
      </c>
      <c r="E239">
        <v>27875.268</v>
      </c>
      <c r="F239" t="s">
        <v>1477</v>
      </c>
      <c r="G239" t="s">
        <v>1921</v>
      </c>
      <c r="H239" t="s">
        <v>1661</v>
      </c>
      <c r="I239" t="s">
        <v>1672</v>
      </c>
      <c r="J239" t="s">
        <v>1382</v>
      </c>
      <c r="K239" t="b">
        <v>1</v>
      </c>
      <c r="L239" t="b">
        <v>0</v>
      </c>
      <c r="M239" t="s">
        <v>1382</v>
      </c>
      <c r="N239" t="s">
        <v>1403</v>
      </c>
      <c r="O239" t="s">
        <v>1385</v>
      </c>
      <c r="P239" t="s">
        <v>1404</v>
      </c>
      <c r="Q239" t="s">
        <v>1915</v>
      </c>
    </row>
    <row r="240" spans="1:17" x14ac:dyDescent="0.25">
      <c r="A240" t="s">
        <v>39</v>
      </c>
      <c r="B240" t="s">
        <v>1922</v>
      </c>
      <c r="C240" t="s">
        <v>331</v>
      </c>
      <c r="D240" t="s">
        <v>1389</v>
      </c>
      <c r="E240">
        <v>29034.426</v>
      </c>
      <c r="F240" t="s">
        <v>1477</v>
      </c>
      <c r="G240" t="s">
        <v>1923</v>
      </c>
      <c r="H240" t="s">
        <v>1661</v>
      </c>
      <c r="I240" t="s">
        <v>1402</v>
      </c>
      <c r="J240" t="s">
        <v>1382</v>
      </c>
      <c r="K240" t="b">
        <v>1</v>
      </c>
      <c r="L240" t="b">
        <v>0</v>
      </c>
      <c r="M240" t="s">
        <v>1382</v>
      </c>
      <c r="N240" t="s">
        <v>1403</v>
      </c>
      <c r="O240" t="s">
        <v>1385</v>
      </c>
      <c r="P240" t="s">
        <v>1404</v>
      </c>
      <c r="Q240" t="s">
        <v>1915</v>
      </c>
    </row>
    <row r="241" spans="1:17" x14ac:dyDescent="0.25">
      <c r="A241" t="s">
        <v>39</v>
      </c>
      <c r="B241" t="s">
        <v>1924</v>
      </c>
      <c r="C241" t="s">
        <v>331</v>
      </c>
      <c r="D241" t="s">
        <v>1422</v>
      </c>
      <c r="E241">
        <v>28333.513</v>
      </c>
      <c r="F241" t="s">
        <v>1477</v>
      </c>
      <c r="G241" t="s">
        <v>1925</v>
      </c>
      <c r="H241" t="s">
        <v>1661</v>
      </c>
      <c r="I241" t="s">
        <v>1409</v>
      </c>
      <c r="J241" t="s">
        <v>1382</v>
      </c>
      <c r="K241" t="b">
        <v>1</v>
      </c>
      <c r="L241" t="b">
        <v>0</v>
      </c>
      <c r="M241" t="s">
        <v>1382</v>
      </c>
      <c r="N241" t="s">
        <v>1403</v>
      </c>
      <c r="O241" t="s">
        <v>1385</v>
      </c>
      <c r="P241" t="s">
        <v>1404</v>
      </c>
      <c r="Q241" t="s">
        <v>1915</v>
      </c>
    </row>
    <row r="242" spans="1:17" x14ac:dyDescent="0.25">
      <c r="A242" t="s">
        <v>39</v>
      </c>
      <c r="B242" t="s">
        <v>1926</v>
      </c>
      <c r="C242" t="s">
        <v>331</v>
      </c>
      <c r="D242" t="s">
        <v>1426</v>
      </c>
      <c r="E242">
        <v>27641.832</v>
      </c>
      <c r="F242" t="s">
        <v>1477</v>
      </c>
      <c r="G242" t="s">
        <v>1927</v>
      </c>
      <c r="H242" t="s">
        <v>1661</v>
      </c>
      <c r="I242" t="s">
        <v>1413</v>
      </c>
      <c r="J242" t="s">
        <v>1382</v>
      </c>
      <c r="K242" t="b">
        <v>1</v>
      </c>
      <c r="L242" t="b">
        <v>0</v>
      </c>
      <c r="M242" t="s">
        <v>1382</v>
      </c>
      <c r="N242" t="s">
        <v>1403</v>
      </c>
      <c r="O242" t="s">
        <v>1385</v>
      </c>
      <c r="P242" t="s">
        <v>1404</v>
      </c>
      <c r="Q242" t="s">
        <v>1915</v>
      </c>
    </row>
    <row r="243" spans="1:17" x14ac:dyDescent="0.25">
      <c r="A243" t="s">
        <v>39</v>
      </c>
      <c r="B243" t="s">
        <v>1928</v>
      </c>
      <c r="C243" t="s">
        <v>331</v>
      </c>
      <c r="D243" t="s">
        <v>1430</v>
      </c>
      <c r="E243">
        <v>29859.988</v>
      </c>
      <c r="F243" t="s">
        <v>1477</v>
      </c>
      <c r="G243" t="s">
        <v>1929</v>
      </c>
      <c r="H243" t="s">
        <v>1661</v>
      </c>
      <c r="I243" t="s">
        <v>1486</v>
      </c>
      <c r="J243" t="s">
        <v>1382</v>
      </c>
      <c r="K243" t="b">
        <v>1</v>
      </c>
      <c r="L243" t="b">
        <v>0</v>
      </c>
      <c r="M243" t="s">
        <v>1382</v>
      </c>
      <c r="N243" t="s">
        <v>1403</v>
      </c>
      <c r="O243" t="s">
        <v>1385</v>
      </c>
      <c r="P243" t="s">
        <v>1404</v>
      </c>
      <c r="Q243" t="s">
        <v>1915</v>
      </c>
    </row>
    <row r="244" spans="1:17" x14ac:dyDescent="0.25">
      <c r="A244" t="s">
        <v>39</v>
      </c>
      <c r="B244" t="s">
        <v>1930</v>
      </c>
      <c r="C244" t="s">
        <v>331</v>
      </c>
      <c r="D244" t="s">
        <v>1391</v>
      </c>
      <c r="E244">
        <v>33145.954</v>
      </c>
      <c r="F244" t="s">
        <v>1477</v>
      </c>
      <c r="G244" t="s">
        <v>1931</v>
      </c>
      <c r="H244" t="s">
        <v>1661</v>
      </c>
      <c r="I244" t="s">
        <v>1420</v>
      </c>
      <c r="J244" t="s">
        <v>1382</v>
      </c>
      <c r="K244" t="b">
        <v>1</v>
      </c>
      <c r="L244" t="b">
        <v>0</v>
      </c>
      <c r="M244" t="s">
        <v>1382</v>
      </c>
      <c r="N244" t="s">
        <v>1403</v>
      </c>
      <c r="O244" t="s">
        <v>1385</v>
      </c>
      <c r="P244" t="s">
        <v>1404</v>
      </c>
      <c r="Q244" t="s">
        <v>1915</v>
      </c>
    </row>
    <row r="245" spans="1:17" x14ac:dyDescent="0.25">
      <c r="A245" t="s">
        <v>39</v>
      </c>
      <c r="B245" t="s">
        <v>1932</v>
      </c>
      <c r="C245" t="s">
        <v>331</v>
      </c>
      <c r="D245" t="s">
        <v>1437</v>
      </c>
      <c r="E245">
        <v>30117.227</v>
      </c>
      <c r="F245" t="s">
        <v>1477</v>
      </c>
      <c r="G245" t="s">
        <v>1933</v>
      </c>
      <c r="H245" t="s">
        <v>1661</v>
      </c>
      <c r="I245" t="s">
        <v>1424</v>
      </c>
      <c r="J245" t="s">
        <v>1382</v>
      </c>
      <c r="K245" t="b">
        <v>1</v>
      </c>
      <c r="L245" t="b">
        <v>0</v>
      </c>
      <c r="M245" t="s">
        <v>1382</v>
      </c>
      <c r="N245" t="s">
        <v>1403</v>
      </c>
      <c r="O245" t="s">
        <v>1385</v>
      </c>
      <c r="P245" t="s">
        <v>1404</v>
      </c>
      <c r="Q245" t="s">
        <v>1915</v>
      </c>
    </row>
    <row r="246" spans="1:17" x14ac:dyDescent="0.25">
      <c r="A246" t="s">
        <v>39</v>
      </c>
      <c r="B246" t="s">
        <v>1934</v>
      </c>
      <c r="C246" t="s">
        <v>331</v>
      </c>
      <c r="D246" t="s">
        <v>1439</v>
      </c>
      <c r="E246">
        <v>30946.877</v>
      </c>
      <c r="F246" t="s">
        <v>1477</v>
      </c>
      <c r="G246" t="s">
        <v>1935</v>
      </c>
      <c r="H246" t="s">
        <v>1661</v>
      </c>
      <c r="I246" t="s">
        <v>1428</v>
      </c>
      <c r="J246" t="s">
        <v>1382</v>
      </c>
      <c r="K246" t="b">
        <v>1</v>
      </c>
      <c r="L246" t="b">
        <v>0</v>
      </c>
      <c r="M246" t="s">
        <v>1382</v>
      </c>
      <c r="N246" t="s">
        <v>1403</v>
      </c>
      <c r="O246" t="s">
        <v>1385</v>
      </c>
      <c r="P246" t="s">
        <v>1404</v>
      </c>
      <c r="Q246" t="s">
        <v>1915</v>
      </c>
    </row>
    <row r="247" spans="1:17" x14ac:dyDescent="0.25">
      <c r="A247" t="s">
        <v>39</v>
      </c>
      <c r="B247" t="s">
        <v>1936</v>
      </c>
      <c r="C247" t="s">
        <v>331</v>
      </c>
      <c r="D247" t="s">
        <v>1442</v>
      </c>
      <c r="E247">
        <v>32994.068</v>
      </c>
      <c r="F247" t="s">
        <v>1477</v>
      </c>
      <c r="G247" t="s">
        <v>1937</v>
      </c>
      <c r="H247" t="s">
        <v>1661</v>
      </c>
      <c r="I247" t="s">
        <v>1486</v>
      </c>
      <c r="J247" t="s">
        <v>1382</v>
      </c>
      <c r="K247" t="b">
        <v>1</v>
      </c>
      <c r="L247" t="b">
        <v>0</v>
      </c>
      <c r="M247" t="s">
        <v>1382</v>
      </c>
      <c r="N247" t="s">
        <v>1403</v>
      </c>
      <c r="O247" t="s">
        <v>1385</v>
      </c>
      <c r="P247" t="s">
        <v>1404</v>
      </c>
      <c r="Q247" t="s">
        <v>1938</v>
      </c>
    </row>
    <row r="248" spans="1:17" x14ac:dyDescent="0.25">
      <c r="A248" t="s">
        <v>39</v>
      </c>
      <c r="B248" t="s">
        <v>1939</v>
      </c>
      <c r="C248" t="s">
        <v>334</v>
      </c>
      <c r="D248" t="s">
        <v>1380</v>
      </c>
      <c r="E248">
        <v>8625.552</v>
      </c>
      <c r="F248" t="s">
        <v>1477</v>
      </c>
      <c r="G248" t="s">
        <v>1940</v>
      </c>
      <c r="H248" t="s">
        <v>1661</v>
      </c>
      <c r="I248" t="s">
        <v>1662</v>
      </c>
      <c r="J248" t="s">
        <v>1382</v>
      </c>
      <c r="K248" t="b">
        <v>1</v>
      </c>
      <c r="L248" t="b">
        <v>0</v>
      </c>
      <c r="M248" t="s">
        <v>1382</v>
      </c>
      <c r="N248" t="s">
        <v>1403</v>
      </c>
      <c r="O248" t="s">
        <v>1385</v>
      </c>
      <c r="P248" t="s">
        <v>1404</v>
      </c>
      <c r="Q248" t="s">
        <v>1941</v>
      </c>
    </row>
    <row r="249" spans="1:17" x14ac:dyDescent="0.25">
      <c r="A249" t="s">
        <v>39</v>
      </c>
      <c r="B249" t="s">
        <v>1942</v>
      </c>
      <c r="C249" t="s">
        <v>334</v>
      </c>
      <c r="D249" t="s">
        <v>1407</v>
      </c>
      <c r="E249">
        <v>8785.54</v>
      </c>
      <c r="F249" t="s">
        <v>1477</v>
      </c>
      <c r="G249" t="s">
        <v>1943</v>
      </c>
      <c r="H249" t="s">
        <v>1661</v>
      </c>
      <c r="I249" t="s">
        <v>1666</v>
      </c>
      <c r="J249" t="s">
        <v>1382</v>
      </c>
      <c r="K249" t="b">
        <v>1</v>
      </c>
      <c r="L249" t="b">
        <v>0</v>
      </c>
      <c r="M249" t="s">
        <v>1382</v>
      </c>
      <c r="N249" t="s">
        <v>1403</v>
      </c>
      <c r="O249" t="s">
        <v>1385</v>
      </c>
      <c r="P249" t="s">
        <v>1404</v>
      </c>
      <c r="Q249" t="s">
        <v>1941</v>
      </c>
    </row>
    <row r="250" spans="1:17" x14ac:dyDescent="0.25">
      <c r="A250" t="s">
        <v>39</v>
      </c>
      <c r="B250" t="s">
        <v>1944</v>
      </c>
      <c r="C250" t="s">
        <v>334</v>
      </c>
      <c r="D250" t="s">
        <v>1411</v>
      </c>
      <c r="E250">
        <v>9462.491</v>
      </c>
      <c r="F250" t="s">
        <v>1477</v>
      </c>
      <c r="G250" t="s">
        <v>1945</v>
      </c>
      <c r="H250" t="s">
        <v>1661</v>
      </c>
      <c r="I250" t="s">
        <v>1669</v>
      </c>
      <c r="J250" t="s">
        <v>1382</v>
      </c>
      <c r="K250" t="b">
        <v>1</v>
      </c>
      <c r="L250" t="b">
        <v>0</v>
      </c>
      <c r="M250" t="s">
        <v>1382</v>
      </c>
      <c r="N250" t="s">
        <v>1403</v>
      </c>
      <c r="O250" t="s">
        <v>1385</v>
      </c>
      <c r="P250" t="s">
        <v>1404</v>
      </c>
      <c r="Q250" t="s">
        <v>1941</v>
      </c>
    </row>
    <row r="251" spans="1:17" x14ac:dyDescent="0.25">
      <c r="A251" t="s">
        <v>39</v>
      </c>
      <c r="B251" t="s">
        <v>1946</v>
      </c>
      <c r="C251" t="s">
        <v>334</v>
      </c>
      <c r="D251" t="s">
        <v>1415</v>
      </c>
      <c r="E251">
        <v>9698.752</v>
      </c>
      <c r="F251" t="s">
        <v>1477</v>
      </c>
      <c r="G251" t="s">
        <v>1947</v>
      </c>
      <c r="H251" t="s">
        <v>1661</v>
      </c>
      <c r="I251" t="s">
        <v>1672</v>
      </c>
      <c r="J251" t="s">
        <v>1382</v>
      </c>
      <c r="K251" t="b">
        <v>1</v>
      </c>
      <c r="L251" t="b">
        <v>0</v>
      </c>
      <c r="M251" t="s">
        <v>1382</v>
      </c>
      <c r="N251" t="s">
        <v>1403</v>
      </c>
      <c r="O251" t="s">
        <v>1385</v>
      </c>
      <c r="P251" t="s">
        <v>1404</v>
      </c>
      <c r="Q251" t="s">
        <v>1941</v>
      </c>
    </row>
    <row r="252" spans="1:17" x14ac:dyDescent="0.25">
      <c r="A252" t="s">
        <v>39</v>
      </c>
      <c r="B252" t="s">
        <v>1948</v>
      </c>
      <c r="C252" t="s">
        <v>334</v>
      </c>
      <c r="D252" t="s">
        <v>1389</v>
      </c>
      <c r="E252">
        <v>9917.278</v>
      </c>
      <c r="F252" t="s">
        <v>1477</v>
      </c>
      <c r="G252" t="s">
        <v>1949</v>
      </c>
      <c r="H252" t="s">
        <v>1661</v>
      </c>
      <c r="I252" t="s">
        <v>1402</v>
      </c>
      <c r="J252" t="s">
        <v>1382</v>
      </c>
      <c r="K252" t="b">
        <v>1</v>
      </c>
      <c r="L252" t="b">
        <v>0</v>
      </c>
      <c r="M252" t="s">
        <v>1382</v>
      </c>
      <c r="N252" t="s">
        <v>1403</v>
      </c>
      <c r="O252" t="s">
        <v>1385</v>
      </c>
      <c r="P252" t="s">
        <v>1404</v>
      </c>
      <c r="Q252" t="s">
        <v>1941</v>
      </c>
    </row>
    <row r="253" spans="1:17" x14ac:dyDescent="0.25">
      <c r="A253" t="s">
        <v>39</v>
      </c>
      <c r="B253" t="s">
        <v>1950</v>
      </c>
      <c r="C253" t="s">
        <v>334</v>
      </c>
      <c r="D253" t="s">
        <v>1422</v>
      </c>
      <c r="E253">
        <v>12666.6</v>
      </c>
      <c r="F253" t="s">
        <v>1477</v>
      </c>
      <c r="G253" t="s">
        <v>1951</v>
      </c>
      <c r="H253" t="s">
        <v>1661</v>
      </c>
      <c r="I253" t="s">
        <v>1409</v>
      </c>
      <c r="J253" t="s">
        <v>1382</v>
      </c>
      <c r="K253" t="b">
        <v>1</v>
      </c>
      <c r="L253" t="b">
        <v>0</v>
      </c>
      <c r="M253" t="s">
        <v>1382</v>
      </c>
      <c r="N253" t="s">
        <v>1403</v>
      </c>
      <c r="O253" t="s">
        <v>1385</v>
      </c>
      <c r="P253" t="s">
        <v>1404</v>
      </c>
      <c r="Q253" t="s">
        <v>1941</v>
      </c>
    </row>
    <row r="254" spans="1:17" x14ac:dyDescent="0.25">
      <c r="A254" t="s">
        <v>39</v>
      </c>
      <c r="B254" t="s">
        <v>1952</v>
      </c>
      <c r="C254" t="s">
        <v>334</v>
      </c>
      <c r="D254" t="s">
        <v>1426</v>
      </c>
      <c r="E254">
        <v>12922.012</v>
      </c>
      <c r="F254" t="s">
        <v>1477</v>
      </c>
      <c r="G254" t="s">
        <v>1953</v>
      </c>
      <c r="H254" t="s">
        <v>1661</v>
      </c>
      <c r="I254" t="s">
        <v>1413</v>
      </c>
      <c r="J254" t="s">
        <v>1382</v>
      </c>
      <c r="K254" t="b">
        <v>1</v>
      </c>
      <c r="L254" t="b">
        <v>0</v>
      </c>
      <c r="M254" t="s">
        <v>1382</v>
      </c>
      <c r="N254" t="s">
        <v>1403</v>
      </c>
      <c r="O254" t="s">
        <v>1385</v>
      </c>
      <c r="P254" t="s">
        <v>1404</v>
      </c>
      <c r="Q254" t="s">
        <v>1941</v>
      </c>
    </row>
    <row r="255" spans="1:17" x14ac:dyDescent="0.25">
      <c r="A255" t="s">
        <v>39</v>
      </c>
      <c r="B255" t="s">
        <v>1954</v>
      </c>
      <c r="C255" t="s">
        <v>334</v>
      </c>
      <c r="D255" t="s">
        <v>1430</v>
      </c>
      <c r="E255">
        <v>13530.565</v>
      </c>
      <c r="F255" t="s">
        <v>1477</v>
      </c>
      <c r="G255" t="s">
        <v>1955</v>
      </c>
      <c r="H255" t="s">
        <v>1661</v>
      </c>
      <c r="I255" t="s">
        <v>1486</v>
      </c>
      <c r="J255" t="s">
        <v>1382</v>
      </c>
      <c r="K255" t="b">
        <v>1</v>
      </c>
      <c r="L255" t="b">
        <v>0</v>
      </c>
      <c r="M255" t="s">
        <v>1382</v>
      </c>
      <c r="N255" t="s">
        <v>1403</v>
      </c>
      <c r="O255" t="s">
        <v>1385</v>
      </c>
      <c r="P255" t="s">
        <v>1404</v>
      </c>
      <c r="Q255" t="s">
        <v>1941</v>
      </c>
    </row>
    <row r="256" spans="1:17" x14ac:dyDescent="0.25">
      <c r="A256" t="s">
        <v>39</v>
      </c>
      <c r="B256" t="s">
        <v>1956</v>
      </c>
      <c r="C256" t="s">
        <v>334</v>
      </c>
      <c r="D256" t="s">
        <v>1391</v>
      </c>
      <c r="E256">
        <v>14785.553</v>
      </c>
      <c r="F256" t="s">
        <v>1477</v>
      </c>
      <c r="G256" t="s">
        <v>1957</v>
      </c>
      <c r="H256" t="s">
        <v>1661</v>
      </c>
      <c r="I256" t="s">
        <v>1420</v>
      </c>
      <c r="J256" t="s">
        <v>1382</v>
      </c>
      <c r="K256" t="b">
        <v>1</v>
      </c>
      <c r="L256" t="b">
        <v>0</v>
      </c>
      <c r="M256" t="s">
        <v>1382</v>
      </c>
      <c r="N256" t="s">
        <v>1403</v>
      </c>
      <c r="O256" t="s">
        <v>1385</v>
      </c>
      <c r="P256" t="s">
        <v>1404</v>
      </c>
      <c r="Q256" t="s">
        <v>1941</v>
      </c>
    </row>
    <row r="257" spans="1:17" x14ac:dyDescent="0.25">
      <c r="A257" t="s">
        <v>39</v>
      </c>
      <c r="B257" t="s">
        <v>1958</v>
      </c>
      <c r="C257" t="s">
        <v>334</v>
      </c>
      <c r="D257" t="s">
        <v>1437</v>
      </c>
      <c r="E257">
        <v>15351.967</v>
      </c>
      <c r="F257" t="s">
        <v>1477</v>
      </c>
      <c r="G257" t="s">
        <v>1959</v>
      </c>
      <c r="H257" t="s">
        <v>1661</v>
      </c>
      <c r="I257" t="s">
        <v>1424</v>
      </c>
      <c r="J257" t="s">
        <v>1382</v>
      </c>
      <c r="K257" t="b">
        <v>1</v>
      </c>
      <c r="L257" t="b">
        <v>0</v>
      </c>
      <c r="M257" t="s">
        <v>1382</v>
      </c>
      <c r="N257" t="s">
        <v>1403</v>
      </c>
      <c r="O257" t="s">
        <v>1385</v>
      </c>
      <c r="P257" t="s">
        <v>1404</v>
      </c>
      <c r="Q257" t="s">
        <v>1941</v>
      </c>
    </row>
    <row r="258" spans="1:17" x14ac:dyDescent="0.25">
      <c r="A258" t="s">
        <v>39</v>
      </c>
      <c r="B258" t="s">
        <v>1960</v>
      </c>
      <c r="C258" t="s">
        <v>334</v>
      </c>
      <c r="D258" t="s">
        <v>1439</v>
      </c>
      <c r="E258">
        <v>16013.634</v>
      </c>
      <c r="F258" t="s">
        <v>1477</v>
      </c>
      <c r="G258" t="s">
        <v>1961</v>
      </c>
      <c r="H258" t="s">
        <v>1661</v>
      </c>
      <c r="I258" t="s">
        <v>1428</v>
      </c>
      <c r="J258" t="s">
        <v>1382</v>
      </c>
      <c r="K258" t="b">
        <v>1</v>
      </c>
      <c r="L258" t="b">
        <v>0</v>
      </c>
      <c r="M258" t="s">
        <v>1382</v>
      </c>
      <c r="N258" t="s">
        <v>1403</v>
      </c>
      <c r="O258" t="s">
        <v>1385</v>
      </c>
      <c r="P258" t="s">
        <v>1404</v>
      </c>
      <c r="Q258" t="s">
        <v>1941</v>
      </c>
    </row>
    <row r="259" spans="1:17" x14ac:dyDescent="0.25">
      <c r="A259" t="s">
        <v>39</v>
      </c>
      <c r="B259" t="s">
        <v>1962</v>
      </c>
      <c r="C259" t="s">
        <v>334</v>
      </c>
      <c r="D259" t="s">
        <v>1442</v>
      </c>
      <c r="E259">
        <v>15895.891</v>
      </c>
      <c r="F259" t="s">
        <v>1477</v>
      </c>
      <c r="G259" t="s">
        <v>1963</v>
      </c>
      <c r="H259" t="s">
        <v>1661</v>
      </c>
      <c r="I259" t="s">
        <v>1486</v>
      </c>
      <c r="J259" t="s">
        <v>1382</v>
      </c>
      <c r="K259" t="b">
        <v>1</v>
      </c>
      <c r="L259" t="b">
        <v>0</v>
      </c>
      <c r="M259" t="s">
        <v>1382</v>
      </c>
      <c r="N259" t="s">
        <v>1403</v>
      </c>
      <c r="O259" t="s">
        <v>1385</v>
      </c>
      <c r="P259" t="s">
        <v>1404</v>
      </c>
      <c r="Q259" t="s">
        <v>1964</v>
      </c>
    </row>
    <row r="260" spans="1:17" x14ac:dyDescent="0.25">
      <c r="A260" t="s">
        <v>39</v>
      </c>
      <c r="B260" t="s">
        <v>1965</v>
      </c>
      <c r="C260" t="s">
        <v>339</v>
      </c>
      <c r="D260" t="s">
        <v>1380</v>
      </c>
      <c r="E260">
        <v>1.802</v>
      </c>
      <c r="F260" t="s">
        <v>1400</v>
      </c>
      <c r="G260" t="s">
        <v>1966</v>
      </c>
      <c r="H260" t="s">
        <v>1661</v>
      </c>
      <c r="I260" t="s">
        <v>1662</v>
      </c>
      <c r="J260" t="s">
        <v>1382</v>
      </c>
      <c r="K260" t="b">
        <v>1</v>
      </c>
      <c r="L260" t="b">
        <v>0</v>
      </c>
      <c r="M260" t="s">
        <v>1382</v>
      </c>
      <c r="N260" t="s">
        <v>1403</v>
      </c>
      <c r="O260" t="s">
        <v>1385</v>
      </c>
      <c r="P260" t="s">
        <v>1404</v>
      </c>
      <c r="Q260" t="s">
        <v>1382</v>
      </c>
    </row>
    <row r="261" spans="1:17" x14ac:dyDescent="0.25">
      <c r="A261" t="s">
        <v>39</v>
      </c>
      <c r="B261" t="s">
        <v>1967</v>
      </c>
      <c r="C261" t="s">
        <v>339</v>
      </c>
      <c r="D261" t="s">
        <v>1407</v>
      </c>
      <c r="E261">
        <v>0.406</v>
      </c>
      <c r="F261" t="s">
        <v>1400</v>
      </c>
      <c r="G261" t="s">
        <v>1968</v>
      </c>
      <c r="H261" t="s">
        <v>1661</v>
      </c>
      <c r="I261" t="s">
        <v>1666</v>
      </c>
      <c r="J261" t="s">
        <v>1382</v>
      </c>
      <c r="K261" t="b">
        <v>1</v>
      </c>
      <c r="L261" t="b">
        <v>0</v>
      </c>
      <c r="M261" t="s">
        <v>1382</v>
      </c>
      <c r="N261" t="s">
        <v>1403</v>
      </c>
      <c r="O261" t="s">
        <v>1385</v>
      </c>
      <c r="P261" t="s">
        <v>1404</v>
      </c>
      <c r="Q261" t="s">
        <v>1382</v>
      </c>
    </row>
    <row r="262" spans="1:17" x14ac:dyDescent="0.25">
      <c r="A262" t="s">
        <v>39</v>
      </c>
      <c r="B262" t="s">
        <v>1969</v>
      </c>
      <c r="C262" t="s">
        <v>339</v>
      </c>
      <c r="D262" t="s">
        <v>1411</v>
      </c>
      <c r="E262">
        <v>0.406</v>
      </c>
      <c r="F262" t="s">
        <v>1400</v>
      </c>
      <c r="G262" t="s">
        <v>1968</v>
      </c>
      <c r="H262" t="s">
        <v>1661</v>
      </c>
      <c r="I262" t="s">
        <v>1669</v>
      </c>
      <c r="J262" t="s">
        <v>1382</v>
      </c>
      <c r="K262" t="b">
        <v>1</v>
      </c>
      <c r="L262" t="b">
        <v>0</v>
      </c>
      <c r="M262" t="s">
        <v>1382</v>
      </c>
      <c r="N262" t="s">
        <v>1403</v>
      </c>
      <c r="O262" t="s">
        <v>1385</v>
      </c>
      <c r="P262" t="s">
        <v>1404</v>
      </c>
      <c r="Q262" t="s">
        <v>1382</v>
      </c>
    </row>
    <row r="263" spans="1:17" x14ac:dyDescent="0.25">
      <c r="A263" t="s">
        <v>39</v>
      </c>
      <c r="B263" t="s">
        <v>1970</v>
      </c>
      <c r="C263" t="s">
        <v>339</v>
      </c>
      <c r="D263" t="s">
        <v>1415</v>
      </c>
      <c r="E263">
        <v>0.406</v>
      </c>
      <c r="F263" t="s">
        <v>1400</v>
      </c>
      <c r="G263" t="s">
        <v>1968</v>
      </c>
      <c r="H263" t="s">
        <v>1661</v>
      </c>
      <c r="I263" t="s">
        <v>1672</v>
      </c>
      <c r="J263" t="s">
        <v>1382</v>
      </c>
      <c r="K263" t="b">
        <v>1</v>
      </c>
      <c r="L263" t="b">
        <v>0</v>
      </c>
      <c r="M263" t="s">
        <v>1382</v>
      </c>
      <c r="N263" t="s">
        <v>1403</v>
      </c>
      <c r="O263" t="s">
        <v>1385</v>
      </c>
      <c r="P263" t="s">
        <v>1404</v>
      </c>
      <c r="Q263" t="s">
        <v>1382</v>
      </c>
    </row>
    <row r="264" spans="1:17" x14ac:dyDescent="0.25">
      <c r="A264" t="s">
        <v>39</v>
      </c>
      <c r="B264" t="s">
        <v>1971</v>
      </c>
      <c r="C264" t="s">
        <v>339</v>
      </c>
      <c r="D264" t="s">
        <v>1389</v>
      </c>
      <c r="E264">
        <v>0.406</v>
      </c>
      <c r="F264" t="s">
        <v>1400</v>
      </c>
      <c r="G264" t="s">
        <v>1968</v>
      </c>
      <c r="H264" t="s">
        <v>1661</v>
      </c>
      <c r="I264" t="s">
        <v>1402</v>
      </c>
      <c r="J264" t="s">
        <v>1382</v>
      </c>
      <c r="K264" t="b">
        <v>1</v>
      </c>
      <c r="L264" t="b">
        <v>0</v>
      </c>
      <c r="M264" t="s">
        <v>1382</v>
      </c>
      <c r="N264" t="s">
        <v>1403</v>
      </c>
      <c r="O264" t="s">
        <v>1385</v>
      </c>
      <c r="P264" t="s">
        <v>1404</v>
      </c>
      <c r="Q264" t="s">
        <v>1382</v>
      </c>
    </row>
    <row r="265" spans="1:17" x14ac:dyDescent="0.25">
      <c r="A265" t="s">
        <v>39</v>
      </c>
      <c r="B265" t="s">
        <v>1972</v>
      </c>
      <c r="C265" t="s">
        <v>339</v>
      </c>
      <c r="D265" t="s">
        <v>1422</v>
      </c>
      <c r="E265">
        <v>0.406</v>
      </c>
      <c r="F265" t="s">
        <v>1400</v>
      </c>
      <c r="G265" t="s">
        <v>1968</v>
      </c>
      <c r="H265" t="s">
        <v>1661</v>
      </c>
      <c r="I265" t="s">
        <v>1409</v>
      </c>
      <c r="J265" t="s">
        <v>1382</v>
      </c>
      <c r="K265" t="b">
        <v>1</v>
      </c>
      <c r="L265" t="b">
        <v>0</v>
      </c>
      <c r="M265" t="s">
        <v>1382</v>
      </c>
      <c r="N265" t="s">
        <v>1403</v>
      </c>
      <c r="O265" t="s">
        <v>1385</v>
      </c>
      <c r="P265" t="s">
        <v>1404</v>
      </c>
      <c r="Q265" t="s">
        <v>1382</v>
      </c>
    </row>
    <row r="266" spans="1:17" x14ac:dyDescent="0.25">
      <c r="A266" t="s">
        <v>39</v>
      </c>
      <c r="B266" t="s">
        <v>1973</v>
      </c>
      <c r="C266" t="s">
        <v>339</v>
      </c>
      <c r="D266" t="s">
        <v>1426</v>
      </c>
      <c r="E266">
        <v>0.406</v>
      </c>
      <c r="F266" t="s">
        <v>1400</v>
      </c>
      <c r="G266" t="s">
        <v>1968</v>
      </c>
      <c r="H266" t="s">
        <v>1661</v>
      </c>
      <c r="I266" t="s">
        <v>1413</v>
      </c>
      <c r="J266" t="s">
        <v>1382</v>
      </c>
      <c r="K266" t="b">
        <v>1</v>
      </c>
      <c r="L266" t="b">
        <v>0</v>
      </c>
      <c r="M266" t="s">
        <v>1382</v>
      </c>
      <c r="N266" t="s">
        <v>1403</v>
      </c>
      <c r="O266" t="s">
        <v>1385</v>
      </c>
      <c r="P266" t="s">
        <v>1404</v>
      </c>
      <c r="Q266" t="s">
        <v>1382</v>
      </c>
    </row>
    <row r="267" spans="1:17" x14ac:dyDescent="0.25">
      <c r="A267" t="s">
        <v>39</v>
      </c>
      <c r="B267" t="s">
        <v>1974</v>
      </c>
      <c r="C267" t="s">
        <v>339</v>
      </c>
      <c r="D267" t="s">
        <v>1430</v>
      </c>
      <c r="E267">
        <v>0.406</v>
      </c>
      <c r="F267" t="s">
        <v>1400</v>
      </c>
      <c r="G267" t="s">
        <v>1968</v>
      </c>
      <c r="H267" t="s">
        <v>1661</v>
      </c>
      <c r="I267" t="s">
        <v>1486</v>
      </c>
      <c r="J267" t="s">
        <v>1382</v>
      </c>
      <c r="K267" t="b">
        <v>1</v>
      </c>
      <c r="L267" t="b">
        <v>0</v>
      </c>
      <c r="M267" t="s">
        <v>1382</v>
      </c>
      <c r="N267" t="s">
        <v>1403</v>
      </c>
      <c r="O267" t="s">
        <v>1385</v>
      </c>
      <c r="P267" t="s">
        <v>1404</v>
      </c>
      <c r="Q267" t="s">
        <v>1382</v>
      </c>
    </row>
    <row r="268" spans="1:17" x14ac:dyDescent="0.25">
      <c r="A268" t="s">
        <v>39</v>
      </c>
      <c r="B268" t="s">
        <v>1975</v>
      </c>
      <c r="C268" t="s">
        <v>339</v>
      </c>
      <c r="D268" t="s">
        <v>1391</v>
      </c>
      <c r="E268">
        <v>0.406</v>
      </c>
      <c r="F268" t="s">
        <v>1400</v>
      </c>
      <c r="G268" t="s">
        <v>1968</v>
      </c>
      <c r="H268" t="s">
        <v>1661</v>
      </c>
      <c r="I268" t="s">
        <v>1420</v>
      </c>
      <c r="J268" t="s">
        <v>1382</v>
      </c>
      <c r="K268" t="b">
        <v>1</v>
      </c>
      <c r="L268" t="b">
        <v>0</v>
      </c>
      <c r="M268" t="s">
        <v>1382</v>
      </c>
      <c r="N268" t="s">
        <v>1403</v>
      </c>
      <c r="O268" t="s">
        <v>1385</v>
      </c>
      <c r="P268" t="s">
        <v>1404</v>
      </c>
      <c r="Q268" t="s">
        <v>1382</v>
      </c>
    </row>
    <row r="269" spans="1:17" x14ac:dyDescent="0.25">
      <c r="A269" t="s">
        <v>39</v>
      </c>
      <c r="B269" t="s">
        <v>1976</v>
      </c>
      <c r="C269" t="s">
        <v>339</v>
      </c>
      <c r="D269" t="s">
        <v>1437</v>
      </c>
      <c r="E269">
        <v>0.406</v>
      </c>
      <c r="F269" t="s">
        <v>1400</v>
      </c>
      <c r="G269" t="s">
        <v>1968</v>
      </c>
      <c r="H269" t="s">
        <v>1661</v>
      </c>
      <c r="I269" t="s">
        <v>1424</v>
      </c>
      <c r="J269" t="s">
        <v>1382</v>
      </c>
      <c r="K269" t="b">
        <v>1</v>
      </c>
      <c r="L269" t="b">
        <v>0</v>
      </c>
      <c r="M269" t="s">
        <v>1382</v>
      </c>
      <c r="N269" t="s">
        <v>1403</v>
      </c>
      <c r="O269" t="s">
        <v>1385</v>
      </c>
      <c r="P269" t="s">
        <v>1404</v>
      </c>
      <c r="Q269" t="s">
        <v>1382</v>
      </c>
    </row>
    <row r="270" spans="1:17" x14ac:dyDescent="0.25">
      <c r="A270" t="s">
        <v>39</v>
      </c>
      <c r="B270" t="s">
        <v>1977</v>
      </c>
      <c r="C270" t="s">
        <v>339</v>
      </c>
      <c r="D270" t="s">
        <v>1439</v>
      </c>
      <c r="E270">
        <v>0.406</v>
      </c>
      <c r="F270" t="s">
        <v>1400</v>
      </c>
      <c r="G270" t="s">
        <v>1968</v>
      </c>
      <c r="H270" t="s">
        <v>1661</v>
      </c>
      <c r="I270" t="s">
        <v>1428</v>
      </c>
      <c r="J270" t="s">
        <v>1382</v>
      </c>
      <c r="K270" t="b">
        <v>1</v>
      </c>
      <c r="L270" t="b">
        <v>0</v>
      </c>
      <c r="M270" t="s">
        <v>1382</v>
      </c>
      <c r="N270" t="s">
        <v>1403</v>
      </c>
      <c r="O270" t="s">
        <v>1385</v>
      </c>
      <c r="P270" t="s">
        <v>1404</v>
      </c>
      <c r="Q270" t="s">
        <v>1382</v>
      </c>
    </row>
    <row r="271" spans="1:17" x14ac:dyDescent="0.25">
      <c r="A271" t="s">
        <v>39</v>
      </c>
      <c r="B271" t="s">
        <v>1978</v>
      </c>
      <c r="C271" t="s">
        <v>339</v>
      </c>
      <c r="D271" t="s">
        <v>1442</v>
      </c>
      <c r="E271">
        <v>0.406</v>
      </c>
      <c r="F271" t="s">
        <v>1400</v>
      </c>
      <c r="G271" t="s">
        <v>1968</v>
      </c>
      <c r="H271" t="s">
        <v>1661</v>
      </c>
      <c r="I271" t="s">
        <v>1486</v>
      </c>
      <c r="J271" t="s">
        <v>1382</v>
      </c>
      <c r="K271" t="b">
        <v>1</v>
      </c>
      <c r="L271" t="b">
        <v>0</v>
      </c>
      <c r="M271" t="s">
        <v>1382</v>
      </c>
      <c r="N271" t="s">
        <v>1403</v>
      </c>
      <c r="O271" t="s">
        <v>1385</v>
      </c>
      <c r="P271" t="s">
        <v>1404</v>
      </c>
      <c r="Q271" t="s">
        <v>1382</v>
      </c>
    </row>
    <row r="272" spans="1:17" x14ac:dyDescent="0.25">
      <c r="A272" t="s">
        <v>39</v>
      </c>
      <c r="B272" t="s">
        <v>1979</v>
      </c>
      <c r="C272" t="s">
        <v>340</v>
      </c>
      <c r="D272" t="s">
        <v>1380</v>
      </c>
      <c r="E272">
        <v>2245.734</v>
      </c>
      <c r="F272" t="s">
        <v>1477</v>
      </c>
      <c r="G272" t="s">
        <v>1980</v>
      </c>
      <c r="H272" t="s">
        <v>1661</v>
      </c>
      <c r="I272" t="s">
        <v>1662</v>
      </c>
      <c r="J272" t="s">
        <v>1382</v>
      </c>
      <c r="K272" t="b">
        <v>1</v>
      </c>
      <c r="L272" t="b">
        <v>0</v>
      </c>
      <c r="M272" t="s">
        <v>1382</v>
      </c>
      <c r="N272" t="s">
        <v>1403</v>
      </c>
      <c r="O272" t="s">
        <v>1385</v>
      </c>
      <c r="P272" t="s">
        <v>1404</v>
      </c>
      <c r="Q272" t="s">
        <v>1981</v>
      </c>
    </row>
    <row r="273" spans="1:17" x14ac:dyDescent="0.25">
      <c r="A273" t="s">
        <v>39</v>
      </c>
      <c r="B273" t="s">
        <v>1982</v>
      </c>
      <c r="C273" t="s">
        <v>340</v>
      </c>
      <c r="D273" t="s">
        <v>1407</v>
      </c>
      <c r="E273">
        <v>2196.941</v>
      </c>
      <c r="F273" t="s">
        <v>1477</v>
      </c>
      <c r="G273" t="s">
        <v>1983</v>
      </c>
      <c r="H273" t="s">
        <v>1661</v>
      </c>
      <c r="I273" t="s">
        <v>1666</v>
      </c>
      <c r="J273" t="s">
        <v>1382</v>
      </c>
      <c r="K273" t="b">
        <v>1</v>
      </c>
      <c r="L273" t="b">
        <v>0</v>
      </c>
      <c r="M273" t="s">
        <v>1382</v>
      </c>
      <c r="N273" t="s">
        <v>1403</v>
      </c>
      <c r="O273" t="s">
        <v>1385</v>
      </c>
      <c r="P273" t="s">
        <v>1404</v>
      </c>
      <c r="Q273" t="s">
        <v>1981</v>
      </c>
    </row>
    <row r="274" spans="1:17" x14ac:dyDescent="0.25">
      <c r="A274" t="s">
        <v>39</v>
      </c>
      <c r="B274" t="s">
        <v>1984</v>
      </c>
      <c r="C274" t="s">
        <v>340</v>
      </c>
      <c r="D274" t="s">
        <v>1411</v>
      </c>
      <c r="E274">
        <v>2244.576</v>
      </c>
      <c r="F274" t="s">
        <v>1477</v>
      </c>
      <c r="G274" t="s">
        <v>1985</v>
      </c>
      <c r="H274" t="s">
        <v>1661</v>
      </c>
      <c r="I274" t="s">
        <v>1669</v>
      </c>
      <c r="J274" t="s">
        <v>1382</v>
      </c>
      <c r="K274" t="b">
        <v>1</v>
      </c>
      <c r="L274" t="b">
        <v>0</v>
      </c>
      <c r="M274" t="s">
        <v>1382</v>
      </c>
      <c r="N274" t="s">
        <v>1403</v>
      </c>
      <c r="O274" t="s">
        <v>1385</v>
      </c>
      <c r="P274" t="s">
        <v>1404</v>
      </c>
      <c r="Q274" t="s">
        <v>1981</v>
      </c>
    </row>
    <row r="275" spans="1:17" x14ac:dyDescent="0.25">
      <c r="A275" t="s">
        <v>39</v>
      </c>
      <c r="B275" t="s">
        <v>1986</v>
      </c>
      <c r="C275" t="s">
        <v>340</v>
      </c>
      <c r="D275" t="s">
        <v>1415</v>
      </c>
      <c r="E275">
        <v>2255.528</v>
      </c>
      <c r="F275" t="s">
        <v>1477</v>
      </c>
      <c r="G275" t="s">
        <v>1987</v>
      </c>
      <c r="H275" t="s">
        <v>1661</v>
      </c>
      <c r="I275" t="s">
        <v>1672</v>
      </c>
      <c r="J275" t="s">
        <v>1382</v>
      </c>
      <c r="K275" t="b">
        <v>1</v>
      </c>
      <c r="L275" t="b">
        <v>0</v>
      </c>
      <c r="M275" t="s">
        <v>1382</v>
      </c>
      <c r="N275" t="s">
        <v>1403</v>
      </c>
      <c r="O275" t="s">
        <v>1385</v>
      </c>
      <c r="P275" t="s">
        <v>1404</v>
      </c>
      <c r="Q275" t="s">
        <v>1981</v>
      </c>
    </row>
    <row r="276" spans="1:17" x14ac:dyDescent="0.25">
      <c r="A276" t="s">
        <v>39</v>
      </c>
      <c r="B276" t="s">
        <v>1988</v>
      </c>
      <c r="C276" t="s">
        <v>340</v>
      </c>
      <c r="D276" t="s">
        <v>1389</v>
      </c>
      <c r="E276">
        <v>2238.627</v>
      </c>
      <c r="F276" t="s">
        <v>1477</v>
      </c>
      <c r="G276" t="s">
        <v>1989</v>
      </c>
      <c r="H276" t="s">
        <v>1661</v>
      </c>
      <c r="I276" t="s">
        <v>1402</v>
      </c>
      <c r="J276" t="s">
        <v>1382</v>
      </c>
      <c r="K276" t="b">
        <v>1</v>
      </c>
      <c r="L276" t="b">
        <v>0</v>
      </c>
      <c r="M276" t="s">
        <v>1382</v>
      </c>
      <c r="N276" t="s">
        <v>1403</v>
      </c>
      <c r="O276" t="s">
        <v>1385</v>
      </c>
      <c r="P276" t="s">
        <v>1404</v>
      </c>
      <c r="Q276" t="s">
        <v>1981</v>
      </c>
    </row>
    <row r="277" spans="1:17" x14ac:dyDescent="0.25">
      <c r="A277" t="s">
        <v>39</v>
      </c>
      <c r="B277" t="s">
        <v>1990</v>
      </c>
      <c r="C277" t="s">
        <v>340</v>
      </c>
      <c r="D277" t="s">
        <v>1422</v>
      </c>
      <c r="E277">
        <v>2263.244</v>
      </c>
      <c r="F277" t="s">
        <v>1477</v>
      </c>
      <c r="G277" t="s">
        <v>1991</v>
      </c>
      <c r="H277" t="s">
        <v>1661</v>
      </c>
      <c r="I277" t="s">
        <v>1409</v>
      </c>
      <c r="J277" t="s">
        <v>1382</v>
      </c>
      <c r="K277" t="b">
        <v>1</v>
      </c>
      <c r="L277" t="b">
        <v>0</v>
      </c>
      <c r="M277" t="s">
        <v>1382</v>
      </c>
      <c r="N277" t="s">
        <v>1403</v>
      </c>
      <c r="O277" t="s">
        <v>1385</v>
      </c>
      <c r="P277" t="s">
        <v>1404</v>
      </c>
      <c r="Q277" t="s">
        <v>1981</v>
      </c>
    </row>
    <row r="278" spans="1:17" x14ac:dyDescent="0.25">
      <c r="A278" t="s">
        <v>39</v>
      </c>
      <c r="B278" t="s">
        <v>1992</v>
      </c>
      <c r="C278" t="s">
        <v>340</v>
      </c>
      <c r="D278" t="s">
        <v>1426</v>
      </c>
      <c r="E278">
        <v>2291.777</v>
      </c>
      <c r="F278" t="s">
        <v>1477</v>
      </c>
      <c r="G278" t="s">
        <v>1993</v>
      </c>
      <c r="H278" t="s">
        <v>1661</v>
      </c>
      <c r="I278" t="s">
        <v>1413</v>
      </c>
      <c r="J278" t="s">
        <v>1382</v>
      </c>
      <c r="K278" t="b">
        <v>1</v>
      </c>
      <c r="L278" t="b">
        <v>0</v>
      </c>
      <c r="M278" t="s">
        <v>1382</v>
      </c>
      <c r="N278" t="s">
        <v>1403</v>
      </c>
      <c r="O278" t="s">
        <v>1385</v>
      </c>
      <c r="P278" t="s">
        <v>1404</v>
      </c>
      <c r="Q278" t="s">
        <v>1981</v>
      </c>
    </row>
    <row r="279" spans="1:17" x14ac:dyDescent="0.25">
      <c r="A279" t="s">
        <v>39</v>
      </c>
      <c r="B279" t="s">
        <v>1994</v>
      </c>
      <c r="C279" t="s">
        <v>340</v>
      </c>
      <c r="D279" t="s">
        <v>1430</v>
      </c>
      <c r="E279">
        <v>2309.758</v>
      </c>
      <c r="F279" t="s">
        <v>1477</v>
      </c>
      <c r="G279" t="s">
        <v>1995</v>
      </c>
      <c r="H279" t="s">
        <v>1661</v>
      </c>
      <c r="I279" t="s">
        <v>1486</v>
      </c>
      <c r="J279" t="s">
        <v>1382</v>
      </c>
      <c r="K279" t="b">
        <v>1</v>
      </c>
      <c r="L279" t="b">
        <v>0</v>
      </c>
      <c r="M279" t="s">
        <v>1382</v>
      </c>
      <c r="N279" t="s">
        <v>1403</v>
      </c>
      <c r="O279" t="s">
        <v>1385</v>
      </c>
      <c r="P279" t="s">
        <v>1404</v>
      </c>
      <c r="Q279" t="s">
        <v>1981</v>
      </c>
    </row>
    <row r="280" spans="1:17" x14ac:dyDescent="0.25">
      <c r="A280" t="s">
        <v>39</v>
      </c>
      <c r="B280" t="s">
        <v>1996</v>
      </c>
      <c r="C280" t="s">
        <v>340</v>
      </c>
      <c r="D280" t="s">
        <v>1391</v>
      </c>
      <c r="E280">
        <v>2300.443</v>
      </c>
      <c r="F280" t="s">
        <v>1477</v>
      </c>
      <c r="G280" t="s">
        <v>1997</v>
      </c>
      <c r="H280" t="s">
        <v>1661</v>
      </c>
      <c r="I280" t="s">
        <v>1420</v>
      </c>
      <c r="J280" t="s">
        <v>1382</v>
      </c>
      <c r="K280" t="b">
        <v>1</v>
      </c>
      <c r="L280" t="b">
        <v>0</v>
      </c>
      <c r="M280" t="s">
        <v>1382</v>
      </c>
      <c r="N280" t="s">
        <v>1403</v>
      </c>
      <c r="O280" t="s">
        <v>1385</v>
      </c>
      <c r="P280" t="s">
        <v>1404</v>
      </c>
      <c r="Q280" t="s">
        <v>1981</v>
      </c>
    </row>
    <row r="281" spans="1:17" x14ac:dyDescent="0.25">
      <c r="A281" t="s">
        <v>39</v>
      </c>
      <c r="B281" t="s">
        <v>1998</v>
      </c>
      <c r="C281" t="s">
        <v>340</v>
      </c>
      <c r="D281" t="s">
        <v>1437</v>
      </c>
      <c r="E281">
        <v>2335.685</v>
      </c>
      <c r="F281" t="s">
        <v>1477</v>
      </c>
      <c r="G281" t="s">
        <v>1999</v>
      </c>
      <c r="H281" t="s">
        <v>1661</v>
      </c>
      <c r="I281" t="s">
        <v>1424</v>
      </c>
      <c r="J281" t="s">
        <v>1382</v>
      </c>
      <c r="K281" t="b">
        <v>1</v>
      </c>
      <c r="L281" t="b">
        <v>0</v>
      </c>
      <c r="M281" t="s">
        <v>1382</v>
      </c>
      <c r="N281" t="s">
        <v>1403</v>
      </c>
      <c r="O281" t="s">
        <v>1385</v>
      </c>
      <c r="P281" t="s">
        <v>1404</v>
      </c>
      <c r="Q281" t="s">
        <v>1981</v>
      </c>
    </row>
    <row r="282" spans="1:17" x14ac:dyDescent="0.25">
      <c r="A282" t="s">
        <v>39</v>
      </c>
      <c r="B282" t="s">
        <v>2000</v>
      </c>
      <c r="C282" t="s">
        <v>340</v>
      </c>
      <c r="D282" t="s">
        <v>1439</v>
      </c>
      <c r="E282">
        <v>2351.744</v>
      </c>
      <c r="F282" t="s">
        <v>1477</v>
      </c>
      <c r="G282" t="s">
        <v>2001</v>
      </c>
      <c r="H282" t="s">
        <v>1661</v>
      </c>
      <c r="I282" t="s">
        <v>1428</v>
      </c>
      <c r="J282" t="s">
        <v>1382</v>
      </c>
      <c r="K282" t="b">
        <v>1</v>
      </c>
      <c r="L282" t="b">
        <v>0</v>
      </c>
      <c r="M282" t="s">
        <v>1382</v>
      </c>
      <c r="N282" t="s">
        <v>1403</v>
      </c>
      <c r="O282" t="s">
        <v>1385</v>
      </c>
      <c r="P282" t="s">
        <v>1404</v>
      </c>
      <c r="Q282" t="s">
        <v>1981</v>
      </c>
    </row>
    <row r="283" spans="1:17" x14ac:dyDescent="0.25">
      <c r="A283" t="s">
        <v>39</v>
      </c>
      <c r="B283" t="s">
        <v>2002</v>
      </c>
      <c r="C283" t="s">
        <v>340</v>
      </c>
      <c r="D283" t="s">
        <v>1442</v>
      </c>
      <c r="E283">
        <v>2384.305</v>
      </c>
      <c r="F283" t="s">
        <v>1477</v>
      </c>
      <c r="G283" t="s">
        <v>2003</v>
      </c>
      <c r="H283" t="s">
        <v>1661</v>
      </c>
      <c r="I283" t="s">
        <v>1486</v>
      </c>
      <c r="J283" t="s">
        <v>1382</v>
      </c>
      <c r="K283" t="b">
        <v>1</v>
      </c>
      <c r="L283" t="b">
        <v>0</v>
      </c>
      <c r="M283" t="s">
        <v>1382</v>
      </c>
      <c r="N283" t="s">
        <v>1403</v>
      </c>
      <c r="O283" t="s">
        <v>1385</v>
      </c>
      <c r="P283" t="s">
        <v>1404</v>
      </c>
      <c r="Q283" t="s">
        <v>2004</v>
      </c>
    </row>
    <row r="284" spans="1:17" x14ac:dyDescent="0.25">
      <c r="A284" t="s">
        <v>39</v>
      </c>
      <c r="B284" t="s">
        <v>2005</v>
      </c>
      <c r="C284" t="s">
        <v>341</v>
      </c>
      <c r="D284" t="s">
        <v>1380</v>
      </c>
      <c r="E284">
        <v>7930.615</v>
      </c>
      <c r="F284" t="s">
        <v>1400</v>
      </c>
      <c r="G284" t="s">
        <v>2006</v>
      </c>
      <c r="H284" t="s">
        <v>1661</v>
      </c>
      <c r="I284" t="s">
        <v>1662</v>
      </c>
      <c r="J284" t="s">
        <v>1382</v>
      </c>
      <c r="K284" t="b">
        <v>1</v>
      </c>
      <c r="L284" t="b">
        <v>0</v>
      </c>
      <c r="M284" t="s">
        <v>1382</v>
      </c>
      <c r="N284" t="s">
        <v>1403</v>
      </c>
      <c r="O284" t="s">
        <v>1385</v>
      </c>
      <c r="P284" t="s">
        <v>1404</v>
      </c>
      <c r="Q284" t="s">
        <v>1382</v>
      </c>
    </row>
    <row r="285" spans="1:17" x14ac:dyDescent="0.25">
      <c r="A285" t="s">
        <v>39</v>
      </c>
      <c r="B285" t="s">
        <v>2007</v>
      </c>
      <c r="C285" t="s">
        <v>341</v>
      </c>
      <c r="D285" t="s">
        <v>1407</v>
      </c>
      <c r="E285">
        <v>7868.766</v>
      </c>
      <c r="F285" t="s">
        <v>1400</v>
      </c>
      <c r="G285" t="s">
        <v>2008</v>
      </c>
      <c r="H285" t="s">
        <v>1661</v>
      </c>
      <c r="I285" t="s">
        <v>1666</v>
      </c>
      <c r="J285" t="s">
        <v>1382</v>
      </c>
      <c r="K285" t="b">
        <v>1</v>
      </c>
      <c r="L285" t="b">
        <v>0</v>
      </c>
      <c r="M285" t="s">
        <v>1382</v>
      </c>
      <c r="N285" t="s">
        <v>1403</v>
      </c>
      <c r="O285" t="s">
        <v>1385</v>
      </c>
      <c r="P285" t="s">
        <v>1404</v>
      </c>
      <c r="Q285" t="s">
        <v>1382</v>
      </c>
    </row>
    <row r="286" spans="1:17" x14ac:dyDescent="0.25">
      <c r="A286" t="s">
        <v>39</v>
      </c>
      <c r="B286" t="s">
        <v>2009</v>
      </c>
      <c r="C286" t="s">
        <v>341</v>
      </c>
      <c r="D286" t="s">
        <v>1411</v>
      </c>
      <c r="E286">
        <v>7852.522</v>
      </c>
      <c r="F286" t="s">
        <v>1400</v>
      </c>
      <c r="G286" t="s">
        <v>2010</v>
      </c>
      <c r="H286" t="s">
        <v>1661</v>
      </c>
      <c r="I286" t="s">
        <v>1669</v>
      </c>
      <c r="J286" t="s">
        <v>1382</v>
      </c>
      <c r="K286" t="b">
        <v>1</v>
      </c>
      <c r="L286" t="b">
        <v>0</v>
      </c>
      <c r="M286" t="s">
        <v>1382</v>
      </c>
      <c r="N286" t="s">
        <v>1403</v>
      </c>
      <c r="O286" t="s">
        <v>1385</v>
      </c>
      <c r="P286" t="s">
        <v>1404</v>
      </c>
      <c r="Q286" t="s">
        <v>1382</v>
      </c>
    </row>
    <row r="287" spans="1:17" x14ac:dyDescent="0.25">
      <c r="A287" t="s">
        <v>39</v>
      </c>
      <c r="B287" t="s">
        <v>2011</v>
      </c>
      <c r="C287" t="s">
        <v>341</v>
      </c>
      <c r="D287" t="s">
        <v>1415</v>
      </c>
      <c r="E287">
        <v>7849.844</v>
      </c>
      <c r="F287" t="s">
        <v>1400</v>
      </c>
      <c r="G287" t="s">
        <v>2012</v>
      </c>
      <c r="H287" t="s">
        <v>1661</v>
      </c>
      <c r="I287" t="s">
        <v>1672</v>
      </c>
      <c r="J287" t="s">
        <v>1382</v>
      </c>
      <c r="K287" t="b">
        <v>1</v>
      </c>
      <c r="L287" t="b">
        <v>0</v>
      </c>
      <c r="M287" t="s">
        <v>1382</v>
      </c>
      <c r="N287" t="s">
        <v>1403</v>
      </c>
      <c r="O287" t="s">
        <v>1385</v>
      </c>
      <c r="P287" t="s">
        <v>1404</v>
      </c>
      <c r="Q287" t="s">
        <v>1382</v>
      </c>
    </row>
    <row r="288" spans="1:17" x14ac:dyDescent="0.25">
      <c r="A288" t="s">
        <v>39</v>
      </c>
      <c r="B288" t="s">
        <v>2013</v>
      </c>
      <c r="C288" t="s">
        <v>341</v>
      </c>
      <c r="D288" t="s">
        <v>1389</v>
      </c>
      <c r="E288">
        <v>7937.908</v>
      </c>
      <c r="F288" t="s">
        <v>1400</v>
      </c>
      <c r="G288" t="s">
        <v>2014</v>
      </c>
      <c r="H288" t="s">
        <v>1661</v>
      </c>
      <c r="I288" t="s">
        <v>1402</v>
      </c>
      <c r="J288" t="s">
        <v>1382</v>
      </c>
      <c r="K288" t="b">
        <v>1</v>
      </c>
      <c r="L288" t="b">
        <v>0</v>
      </c>
      <c r="M288" t="s">
        <v>1382</v>
      </c>
      <c r="N288" t="s">
        <v>1403</v>
      </c>
      <c r="O288" t="s">
        <v>1385</v>
      </c>
      <c r="P288" t="s">
        <v>1404</v>
      </c>
      <c r="Q288" t="s">
        <v>1382</v>
      </c>
    </row>
    <row r="289" spans="1:17" x14ac:dyDescent="0.25">
      <c r="A289" t="s">
        <v>39</v>
      </c>
      <c r="B289" t="s">
        <v>2015</v>
      </c>
      <c r="C289" t="s">
        <v>341</v>
      </c>
      <c r="D289" t="s">
        <v>1422</v>
      </c>
      <c r="E289">
        <v>8022.546</v>
      </c>
      <c r="F289" t="s">
        <v>1400</v>
      </c>
      <c r="G289" t="s">
        <v>2016</v>
      </c>
      <c r="H289" t="s">
        <v>1661</v>
      </c>
      <c r="I289" t="s">
        <v>1409</v>
      </c>
      <c r="J289" t="s">
        <v>1382</v>
      </c>
      <c r="K289" t="b">
        <v>1</v>
      </c>
      <c r="L289" t="b">
        <v>0</v>
      </c>
      <c r="M289" t="s">
        <v>1382</v>
      </c>
      <c r="N289" t="s">
        <v>1403</v>
      </c>
      <c r="O289" t="s">
        <v>1385</v>
      </c>
      <c r="P289" t="s">
        <v>1404</v>
      </c>
      <c r="Q289" t="s">
        <v>1382</v>
      </c>
    </row>
    <row r="290" spans="1:17" x14ac:dyDescent="0.25">
      <c r="A290" t="s">
        <v>39</v>
      </c>
      <c r="B290" t="s">
        <v>2017</v>
      </c>
      <c r="C290" t="s">
        <v>341</v>
      </c>
      <c r="D290" t="s">
        <v>1426</v>
      </c>
      <c r="E290">
        <v>8124.134</v>
      </c>
      <c r="F290" t="s">
        <v>1400</v>
      </c>
      <c r="G290" t="s">
        <v>2018</v>
      </c>
      <c r="H290" t="s">
        <v>1661</v>
      </c>
      <c r="I290" t="s">
        <v>1413</v>
      </c>
      <c r="J290" t="s">
        <v>1382</v>
      </c>
      <c r="K290" t="b">
        <v>1</v>
      </c>
      <c r="L290" t="b">
        <v>0</v>
      </c>
      <c r="M290" t="s">
        <v>1382</v>
      </c>
      <c r="N290" t="s">
        <v>1403</v>
      </c>
      <c r="O290" t="s">
        <v>1385</v>
      </c>
      <c r="P290" t="s">
        <v>1404</v>
      </c>
      <c r="Q290" t="s">
        <v>1382</v>
      </c>
    </row>
    <row r="291" spans="1:17" x14ac:dyDescent="0.25">
      <c r="A291" t="s">
        <v>39</v>
      </c>
      <c r="B291" t="s">
        <v>2019</v>
      </c>
      <c r="C291" t="s">
        <v>341</v>
      </c>
      <c r="D291" t="s">
        <v>1430</v>
      </c>
      <c r="E291">
        <v>8270.145</v>
      </c>
      <c r="F291" t="s">
        <v>1400</v>
      </c>
      <c r="G291" t="s">
        <v>2020</v>
      </c>
      <c r="H291" t="s">
        <v>1661</v>
      </c>
      <c r="I291" t="s">
        <v>1486</v>
      </c>
      <c r="J291" t="s">
        <v>1382</v>
      </c>
      <c r="K291" t="b">
        <v>1</v>
      </c>
      <c r="L291" t="b">
        <v>0</v>
      </c>
      <c r="M291" t="s">
        <v>1382</v>
      </c>
      <c r="N291" t="s">
        <v>1403</v>
      </c>
      <c r="O291" t="s">
        <v>1385</v>
      </c>
      <c r="P291" t="s">
        <v>1404</v>
      </c>
      <c r="Q291" t="s">
        <v>1382</v>
      </c>
    </row>
    <row r="292" spans="1:17" x14ac:dyDescent="0.25">
      <c r="A292" t="s">
        <v>39</v>
      </c>
      <c r="B292" t="s">
        <v>2021</v>
      </c>
      <c r="C292" t="s">
        <v>341</v>
      </c>
      <c r="D292" t="s">
        <v>1391</v>
      </c>
      <c r="E292">
        <v>8311.857</v>
      </c>
      <c r="F292" t="s">
        <v>1400</v>
      </c>
      <c r="G292" t="s">
        <v>2022</v>
      </c>
      <c r="H292" t="s">
        <v>1661</v>
      </c>
      <c r="I292" t="s">
        <v>1420</v>
      </c>
      <c r="J292" t="s">
        <v>1382</v>
      </c>
      <c r="K292" t="b">
        <v>1</v>
      </c>
      <c r="L292" t="b">
        <v>0</v>
      </c>
      <c r="M292" t="s">
        <v>1382</v>
      </c>
      <c r="N292" t="s">
        <v>1403</v>
      </c>
      <c r="O292" t="s">
        <v>1385</v>
      </c>
      <c r="P292" t="s">
        <v>1404</v>
      </c>
      <c r="Q292" t="s">
        <v>1382</v>
      </c>
    </row>
    <row r="293" spans="1:17" x14ac:dyDescent="0.25">
      <c r="A293" t="s">
        <v>39</v>
      </c>
      <c r="B293" t="s">
        <v>2023</v>
      </c>
      <c r="C293" t="s">
        <v>341</v>
      </c>
      <c r="D293" t="s">
        <v>1437</v>
      </c>
      <c r="E293">
        <v>8309.035</v>
      </c>
      <c r="F293" t="s">
        <v>1400</v>
      </c>
      <c r="G293" t="s">
        <v>2024</v>
      </c>
      <c r="H293" t="s">
        <v>1661</v>
      </c>
      <c r="I293" t="s">
        <v>1424</v>
      </c>
      <c r="J293" t="s">
        <v>1382</v>
      </c>
      <c r="K293" t="b">
        <v>1</v>
      </c>
      <c r="L293" t="b">
        <v>0</v>
      </c>
      <c r="M293" t="s">
        <v>1382</v>
      </c>
      <c r="N293" t="s">
        <v>1403</v>
      </c>
      <c r="O293" t="s">
        <v>1385</v>
      </c>
      <c r="P293" t="s">
        <v>1404</v>
      </c>
      <c r="Q293" t="s">
        <v>1382</v>
      </c>
    </row>
    <row r="294" spans="1:17" x14ac:dyDescent="0.25">
      <c r="A294" t="s">
        <v>39</v>
      </c>
      <c r="B294" t="s">
        <v>2025</v>
      </c>
      <c r="C294" t="s">
        <v>341</v>
      </c>
      <c r="D294" t="s">
        <v>1439</v>
      </c>
      <c r="E294">
        <v>8461.907</v>
      </c>
      <c r="F294" t="s">
        <v>1400</v>
      </c>
      <c r="G294" t="s">
        <v>2026</v>
      </c>
      <c r="H294" t="s">
        <v>1661</v>
      </c>
      <c r="I294" t="s">
        <v>1428</v>
      </c>
      <c r="J294" t="s">
        <v>1382</v>
      </c>
      <c r="K294" t="b">
        <v>1</v>
      </c>
      <c r="L294" t="b">
        <v>0</v>
      </c>
      <c r="M294" t="s">
        <v>1382</v>
      </c>
      <c r="N294" t="s">
        <v>1403</v>
      </c>
      <c r="O294" t="s">
        <v>1385</v>
      </c>
      <c r="P294" t="s">
        <v>1404</v>
      </c>
      <c r="Q294" t="s">
        <v>1382</v>
      </c>
    </row>
    <row r="295" spans="1:17" x14ac:dyDescent="0.25">
      <c r="A295" t="s">
        <v>39</v>
      </c>
      <c r="B295" t="s">
        <v>2027</v>
      </c>
      <c r="C295" t="s">
        <v>341</v>
      </c>
      <c r="D295" t="s">
        <v>1442</v>
      </c>
      <c r="E295">
        <v>8574.825</v>
      </c>
      <c r="F295" t="s">
        <v>1400</v>
      </c>
      <c r="G295" t="s">
        <v>2028</v>
      </c>
      <c r="H295" t="s">
        <v>1661</v>
      </c>
      <c r="I295" t="s">
        <v>1486</v>
      </c>
      <c r="J295" t="s">
        <v>1382</v>
      </c>
      <c r="K295" t="b">
        <v>1</v>
      </c>
      <c r="L295" t="b">
        <v>0</v>
      </c>
      <c r="M295" t="s">
        <v>1382</v>
      </c>
      <c r="N295" t="s">
        <v>1403</v>
      </c>
      <c r="O295" t="s">
        <v>1385</v>
      </c>
      <c r="P295" t="s">
        <v>1404</v>
      </c>
      <c r="Q295" t="s">
        <v>1382</v>
      </c>
    </row>
    <row r="296" spans="1:17" x14ac:dyDescent="0.25">
      <c r="A296" t="s">
        <v>39</v>
      </c>
      <c r="B296" t="s">
        <v>2029</v>
      </c>
      <c r="C296" t="s">
        <v>2030</v>
      </c>
      <c r="D296" t="s">
        <v>1380</v>
      </c>
      <c r="E296">
        <v>0</v>
      </c>
      <c r="F296" t="s">
        <v>1477</v>
      </c>
      <c r="G296" t="s">
        <v>2031</v>
      </c>
      <c r="H296" t="s">
        <v>1661</v>
      </c>
      <c r="I296" t="s">
        <v>1382</v>
      </c>
      <c r="J296" t="s">
        <v>1382</v>
      </c>
      <c r="K296" t="b">
        <v>1</v>
      </c>
      <c r="L296" t="b">
        <v>0</v>
      </c>
      <c r="M296" t="s">
        <v>1382</v>
      </c>
      <c r="N296" t="s">
        <v>1403</v>
      </c>
      <c r="O296" t="s">
        <v>1385</v>
      </c>
      <c r="P296" t="s">
        <v>1404</v>
      </c>
      <c r="Q296" t="s">
        <v>2032</v>
      </c>
    </row>
    <row r="297" spans="1:17" x14ac:dyDescent="0.25">
      <c r="A297" t="s">
        <v>39</v>
      </c>
      <c r="B297" t="s">
        <v>2033</v>
      </c>
      <c r="C297" t="s">
        <v>2030</v>
      </c>
      <c r="D297" t="s">
        <v>1407</v>
      </c>
      <c r="E297">
        <v>0</v>
      </c>
      <c r="F297" t="s">
        <v>1477</v>
      </c>
      <c r="G297" t="s">
        <v>2031</v>
      </c>
      <c r="H297" t="s">
        <v>1661</v>
      </c>
      <c r="I297" t="s">
        <v>1382</v>
      </c>
      <c r="J297" t="s">
        <v>1382</v>
      </c>
      <c r="K297" t="b">
        <v>1</v>
      </c>
      <c r="L297" t="b">
        <v>0</v>
      </c>
      <c r="M297" t="s">
        <v>1382</v>
      </c>
      <c r="N297" t="s">
        <v>1403</v>
      </c>
      <c r="O297" t="s">
        <v>1385</v>
      </c>
      <c r="P297" t="s">
        <v>1404</v>
      </c>
      <c r="Q297" t="s">
        <v>2032</v>
      </c>
    </row>
    <row r="298" spans="1:17" x14ac:dyDescent="0.25">
      <c r="A298" t="s">
        <v>39</v>
      </c>
      <c r="B298" t="s">
        <v>2034</v>
      </c>
      <c r="C298" t="s">
        <v>2030</v>
      </c>
      <c r="D298" t="s">
        <v>1411</v>
      </c>
      <c r="E298">
        <v>0</v>
      </c>
      <c r="F298" t="s">
        <v>1477</v>
      </c>
      <c r="G298" t="s">
        <v>2031</v>
      </c>
      <c r="H298" t="s">
        <v>1661</v>
      </c>
      <c r="I298" t="s">
        <v>1382</v>
      </c>
      <c r="J298" t="s">
        <v>1382</v>
      </c>
      <c r="K298" t="b">
        <v>1</v>
      </c>
      <c r="L298" t="b">
        <v>0</v>
      </c>
      <c r="M298" t="s">
        <v>1382</v>
      </c>
      <c r="N298" t="s">
        <v>1403</v>
      </c>
      <c r="O298" t="s">
        <v>1385</v>
      </c>
      <c r="P298" t="s">
        <v>1404</v>
      </c>
      <c r="Q298" t="s">
        <v>2032</v>
      </c>
    </row>
    <row r="299" spans="1:17" x14ac:dyDescent="0.25">
      <c r="A299" t="s">
        <v>39</v>
      </c>
      <c r="B299" t="s">
        <v>2035</v>
      </c>
      <c r="C299" t="s">
        <v>2030</v>
      </c>
      <c r="D299" t="s">
        <v>1415</v>
      </c>
      <c r="E299">
        <v>0</v>
      </c>
      <c r="F299" t="s">
        <v>1477</v>
      </c>
      <c r="G299" t="s">
        <v>2031</v>
      </c>
      <c r="H299" t="s">
        <v>1661</v>
      </c>
      <c r="I299" t="s">
        <v>1382</v>
      </c>
      <c r="J299" t="s">
        <v>1382</v>
      </c>
      <c r="K299" t="b">
        <v>1</v>
      </c>
      <c r="L299" t="b">
        <v>0</v>
      </c>
      <c r="M299" t="s">
        <v>1382</v>
      </c>
      <c r="N299" t="s">
        <v>1403</v>
      </c>
      <c r="O299" t="s">
        <v>1385</v>
      </c>
      <c r="P299" t="s">
        <v>1404</v>
      </c>
      <c r="Q299" t="s">
        <v>2032</v>
      </c>
    </row>
    <row r="300" spans="1:17" x14ac:dyDescent="0.25">
      <c r="A300" t="s">
        <v>39</v>
      </c>
      <c r="B300" t="s">
        <v>2036</v>
      </c>
      <c r="C300" t="s">
        <v>2030</v>
      </c>
      <c r="D300" t="s">
        <v>1389</v>
      </c>
      <c r="E300">
        <v>0</v>
      </c>
      <c r="F300" t="s">
        <v>1477</v>
      </c>
      <c r="G300" t="s">
        <v>2031</v>
      </c>
      <c r="H300" t="s">
        <v>1661</v>
      </c>
      <c r="I300" t="s">
        <v>1382</v>
      </c>
      <c r="J300" t="s">
        <v>1382</v>
      </c>
      <c r="K300" t="b">
        <v>1</v>
      </c>
      <c r="L300" t="b">
        <v>0</v>
      </c>
      <c r="M300" t="s">
        <v>1382</v>
      </c>
      <c r="N300" t="s">
        <v>1403</v>
      </c>
      <c r="O300" t="s">
        <v>1385</v>
      </c>
      <c r="P300" t="s">
        <v>1404</v>
      </c>
      <c r="Q300" t="s">
        <v>2032</v>
      </c>
    </row>
    <row r="301" spans="1:17" x14ac:dyDescent="0.25">
      <c r="A301" t="s">
        <v>39</v>
      </c>
      <c r="B301" t="s">
        <v>2037</v>
      </c>
      <c r="C301" t="s">
        <v>2030</v>
      </c>
      <c r="D301" t="s">
        <v>1422</v>
      </c>
      <c r="E301">
        <v>0</v>
      </c>
      <c r="F301" t="s">
        <v>1477</v>
      </c>
      <c r="G301" t="s">
        <v>2031</v>
      </c>
      <c r="H301" t="s">
        <v>1661</v>
      </c>
      <c r="I301" t="s">
        <v>1382</v>
      </c>
      <c r="J301" t="s">
        <v>1382</v>
      </c>
      <c r="K301" t="b">
        <v>1</v>
      </c>
      <c r="L301" t="b">
        <v>0</v>
      </c>
      <c r="M301" t="s">
        <v>1382</v>
      </c>
      <c r="N301" t="s">
        <v>1403</v>
      </c>
      <c r="O301" t="s">
        <v>1385</v>
      </c>
      <c r="P301" t="s">
        <v>1404</v>
      </c>
      <c r="Q301" t="s">
        <v>2032</v>
      </c>
    </row>
    <row r="302" spans="1:17" x14ac:dyDescent="0.25">
      <c r="A302" t="s">
        <v>39</v>
      </c>
      <c r="B302" t="s">
        <v>2038</v>
      </c>
      <c r="C302" t="s">
        <v>2030</v>
      </c>
      <c r="D302" t="s">
        <v>1426</v>
      </c>
      <c r="E302">
        <v>0</v>
      </c>
      <c r="F302" t="s">
        <v>1477</v>
      </c>
      <c r="G302" t="s">
        <v>2031</v>
      </c>
      <c r="H302" t="s">
        <v>1661</v>
      </c>
      <c r="I302" t="s">
        <v>1382</v>
      </c>
      <c r="J302" t="s">
        <v>1382</v>
      </c>
      <c r="K302" t="b">
        <v>1</v>
      </c>
      <c r="L302" t="b">
        <v>0</v>
      </c>
      <c r="M302" t="s">
        <v>1382</v>
      </c>
      <c r="N302" t="s">
        <v>1403</v>
      </c>
      <c r="O302" t="s">
        <v>1385</v>
      </c>
      <c r="P302" t="s">
        <v>1404</v>
      </c>
      <c r="Q302" t="s">
        <v>2032</v>
      </c>
    </row>
    <row r="303" spans="1:17" x14ac:dyDescent="0.25">
      <c r="A303" t="s">
        <v>39</v>
      </c>
      <c r="B303" t="s">
        <v>2039</v>
      </c>
      <c r="C303" t="s">
        <v>2030</v>
      </c>
      <c r="D303" t="s">
        <v>1430</v>
      </c>
      <c r="E303">
        <v>0</v>
      </c>
      <c r="F303" t="s">
        <v>1477</v>
      </c>
      <c r="G303" t="s">
        <v>2031</v>
      </c>
      <c r="H303" t="s">
        <v>1661</v>
      </c>
      <c r="I303" t="s">
        <v>1382</v>
      </c>
      <c r="J303" t="s">
        <v>1382</v>
      </c>
      <c r="K303" t="b">
        <v>1</v>
      </c>
      <c r="L303" t="b">
        <v>0</v>
      </c>
      <c r="M303" t="s">
        <v>1382</v>
      </c>
      <c r="N303" t="s">
        <v>1403</v>
      </c>
      <c r="O303" t="s">
        <v>1385</v>
      </c>
      <c r="P303" t="s">
        <v>1404</v>
      </c>
      <c r="Q303" t="s">
        <v>2032</v>
      </c>
    </row>
    <row r="304" spans="1:17" x14ac:dyDescent="0.25">
      <c r="A304" t="s">
        <v>39</v>
      </c>
      <c r="B304" t="s">
        <v>2040</v>
      </c>
      <c r="C304" t="s">
        <v>2030</v>
      </c>
      <c r="D304" t="s">
        <v>1391</v>
      </c>
      <c r="E304">
        <v>0</v>
      </c>
      <c r="F304" t="s">
        <v>1477</v>
      </c>
      <c r="G304" t="s">
        <v>2031</v>
      </c>
      <c r="H304" t="s">
        <v>1661</v>
      </c>
      <c r="I304" t="s">
        <v>1382</v>
      </c>
      <c r="J304" t="s">
        <v>1382</v>
      </c>
      <c r="K304" t="b">
        <v>1</v>
      </c>
      <c r="L304" t="b">
        <v>0</v>
      </c>
      <c r="M304" t="s">
        <v>1382</v>
      </c>
      <c r="N304" t="s">
        <v>1403</v>
      </c>
      <c r="O304" t="s">
        <v>1385</v>
      </c>
      <c r="P304" t="s">
        <v>1404</v>
      </c>
      <c r="Q304" t="s">
        <v>2032</v>
      </c>
    </row>
    <row r="305" spans="1:17" x14ac:dyDescent="0.25">
      <c r="A305" t="s">
        <v>39</v>
      </c>
      <c r="B305" t="s">
        <v>2041</v>
      </c>
      <c r="C305" t="s">
        <v>2030</v>
      </c>
      <c r="D305" t="s">
        <v>1437</v>
      </c>
      <c r="E305">
        <v>0</v>
      </c>
      <c r="F305" t="s">
        <v>1477</v>
      </c>
      <c r="G305" t="s">
        <v>2031</v>
      </c>
      <c r="H305" t="s">
        <v>1661</v>
      </c>
      <c r="I305" t="s">
        <v>1382</v>
      </c>
      <c r="J305" t="s">
        <v>1382</v>
      </c>
      <c r="K305" t="b">
        <v>1</v>
      </c>
      <c r="L305" t="b">
        <v>0</v>
      </c>
      <c r="M305" t="s">
        <v>1382</v>
      </c>
      <c r="N305" t="s">
        <v>1403</v>
      </c>
      <c r="O305" t="s">
        <v>1385</v>
      </c>
      <c r="P305" t="s">
        <v>1404</v>
      </c>
      <c r="Q305" t="s">
        <v>2032</v>
      </c>
    </row>
    <row r="306" spans="1:17" x14ac:dyDescent="0.25">
      <c r="A306" t="s">
        <v>39</v>
      </c>
      <c r="B306" t="s">
        <v>2042</v>
      </c>
      <c r="C306" t="s">
        <v>2030</v>
      </c>
      <c r="D306" t="s">
        <v>1439</v>
      </c>
      <c r="E306">
        <v>0</v>
      </c>
      <c r="F306" t="s">
        <v>1477</v>
      </c>
      <c r="G306" t="s">
        <v>2031</v>
      </c>
      <c r="H306" t="s">
        <v>1661</v>
      </c>
      <c r="I306" t="s">
        <v>1382</v>
      </c>
      <c r="J306" t="s">
        <v>1382</v>
      </c>
      <c r="K306" t="b">
        <v>1</v>
      </c>
      <c r="L306" t="b">
        <v>0</v>
      </c>
      <c r="M306" t="s">
        <v>1382</v>
      </c>
      <c r="N306" t="s">
        <v>1403</v>
      </c>
      <c r="O306" t="s">
        <v>1385</v>
      </c>
      <c r="P306" t="s">
        <v>1404</v>
      </c>
      <c r="Q306" t="s">
        <v>2032</v>
      </c>
    </row>
    <row r="307" spans="1:17" x14ac:dyDescent="0.25">
      <c r="A307" t="s">
        <v>39</v>
      </c>
      <c r="B307" t="s">
        <v>2043</v>
      </c>
      <c r="C307" t="s">
        <v>2030</v>
      </c>
      <c r="D307" t="s">
        <v>1442</v>
      </c>
      <c r="E307">
        <v>0</v>
      </c>
      <c r="F307" t="s">
        <v>1477</v>
      </c>
      <c r="G307" t="s">
        <v>2031</v>
      </c>
      <c r="H307" t="s">
        <v>1661</v>
      </c>
      <c r="I307" t="s">
        <v>1382</v>
      </c>
      <c r="J307" t="s">
        <v>1382</v>
      </c>
      <c r="K307" t="b">
        <v>1</v>
      </c>
      <c r="L307" t="b">
        <v>0</v>
      </c>
      <c r="M307" t="s">
        <v>1382</v>
      </c>
      <c r="N307" t="s">
        <v>1403</v>
      </c>
      <c r="O307" t="s">
        <v>1385</v>
      </c>
      <c r="P307" t="s">
        <v>1404</v>
      </c>
      <c r="Q307" t="s">
        <v>2032</v>
      </c>
    </row>
    <row r="308" spans="1:17" x14ac:dyDescent="0.25">
      <c r="A308" t="s">
        <v>39</v>
      </c>
      <c r="B308" t="s">
        <v>2044</v>
      </c>
      <c r="C308" t="s">
        <v>343</v>
      </c>
      <c r="D308" t="s">
        <v>1380</v>
      </c>
      <c r="E308">
        <v>-421.105</v>
      </c>
      <c r="F308" t="s">
        <v>1400</v>
      </c>
      <c r="G308" t="s">
        <v>2045</v>
      </c>
      <c r="H308" t="s">
        <v>1661</v>
      </c>
      <c r="I308" t="s">
        <v>1662</v>
      </c>
      <c r="J308" t="s">
        <v>1382</v>
      </c>
      <c r="K308" t="b">
        <v>1</v>
      </c>
      <c r="L308" t="b">
        <v>0</v>
      </c>
      <c r="M308" t="s">
        <v>1382</v>
      </c>
      <c r="N308" t="s">
        <v>1403</v>
      </c>
      <c r="O308" t="s">
        <v>1385</v>
      </c>
      <c r="P308" t="s">
        <v>1404</v>
      </c>
      <c r="Q308" t="s">
        <v>1382</v>
      </c>
    </row>
    <row r="309" spans="1:17" x14ac:dyDescent="0.25">
      <c r="A309" t="s">
        <v>39</v>
      </c>
      <c r="B309" t="s">
        <v>2046</v>
      </c>
      <c r="C309" t="s">
        <v>343</v>
      </c>
      <c r="D309" t="s">
        <v>1407</v>
      </c>
      <c r="E309">
        <v>-370.052</v>
      </c>
      <c r="F309" t="s">
        <v>1400</v>
      </c>
      <c r="G309" t="s">
        <v>2047</v>
      </c>
      <c r="H309" t="s">
        <v>1661</v>
      </c>
      <c r="I309" t="s">
        <v>1666</v>
      </c>
      <c r="J309" t="s">
        <v>1382</v>
      </c>
      <c r="K309" t="b">
        <v>1</v>
      </c>
      <c r="L309" t="b">
        <v>0</v>
      </c>
      <c r="M309" t="s">
        <v>1382</v>
      </c>
      <c r="N309" t="s">
        <v>1403</v>
      </c>
      <c r="O309" t="s">
        <v>1385</v>
      </c>
      <c r="P309" t="s">
        <v>1404</v>
      </c>
      <c r="Q309" t="s">
        <v>1382</v>
      </c>
    </row>
    <row r="310" spans="1:17" x14ac:dyDescent="0.25">
      <c r="A310" t="s">
        <v>39</v>
      </c>
      <c r="B310" t="s">
        <v>2048</v>
      </c>
      <c r="C310" t="s">
        <v>343</v>
      </c>
      <c r="D310" t="s">
        <v>1411</v>
      </c>
      <c r="E310">
        <v>-398.25</v>
      </c>
      <c r="F310" t="s">
        <v>1400</v>
      </c>
      <c r="G310" t="s">
        <v>2049</v>
      </c>
      <c r="H310" t="s">
        <v>1661</v>
      </c>
      <c r="I310" t="s">
        <v>1669</v>
      </c>
      <c r="J310" t="s">
        <v>1382</v>
      </c>
      <c r="K310" t="b">
        <v>1</v>
      </c>
      <c r="L310" t="b">
        <v>0</v>
      </c>
      <c r="M310" t="s">
        <v>1382</v>
      </c>
      <c r="N310" t="s">
        <v>1403</v>
      </c>
      <c r="O310" t="s">
        <v>1385</v>
      </c>
      <c r="P310" t="s">
        <v>1404</v>
      </c>
      <c r="Q310" t="s">
        <v>1382</v>
      </c>
    </row>
    <row r="311" spans="1:17" x14ac:dyDescent="0.25">
      <c r="A311" t="s">
        <v>39</v>
      </c>
      <c r="B311" t="s">
        <v>2050</v>
      </c>
      <c r="C311" t="s">
        <v>343</v>
      </c>
      <c r="D311" t="s">
        <v>1415</v>
      </c>
      <c r="E311">
        <v>-395.545</v>
      </c>
      <c r="F311" t="s">
        <v>1400</v>
      </c>
      <c r="G311" t="s">
        <v>2051</v>
      </c>
      <c r="H311" t="s">
        <v>1661</v>
      </c>
      <c r="I311" t="s">
        <v>1672</v>
      </c>
      <c r="J311" t="s">
        <v>1382</v>
      </c>
      <c r="K311" t="b">
        <v>1</v>
      </c>
      <c r="L311" t="b">
        <v>0</v>
      </c>
      <c r="M311" t="s">
        <v>1382</v>
      </c>
      <c r="N311" t="s">
        <v>1403</v>
      </c>
      <c r="O311" t="s">
        <v>1385</v>
      </c>
      <c r="P311" t="s">
        <v>1404</v>
      </c>
      <c r="Q311" t="s">
        <v>1382</v>
      </c>
    </row>
    <row r="312" spans="1:17" x14ac:dyDescent="0.25">
      <c r="A312" t="s">
        <v>39</v>
      </c>
      <c r="B312" t="s">
        <v>2052</v>
      </c>
      <c r="C312" t="s">
        <v>343</v>
      </c>
      <c r="D312" t="s">
        <v>1389</v>
      </c>
      <c r="E312">
        <v>-396.438</v>
      </c>
      <c r="F312" t="s">
        <v>1400</v>
      </c>
      <c r="G312" t="s">
        <v>2053</v>
      </c>
      <c r="H312" t="s">
        <v>1661</v>
      </c>
      <c r="I312" t="s">
        <v>1402</v>
      </c>
      <c r="J312" t="s">
        <v>1382</v>
      </c>
      <c r="K312" t="b">
        <v>1</v>
      </c>
      <c r="L312" t="b">
        <v>0</v>
      </c>
      <c r="M312" t="s">
        <v>1382</v>
      </c>
      <c r="N312" t="s">
        <v>1403</v>
      </c>
      <c r="O312" t="s">
        <v>1385</v>
      </c>
      <c r="P312" t="s">
        <v>1404</v>
      </c>
      <c r="Q312" t="s">
        <v>1382</v>
      </c>
    </row>
    <row r="313" spans="1:17" x14ac:dyDescent="0.25">
      <c r="A313" t="s">
        <v>39</v>
      </c>
      <c r="B313" t="s">
        <v>2054</v>
      </c>
      <c r="C313" t="s">
        <v>343</v>
      </c>
      <c r="D313" t="s">
        <v>1422</v>
      </c>
      <c r="E313">
        <v>-410.734</v>
      </c>
      <c r="F313" t="s">
        <v>1400</v>
      </c>
      <c r="G313" t="s">
        <v>2055</v>
      </c>
      <c r="H313" t="s">
        <v>1661</v>
      </c>
      <c r="I313" t="s">
        <v>1409</v>
      </c>
      <c r="J313" t="s">
        <v>1382</v>
      </c>
      <c r="K313" t="b">
        <v>1</v>
      </c>
      <c r="L313" t="b">
        <v>0</v>
      </c>
      <c r="M313" t="s">
        <v>1382</v>
      </c>
      <c r="N313" t="s">
        <v>1403</v>
      </c>
      <c r="O313" t="s">
        <v>1385</v>
      </c>
      <c r="P313" t="s">
        <v>1404</v>
      </c>
      <c r="Q313" t="s">
        <v>1382</v>
      </c>
    </row>
    <row r="314" spans="1:17" x14ac:dyDescent="0.25">
      <c r="A314" t="s">
        <v>39</v>
      </c>
      <c r="B314" t="s">
        <v>2056</v>
      </c>
      <c r="C314" t="s">
        <v>343</v>
      </c>
      <c r="D314" t="s">
        <v>1426</v>
      </c>
      <c r="E314">
        <v>-369.965</v>
      </c>
      <c r="F314" t="s">
        <v>1400</v>
      </c>
      <c r="G314" t="s">
        <v>2057</v>
      </c>
      <c r="H314" t="s">
        <v>1661</v>
      </c>
      <c r="I314" t="s">
        <v>1413</v>
      </c>
      <c r="J314" t="s">
        <v>1382</v>
      </c>
      <c r="K314" t="b">
        <v>1</v>
      </c>
      <c r="L314" t="b">
        <v>0</v>
      </c>
      <c r="M314" t="s">
        <v>1382</v>
      </c>
      <c r="N314" t="s">
        <v>1403</v>
      </c>
      <c r="O314" t="s">
        <v>1385</v>
      </c>
      <c r="P314" t="s">
        <v>1404</v>
      </c>
      <c r="Q314" t="s">
        <v>1382</v>
      </c>
    </row>
    <row r="315" spans="1:17" x14ac:dyDescent="0.25">
      <c r="A315" t="s">
        <v>39</v>
      </c>
      <c r="B315" t="s">
        <v>2058</v>
      </c>
      <c r="C315" t="s">
        <v>343</v>
      </c>
      <c r="D315" t="s">
        <v>1430</v>
      </c>
      <c r="E315">
        <v>-423.131</v>
      </c>
      <c r="F315" t="s">
        <v>1400</v>
      </c>
      <c r="G315" t="s">
        <v>2059</v>
      </c>
      <c r="H315" t="s">
        <v>1661</v>
      </c>
      <c r="I315" t="s">
        <v>1486</v>
      </c>
      <c r="J315" t="s">
        <v>1382</v>
      </c>
      <c r="K315" t="b">
        <v>1</v>
      </c>
      <c r="L315" t="b">
        <v>0</v>
      </c>
      <c r="M315" t="s">
        <v>1382</v>
      </c>
      <c r="N315" t="s">
        <v>1403</v>
      </c>
      <c r="O315" t="s">
        <v>1385</v>
      </c>
      <c r="P315" t="s">
        <v>1404</v>
      </c>
      <c r="Q315" t="s">
        <v>1382</v>
      </c>
    </row>
    <row r="316" spans="1:17" x14ac:dyDescent="0.25">
      <c r="A316" t="s">
        <v>39</v>
      </c>
      <c r="B316" t="s">
        <v>2060</v>
      </c>
      <c r="C316" t="s">
        <v>343</v>
      </c>
      <c r="D316" t="s">
        <v>1391</v>
      </c>
      <c r="E316">
        <v>-408.072</v>
      </c>
      <c r="F316" t="s">
        <v>1400</v>
      </c>
      <c r="G316" t="s">
        <v>2061</v>
      </c>
      <c r="H316" t="s">
        <v>1661</v>
      </c>
      <c r="I316" t="s">
        <v>1420</v>
      </c>
      <c r="J316" t="s">
        <v>1382</v>
      </c>
      <c r="K316" t="b">
        <v>1</v>
      </c>
      <c r="L316" t="b">
        <v>0</v>
      </c>
      <c r="M316" t="s">
        <v>1382</v>
      </c>
      <c r="N316" t="s">
        <v>1403</v>
      </c>
      <c r="O316" t="s">
        <v>1385</v>
      </c>
      <c r="P316" t="s">
        <v>1404</v>
      </c>
      <c r="Q316" t="s">
        <v>1382</v>
      </c>
    </row>
    <row r="317" spans="1:17" x14ac:dyDescent="0.25">
      <c r="A317" t="s">
        <v>39</v>
      </c>
      <c r="B317" t="s">
        <v>2062</v>
      </c>
      <c r="C317" t="s">
        <v>343</v>
      </c>
      <c r="D317" t="s">
        <v>1437</v>
      </c>
      <c r="E317">
        <v>-339.695</v>
      </c>
      <c r="F317" t="s">
        <v>1400</v>
      </c>
      <c r="G317" t="s">
        <v>2063</v>
      </c>
      <c r="H317" t="s">
        <v>1661</v>
      </c>
      <c r="I317" t="s">
        <v>1424</v>
      </c>
      <c r="J317" t="s">
        <v>1382</v>
      </c>
      <c r="K317" t="b">
        <v>1</v>
      </c>
      <c r="L317" t="b">
        <v>0</v>
      </c>
      <c r="M317" t="s">
        <v>1382</v>
      </c>
      <c r="N317" t="s">
        <v>1403</v>
      </c>
      <c r="O317" t="s">
        <v>1385</v>
      </c>
      <c r="P317" t="s">
        <v>1404</v>
      </c>
      <c r="Q317" t="s">
        <v>1382</v>
      </c>
    </row>
    <row r="318" spans="1:17" x14ac:dyDescent="0.25">
      <c r="A318" t="s">
        <v>39</v>
      </c>
      <c r="B318" t="s">
        <v>2064</v>
      </c>
      <c r="C318" t="s">
        <v>343</v>
      </c>
      <c r="D318" t="s">
        <v>1439</v>
      </c>
      <c r="E318">
        <v>-374.927</v>
      </c>
      <c r="F318" t="s">
        <v>1400</v>
      </c>
      <c r="G318" t="s">
        <v>2065</v>
      </c>
      <c r="H318" t="s">
        <v>1661</v>
      </c>
      <c r="I318" t="s">
        <v>1428</v>
      </c>
      <c r="J318" t="s">
        <v>1382</v>
      </c>
      <c r="K318" t="b">
        <v>1</v>
      </c>
      <c r="L318" t="b">
        <v>0</v>
      </c>
      <c r="M318" t="s">
        <v>1382</v>
      </c>
      <c r="N318" t="s">
        <v>1403</v>
      </c>
      <c r="O318" t="s">
        <v>1385</v>
      </c>
      <c r="P318" t="s">
        <v>1404</v>
      </c>
      <c r="Q318" t="s">
        <v>1382</v>
      </c>
    </row>
    <row r="319" spans="1:17" x14ac:dyDescent="0.25">
      <c r="A319" t="s">
        <v>39</v>
      </c>
      <c r="B319" t="s">
        <v>2066</v>
      </c>
      <c r="C319" t="s">
        <v>343</v>
      </c>
      <c r="D319" t="s">
        <v>1442</v>
      </c>
      <c r="E319">
        <v>-384.434</v>
      </c>
      <c r="F319" t="s">
        <v>1400</v>
      </c>
      <c r="G319" t="s">
        <v>2067</v>
      </c>
      <c r="H319" t="s">
        <v>1661</v>
      </c>
      <c r="I319" t="s">
        <v>1486</v>
      </c>
      <c r="J319" t="s">
        <v>1382</v>
      </c>
      <c r="K319" t="b">
        <v>1</v>
      </c>
      <c r="L319" t="b">
        <v>0</v>
      </c>
      <c r="M319" t="s">
        <v>1382</v>
      </c>
      <c r="N319" t="s">
        <v>1403</v>
      </c>
      <c r="O319" t="s">
        <v>1385</v>
      </c>
      <c r="P319" t="s">
        <v>1404</v>
      </c>
      <c r="Q319" t="s">
        <v>1382</v>
      </c>
    </row>
    <row r="320" spans="1:17" x14ac:dyDescent="0.25">
      <c r="A320" t="s">
        <v>39</v>
      </c>
      <c r="B320" t="s">
        <v>2068</v>
      </c>
      <c r="C320" t="s">
        <v>345</v>
      </c>
      <c r="D320" t="s">
        <v>1380</v>
      </c>
      <c r="E320">
        <v>56.185</v>
      </c>
      <c r="F320" t="s">
        <v>1400</v>
      </c>
      <c r="G320" t="s">
        <v>2069</v>
      </c>
      <c r="H320" t="s">
        <v>1661</v>
      </c>
      <c r="I320" t="s">
        <v>1662</v>
      </c>
      <c r="J320" t="s">
        <v>1382</v>
      </c>
      <c r="K320" t="b">
        <v>1</v>
      </c>
      <c r="L320" t="b">
        <v>0</v>
      </c>
      <c r="M320" t="s">
        <v>1382</v>
      </c>
      <c r="N320" t="s">
        <v>1403</v>
      </c>
      <c r="O320" t="s">
        <v>1385</v>
      </c>
      <c r="P320" t="s">
        <v>1404</v>
      </c>
      <c r="Q320" t="s">
        <v>1382</v>
      </c>
    </row>
    <row r="321" spans="1:17" x14ac:dyDescent="0.25">
      <c r="A321" t="s">
        <v>39</v>
      </c>
      <c r="B321" t="s">
        <v>2070</v>
      </c>
      <c r="C321" t="s">
        <v>345</v>
      </c>
      <c r="D321" t="s">
        <v>1407</v>
      </c>
      <c r="E321">
        <v>69.595</v>
      </c>
      <c r="F321" t="s">
        <v>1400</v>
      </c>
      <c r="G321" t="s">
        <v>2071</v>
      </c>
      <c r="H321" t="s">
        <v>1661</v>
      </c>
      <c r="I321" t="s">
        <v>1666</v>
      </c>
      <c r="J321" t="s">
        <v>1382</v>
      </c>
      <c r="K321" t="b">
        <v>1</v>
      </c>
      <c r="L321" t="b">
        <v>0</v>
      </c>
      <c r="M321" t="s">
        <v>1382</v>
      </c>
      <c r="N321" t="s">
        <v>1403</v>
      </c>
      <c r="O321" t="s">
        <v>1385</v>
      </c>
      <c r="P321" t="s">
        <v>1404</v>
      </c>
      <c r="Q321" t="s">
        <v>1382</v>
      </c>
    </row>
    <row r="322" spans="1:17" x14ac:dyDescent="0.25">
      <c r="A322" t="s">
        <v>39</v>
      </c>
      <c r="B322" t="s">
        <v>2072</v>
      </c>
      <c r="C322" t="s">
        <v>345</v>
      </c>
      <c r="D322" t="s">
        <v>1411</v>
      </c>
      <c r="E322">
        <v>66.284</v>
      </c>
      <c r="F322" t="s">
        <v>1400</v>
      </c>
      <c r="G322" t="s">
        <v>2073</v>
      </c>
      <c r="H322" t="s">
        <v>1661</v>
      </c>
      <c r="I322" t="s">
        <v>1669</v>
      </c>
      <c r="J322" t="s">
        <v>1382</v>
      </c>
      <c r="K322" t="b">
        <v>1</v>
      </c>
      <c r="L322" t="b">
        <v>0</v>
      </c>
      <c r="M322" t="s">
        <v>1382</v>
      </c>
      <c r="N322" t="s">
        <v>1403</v>
      </c>
      <c r="O322" t="s">
        <v>1385</v>
      </c>
      <c r="P322" t="s">
        <v>1404</v>
      </c>
      <c r="Q322" t="s">
        <v>1382</v>
      </c>
    </row>
    <row r="323" spans="1:17" x14ac:dyDescent="0.25">
      <c r="A323" t="s">
        <v>39</v>
      </c>
      <c r="B323" t="s">
        <v>2074</v>
      </c>
      <c r="C323" t="s">
        <v>345</v>
      </c>
      <c r="D323" t="s">
        <v>1415</v>
      </c>
      <c r="E323">
        <v>92.308</v>
      </c>
      <c r="F323" t="s">
        <v>1400</v>
      </c>
      <c r="G323" t="s">
        <v>2075</v>
      </c>
      <c r="H323" t="s">
        <v>1661</v>
      </c>
      <c r="I323" t="s">
        <v>1672</v>
      </c>
      <c r="J323" t="s">
        <v>1382</v>
      </c>
      <c r="K323" t="b">
        <v>1</v>
      </c>
      <c r="L323" t="b">
        <v>0</v>
      </c>
      <c r="M323" t="s">
        <v>1382</v>
      </c>
      <c r="N323" t="s">
        <v>1403</v>
      </c>
      <c r="O323" t="s">
        <v>1385</v>
      </c>
      <c r="P323" t="s">
        <v>1404</v>
      </c>
      <c r="Q323" t="s">
        <v>1382</v>
      </c>
    </row>
    <row r="324" spans="1:17" x14ac:dyDescent="0.25">
      <c r="A324" t="s">
        <v>39</v>
      </c>
      <c r="B324" t="s">
        <v>2076</v>
      </c>
      <c r="C324" t="s">
        <v>345</v>
      </c>
      <c r="D324" t="s">
        <v>1389</v>
      </c>
      <c r="E324">
        <v>87.372</v>
      </c>
      <c r="F324" t="s">
        <v>1400</v>
      </c>
      <c r="G324" t="s">
        <v>2077</v>
      </c>
      <c r="H324" t="s">
        <v>1661</v>
      </c>
      <c r="I324" t="s">
        <v>1402</v>
      </c>
      <c r="J324" t="s">
        <v>1382</v>
      </c>
      <c r="K324" t="b">
        <v>1</v>
      </c>
      <c r="L324" t="b">
        <v>0</v>
      </c>
      <c r="M324" t="s">
        <v>1382</v>
      </c>
      <c r="N324" t="s">
        <v>1403</v>
      </c>
      <c r="O324" t="s">
        <v>1385</v>
      </c>
      <c r="P324" t="s">
        <v>1404</v>
      </c>
      <c r="Q324" t="s">
        <v>1382</v>
      </c>
    </row>
    <row r="325" spans="1:17" x14ac:dyDescent="0.25">
      <c r="A325" t="s">
        <v>39</v>
      </c>
      <c r="B325" t="s">
        <v>2078</v>
      </c>
      <c r="C325" t="s">
        <v>345</v>
      </c>
      <c r="D325" t="s">
        <v>1422</v>
      </c>
      <c r="E325">
        <v>77.13</v>
      </c>
      <c r="F325" t="s">
        <v>1400</v>
      </c>
      <c r="G325" t="s">
        <v>2079</v>
      </c>
      <c r="H325" t="s">
        <v>1661</v>
      </c>
      <c r="I325" t="s">
        <v>1409</v>
      </c>
      <c r="J325" t="s">
        <v>1382</v>
      </c>
      <c r="K325" t="b">
        <v>1</v>
      </c>
      <c r="L325" t="b">
        <v>0</v>
      </c>
      <c r="M325" t="s">
        <v>1382</v>
      </c>
      <c r="N325" t="s">
        <v>1403</v>
      </c>
      <c r="O325" t="s">
        <v>1385</v>
      </c>
      <c r="P325" t="s">
        <v>1404</v>
      </c>
      <c r="Q325" t="s">
        <v>1382</v>
      </c>
    </row>
    <row r="326" spans="1:17" x14ac:dyDescent="0.25">
      <c r="A326" t="s">
        <v>39</v>
      </c>
      <c r="B326" t="s">
        <v>2080</v>
      </c>
      <c r="C326" t="s">
        <v>345</v>
      </c>
      <c r="D326" t="s">
        <v>1426</v>
      </c>
      <c r="E326">
        <v>69.415</v>
      </c>
      <c r="F326" t="s">
        <v>1400</v>
      </c>
      <c r="G326" t="s">
        <v>2081</v>
      </c>
      <c r="H326" t="s">
        <v>1661</v>
      </c>
      <c r="I326" t="s">
        <v>1413</v>
      </c>
      <c r="J326" t="s">
        <v>1382</v>
      </c>
      <c r="K326" t="b">
        <v>1</v>
      </c>
      <c r="L326" t="b">
        <v>0</v>
      </c>
      <c r="M326" t="s">
        <v>1382</v>
      </c>
      <c r="N326" t="s">
        <v>1403</v>
      </c>
      <c r="O326" t="s">
        <v>1385</v>
      </c>
      <c r="P326" t="s">
        <v>1404</v>
      </c>
      <c r="Q326" t="s">
        <v>1382</v>
      </c>
    </row>
    <row r="327" spans="1:17" x14ac:dyDescent="0.25">
      <c r="A327" t="s">
        <v>39</v>
      </c>
      <c r="B327" t="s">
        <v>2082</v>
      </c>
      <c r="C327" t="s">
        <v>345</v>
      </c>
      <c r="D327" t="s">
        <v>1430</v>
      </c>
      <c r="E327">
        <v>68.215</v>
      </c>
      <c r="F327" t="s">
        <v>1400</v>
      </c>
      <c r="G327" t="s">
        <v>2083</v>
      </c>
      <c r="H327" t="s">
        <v>1661</v>
      </c>
      <c r="I327" t="s">
        <v>1486</v>
      </c>
      <c r="J327" t="s">
        <v>1382</v>
      </c>
      <c r="K327" t="b">
        <v>1</v>
      </c>
      <c r="L327" t="b">
        <v>0</v>
      </c>
      <c r="M327" t="s">
        <v>1382</v>
      </c>
      <c r="N327" t="s">
        <v>1403</v>
      </c>
      <c r="O327" t="s">
        <v>1385</v>
      </c>
      <c r="P327" t="s">
        <v>1404</v>
      </c>
      <c r="Q327" t="s">
        <v>1382</v>
      </c>
    </row>
    <row r="328" spans="1:17" x14ac:dyDescent="0.25">
      <c r="A328" t="s">
        <v>39</v>
      </c>
      <c r="B328" t="s">
        <v>2084</v>
      </c>
      <c r="C328" t="s">
        <v>345</v>
      </c>
      <c r="D328" t="s">
        <v>1391</v>
      </c>
      <c r="E328">
        <v>64.211</v>
      </c>
      <c r="F328" t="s">
        <v>1400</v>
      </c>
      <c r="G328" t="s">
        <v>2085</v>
      </c>
      <c r="H328" t="s">
        <v>1661</v>
      </c>
      <c r="I328" t="s">
        <v>1420</v>
      </c>
      <c r="J328" t="s">
        <v>1382</v>
      </c>
      <c r="K328" t="b">
        <v>1</v>
      </c>
      <c r="L328" t="b">
        <v>0</v>
      </c>
      <c r="M328" t="s">
        <v>1382</v>
      </c>
      <c r="N328" t="s">
        <v>1403</v>
      </c>
      <c r="O328" t="s">
        <v>1385</v>
      </c>
      <c r="P328" t="s">
        <v>1404</v>
      </c>
      <c r="Q328" t="s">
        <v>1382</v>
      </c>
    </row>
    <row r="329" spans="1:17" x14ac:dyDescent="0.25">
      <c r="A329" t="s">
        <v>39</v>
      </c>
      <c r="B329" t="s">
        <v>2086</v>
      </c>
      <c r="C329" t="s">
        <v>345</v>
      </c>
      <c r="D329" t="s">
        <v>1437</v>
      </c>
      <c r="E329">
        <v>77.149</v>
      </c>
      <c r="F329" t="s">
        <v>1400</v>
      </c>
      <c r="G329" t="s">
        <v>2079</v>
      </c>
      <c r="H329" t="s">
        <v>1661</v>
      </c>
      <c r="I329" t="s">
        <v>1424</v>
      </c>
      <c r="J329" t="s">
        <v>1382</v>
      </c>
      <c r="K329" t="b">
        <v>1</v>
      </c>
      <c r="L329" t="b">
        <v>0</v>
      </c>
      <c r="M329" t="s">
        <v>1382</v>
      </c>
      <c r="N329" t="s">
        <v>1403</v>
      </c>
      <c r="O329" t="s">
        <v>1385</v>
      </c>
      <c r="P329" t="s">
        <v>1404</v>
      </c>
      <c r="Q329" t="s">
        <v>1382</v>
      </c>
    </row>
    <row r="330" spans="1:17" x14ac:dyDescent="0.25">
      <c r="A330" t="s">
        <v>39</v>
      </c>
      <c r="B330" t="s">
        <v>2087</v>
      </c>
      <c r="C330" t="s">
        <v>345</v>
      </c>
      <c r="D330" t="s">
        <v>1439</v>
      </c>
      <c r="E330">
        <v>62.186</v>
      </c>
      <c r="F330" t="s">
        <v>1400</v>
      </c>
      <c r="G330" t="s">
        <v>2088</v>
      </c>
      <c r="H330" t="s">
        <v>1661</v>
      </c>
      <c r="I330" t="s">
        <v>1428</v>
      </c>
      <c r="J330" t="s">
        <v>1382</v>
      </c>
      <c r="K330" t="b">
        <v>1</v>
      </c>
      <c r="L330" t="b">
        <v>0</v>
      </c>
      <c r="M330" t="s">
        <v>1382</v>
      </c>
      <c r="N330" t="s">
        <v>1403</v>
      </c>
      <c r="O330" t="s">
        <v>1385</v>
      </c>
      <c r="P330" t="s">
        <v>1404</v>
      </c>
      <c r="Q330" t="s">
        <v>1382</v>
      </c>
    </row>
    <row r="331" spans="1:17" x14ac:dyDescent="0.25">
      <c r="A331" t="s">
        <v>39</v>
      </c>
      <c r="B331" t="s">
        <v>2089</v>
      </c>
      <c r="C331" t="s">
        <v>345</v>
      </c>
      <c r="D331" t="s">
        <v>1442</v>
      </c>
      <c r="E331">
        <v>67.507</v>
      </c>
      <c r="F331" t="s">
        <v>1400</v>
      </c>
      <c r="G331" t="s">
        <v>2090</v>
      </c>
      <c r="H331" t="s">
        <v>1661</v>
      </c>
      <c r="I331" t="s">
        <v>1486</v>
      </c>
      <c r="J331" t="s">
        <v>1382</v>
      </c>
      <c r="K331" t="b">
        <v>1</v>
      </c>
      <c r="L331" t="b">
        <v>0</v>
      </c>
      <c r="M331" t="s">
        <v>1382</v>
      </c>
      <c r="N331" t="s">
        <v>1403</v>
      </c>
      <c r="O331" t="s">
        <v>1385</v>
      </c>
      <c r="P331" t="s">
        <v>1404</v>
      </c>
      <c r="Q331" t="s">
        <v>1382</v>
      </c>
    </row>
    <row r="332" spans="1:17" x14ac:dyDescent="0.25">
      <c r="A332" t="s">
        <v>39</v>
      </c>
      <c r="B332" t="s">
        <v>2091</v>
      </c>
      <c r="C332" t="s">
        <v>396</v>
      </c>
      <c r="D332" t="s">
        <v>1380</v>
      </c>
      <c r="E332">
        <v>13.726</v>
      </c>
      <c r="F332" t="s">
        <v>1400</v>
      </c>
      <c r="G332" t="s">
        <v>2092</v>
      </c>
      <c r="H332" t="s">
        <v>1393</v>
      </c>
      <c r="I332" t="s">
        <v>1402</v>
      </c>
      <c r="J332" t="s">
        <v>1382</v>
      </c>
      <c r="K332" t="b">
        <v>1</v>
      </c>
      <c r="L332" t="b">
        <v>0</v>
      </c>
      <c r="M332" t="s">
        <v>1382</v>
      </c>
      <c r="N332" t="s">
        <v>1403</v>
      </c>
      <c r="O332" t="s">
        <v>1385</v>
      </c>
      <c r="P332" t="s">
        <v>1404</v>
      </c>
      <c r="Q332" t="s">
        <v>1382</v>
      </c>
    </row>
    <row r="333" spans="1:17" x14ac:dyDescent="0.25">
      <c r="A333" t="s">
        <v>39</v>
      </c>
      <c r="B333" t="s">
        <v>2093</v>
      </c>
      <c r="C333" t="s">
        <v>396</v>
      </c>
      <c r="D333" t="s">
        <v>1407</v>
      </c>
      <c r="E333">
        <v>10.492</v>
      </c>
      <c r="F333" t="s">
        <v>1400</v>
      </c>
      <c r="G333" t="s">
        <v>2094</v>
      </c>
      <c r="H333" t="s">
        <v>1393</v>
      </c>
      <c r="I333" t="s">
        <v>1409</v>
      </c>
      <c r="J333" t="s">
        <v>1382</v>
      </c>
      <c r="K333" t="b">
        <v>1</v>
      </c>
      <c r="L333" t="b">
        <v>0</v>
      </c>
      <c r="M333" t="s">
        <v>1382</v>
      </c>
      <c r="N333" t="s">
        <v>1403</v>
      </c>
      <c r="O333" t="s">
        <v>1385</v>
      </c>
      <c r="P333" t="s">
        <v>1404</v>
      </c>
      <c r="Q333" t="s">
        <v>2095</v>
      </c>
    </row>
    <row r="334" spans="1:17" x14ac:dyDescent="0.25">
      <c r="A334" t="s">
        <v>39</v>
      </c>
      <c r="B334" t="s">
        <v>2096</v>
      </c>
      <c r="C334" t="s">
        <v>396</v>
      </c>
      <c r="D334" t="s">
        <v>1411</v>
      </c>
      <c r="E334">
        <v>11.258</v>
      </c>
      <c r="F334" t="s">
        <v>1400</v>
      </c>
      <c r="G334" t="s">
        <v>2097</v>
      </c>
      <c r="H334" t="s">
        <v>1393</v>
      </c>
      <c r="I334" t="s">
        <v>1413</v>
      </c>
      <c r="J334" t="s">
        <v>1382</v>
      </c>
      <c r="K334" t="b">
        <v>1</v>
      </c>
      <c r="L334" t="b">
        <v>0</v>
      </c>
      <c r="M334" t="s">
        <v>1382</v>
      </c>
      <c r="N334" t="s">
        <v>1403</v>
      </c>
      <c r="O334" t="s">
        <v>1385</v>
      </c>
      <c r="P334" t="s">
        <v>1404</v>
      </c>
      <c r="Q334" t="s">
        <v>2098</v>
      </c>
    </row>
    <row r="335" spans="1:17" x14ac:dyDescent="0.25">
      <c r="A335" t="s">
        <v>39</v>
      </c>
      <c r="B335" t="s">
        <v>2099</v>
      </c>
      <c r="C335" t="s">
        <v>396</v>
      </c>
      <c r="D335" t="s">
        <v>1415</v>
      </c>
      <c r="E335">
        <v>9.884</v>
      </c>
      <c r="F335" t="s">
        <v>1400</v>
      </c>
      <c r="G335" t="s">
        <v>2100</v>
      </c>
      <c r="H335" t="s">
        <v>1393</v>
      </c>
      <c r="I335" t="s">
        <v>1382</v>
      </c>
      <c r="J335" t="s">
        <v>1382</v>
      </c>
      <c r="K335" t="b">
        <v>1</v>
      </c>
      <c r="L335" t="b">
        <v>0</v>
      </c>
      <c r="M335" t="s">
        <v>1382</v>
      </c>
      <c r="N335" t="s">
        <v>1403</v>
      </c>
      <c r="O335" t="s">
        <v>1385</v>
      </c>
      <c r="P335" t="s">
        <v>1404</v>
      </c>
      <c r="Q335" t="s">
        <v>2101</v>
      </c>
    </row>
    <row r="336" spans="1:17" x14ac:dyDescent="0.25">
      <c r="A336" t="s">
        <v>39</v>
      </c>
      <c r="B336" t="s">
        <v>2102</v>
      </c>
      <c r="C336" t="s">
        <v>396</v>
      </c>
      <c r="D336" t="s">
        <v>1389</v>
      </c>
      <c r="E336">
        <v>20.215</v>
      </c>
      <c r="F336" t="s">
        <v>1400</v>
      </c>
      <c r="G336" t="s">
        <v>2103</v>
      </c>
      <c r="H336" t="s">
        <v>1393</v>
      </c>
      <c r="I336" t="s">
        <v>1420</v>
      </c>
      <c r="J336" t="s">
        <v>1382</v>
      </c>
      <c r="K336" t="b">
        <v>1</v>
      </c>
      <c r="L336" t="b">
        <v>0</v>
      </c>
      <c r="M336" t="s">
        <v>1382</v>
      </c>
      <c r="N336" t="s">
        <v>1403</v>
      </c>
      <c r="O336" t="s">
        <v>1385</v>
      </c>
      <c r="P336" t="s">
        <v>1404</v>
      </c>
      <c r="Q336" t="s">
        <v>1382</v>
      </c>
    </row>
    <row r="337" spans="1:17" x14ac:dyDescent="0.25">
      <c r="A337" t="s">
        <v>39</v>
      </c>
      <c r="B337" t="s">
        <v>2104</v>
      </c>
      <c r="C337" t="s">
        <v>396</v>
      </c>
      <c r="D337" t="s">
        <v>1422</v>
      </c>
      <c r="E337">
        <v>14.357</v>
      </c>
      <c r="F337" t="s">
        <v>1400</v>
      </c>
      <c r="G337" t="s">
        <v>2105</v>
      </c>
      <c r="H337" t="s">
        <v>1393</v>
      </c>
      <c r="I337" t="s">
        <v>1424</v>
      </c>
      <c r="J337" t="s">
        <v>1382</v>
      </c>
      <c r="K337" t="b">
        <v>1</v>
      </c>
      <c r="L337" t="b">
        <v>0</v>
      </c>
      <c r="M337" t="s">
        <v>1382</v>
      </c>
      <c r="N337" t="s">
        <v>1403</v>
      </c>
      <c r="O337" t="s">
        <v>1385</v>
      </c>
      <c r="P337" t="s">
        <v>1404</v>
      </c>
      <c r="Q337" t="s">
        <v>2106</v>
      </c>
    </row>
    <row r="338" spans="1:17" x14ac:dyDescent="0.25">
      <c r="A338" t="s">
        <v>39</v>
      </c>
      <c r="B338" t="s">
        <v>2107</v>
      </c>
      <c r="C338" t="s">
        <v>396</v>
      </c>
      <c r="D338" t="s">
        <v>1426</v>
      </c>
      <c r="E338">
        <v>13.377</v>
      </c>
      <c r="F338" t="s">
        <v>1400</v>
      </c>
      <c r="G338" t="s">
        <v>2108</v>
      </c>
      <c r="H338" t="s">
        <v>1393</v>
      </c>
      <c r="I338" t="s">
        <v>1428</v>
      </c>
      <c r="J338" t="s">
        <v>1382</v>
      </c>
      <c r="K338" t="b">
        <v>1</v>
      </c>
      <c r="L338" t="b">
        <v>0</v>
      </c>
      <c r="M338" t="s">
        <v>1382</v>
      </c>
      <c r="N338" t="s">
        <v>1403</v>
      </c>
      <c r="O338" t="s">
        <v>1385</v>
      </c>
      <c r="P338" t="s">
        <v>1404</v>
      </c>
      <c r="Q338" t="s">
        <v>2109</v>
      </c>
    </row>
    <row r="339" spans="1:17" x14ac:dyDescent="0.25">
      <c r="A339" t="s">
        <v>39</v>
      </c>
      <c r="B339" t="s">
        <v>2110</v>
      </c>
      <c r="C339" t="s">
        <v>396</v>
      </c>
      <c r="D339" t="s">
        <v>1430</v>
      </c>
      <c r="E339">
        <v>15.17</v>
      </c>
      <c r="F339" t="s">
        <v>1400</v>
      </c>
      <c r="G339" t="s">
        <v>2111</v>
      </c>
      <c r="H339" t="s">
        <v>1393</v>
      </c>
      <c r="I339" t="s">
        <v>1382</v>
      </c>
      <c r="J339" t="s">
        <v>1382</v>
      </c>
      <c r="K339" t="b">
        <v>1</v>
      </c>
      <c r="L339" t="b">
        <v>0</v>
      </c>
      <c r="M339" t="s">
        <v>1382</v>
      </c>
      <c r="N339" t="s">
        <v>1403</v>
      </c>
      <c r="O339" t="s">
        <v>1385</v>
      </c>
      <c r="P339" t="s">
        <v>1404</v>
      </c>
      <c r="Q339" t="s">
        <v>2112</v>
      </c>
    </row>
    <row r="340" spans="1:17" x14ac:dyDescent="0.25">
      <c r="A340" t="s">
        <v>39</v>
      </c>
      <c r="B340" t="s">
        <v>2113</v>
      </c>
      <c r="C340" t="s">
        <v>396</v>
      </c>
      <c r="D340" t="s">
        <v>1391</v>
      </c>
      <c r="E340">
        <v>35.637</v>
      </c>
      <c r="F340" t="s">
        <v>1400</v>
      </c>
      <c r="G340" t="s">
        <v>2114</v>
      </c>
      <c r="H340" t="s">
        <v>1393</v>
      </c>
      <c r="I340" t="s">
        <v>1435</v>
      </c>
      <c r="J340" t="s">
        <v>1382</v>
      </c>
      <c r="K340" t="b">
        <v>1</v>
      </c>
      <c r="L340" t="b">
        <v>0</v>
      </c>
      <c r="M340" t="s">
        <v>1382</v>
      </c>
      <c r="N340" t="s">
        <v>1403</v>
      </c>
      <c r="O340" t="s">
        <v>1385</v>
      </c>
      <c r="P340" t="s">
        <v>1404</v>
      </c>
      <c r="Q340" t="s">
        <v>1382</v>
      </c>
    </row>
    <row r="341" spans="1:17" x14ac:dyDescent="0.25">
      <c r="A341" t="s">
        <v>39</v>
      </c>
      <c r="B341" t="s">
        <v>2115</v>
      </c>
      <c r="C341" t="s">
        <v>396</v>
      </c>
      <c r="D341" t="s">
        <v>1437</v>
      </c>
      <c r="E341">
        <v>18.193</v>
      </c>
      <c r="F341" t="s">
        <v>1400</v>
      </c>
      <c r="G341" t="s">
        <v>2116</v>
      </c>
      <c r="H341" t="s">
        <v>1393</v>
      </c>
      <c r="I341" t="s">
        <v>1424</v>
      </c>
      <c r="J341" t="s">
        <v>1382</v>
      </c>
      <c r="K341" t="b">
        <v>1</v>
      </c>
      <c r="L341" t="b">
        <v>0</v>
      </c>
      <c r="M341" t="s">
        <v>1382</v>
      </c>
      <c r="N341" t="s">
        <v>1403</v>
      </c>
      <c r="O341" t="s">
        <v>1385</v>
      </c>
      <c r="P341" t="s">
        <v>1404</v>
      </c>
      <c r="Q341" t="s">
        <v>2117</v>
      </c>
    </row>
    <row r="342" spans="1:17" x14ac:dyDescent="0.25">
      <c r="A342" t="s">
        <v>39</v>
      </c>
      <c r="B342" t="s">
        <v>2118</v>
      </c>
      <c r="C342" t="s">
        <v>396</v>
      </c>
      <c r="D342" t="s">
        <v>1439</v>
      </c>
      <c r="E342">
        <v>13.98</v>
      </c>
      <c r="F342" t="s">
        <v>1400</v>
      </c>
      <c r="G342" t="s">
        <v>2119</v>
      </c>
      <c r="H342" t="s">
        <v>1393</v>
      </c>
      <c r="I342" t="s">
        <v>1428</v>
      </c>
      <c r="J342" t="s">
        <v>1382</v>
      </c>
      <c r="K342" t="b">
        <v>1</v>
      </c>
      <c r="L342" t="b">
        <v>0</v>
      </c>
      <c r="M342" t="s">
        <v>1382</v>
      </c>
      <c r="N342" t="s">
        <v>1403</v>
      </c>
      <c r="O342" t="s">
        <v>1385</v>
      </c>
      <c r="P342" t="s">
        <v>1404</v>
      </c>
      <c r="Q342" t="s">
        <v>2120</v>
      </c>
    </row>
    <row r="343" spans="1:17" x14ac:dyDescent="0.25">
      <c r="A343" t="s">
        <v>39</v>
      </c>
      <c r="B343" t="s">
        <v>2121</v>
      </c>
      <c r="C343" t="s">
        <v>396</v>
      </c>
      <c r="D343" t="s">
        <v>1442</v>
      </c>
      <c r="E343">
        <v>20.427000000000007</v>
      </c>
      <c r="F343" t="s">
        <v>1471</v>
      </c>
      <c r="G343" t="s">
        <v>2122</v>
      </c>
      <c r="H343" t="s">
        <v>1393</v>
      </c>
      <c r="I343" t="s">
        <v>1382</v>
      </c>
      <c r="J343" t="s">
        <v>1382</v>
      </c>
      <c r="K343" t="b">
        <v>0</v>
      </c>
      <c r="L343" t="b">
        <v>1</v>
      </c>
      <c r="M343" t="s">
        <v>1472</v>
      </c>
      <c r="N343" t="s">
        <v>1384</v>
      </c>
      <c r="O343" t="s">
        <v>1473</v>
      </c>
      <c r="P343" t="s">
        <v>1474</v>
      </c>
      <c r="Q343" t="s">
        <v>1475</v>
      </c>
    </row>
    <row r="344" spans="1:17" x14ac:dyDescent="0.25">
      <c r="A344" t="s">
        <v>39</v>
      </c>
      <c r="B344" t="s">
        <v>2123</v>
      </c>
      <c r="C344" t="s">
        <v>394</v>
      </c>
      <c r="D344" t="s">
        <v>1407</v>
      </c>
      <c r="E344">
        <v>0</v>
      </c>
      <c r="F344" t="s">
        <v>1471</v>
      </c>
      <c r="G344" t="s">
        <v>1382</v>
      </c>
      <c r="H344" t="s">
        <v>1393</v>
      </c>
      <c r="I344" t="s">
        <v>1382</v>
      </c>
      <c r="J344" t="s">
        <v>1382</v>
      </c>
      <c r="K344" t="b">
        <v>0</v>
      </c>
      <c r="L344" t="b">
        <v>1</v>
      </c>
      <c r="M344" t="s">
        <v>1472</v>
      </c>
      <c r="N344" t="s">
        <v>1384</v>
      </c>
      <c r="O344" t="s">
        <v>1473</v>
      </c>
      <c r="P344" t="s">
        <v>1474</v>
      </c>
      <c r="Q344" t="s">
        <v>1475</v>
      </c>
    </row>
    <row r="345" spans="1:17" x14ac:dyDescent="0.25">
      <c r="A345" t="s">
        <v>39</v>
      </c>
      <c r="B345" t="s">
        <v>2124</v>
      </c>
      <c r="C345" t="s">
        <v>394</v>
      </c>
      <c r="D345" t="s">
        <v>1411</v>
      </c>
      <c r="E345">
        <v>0</v>
      </c>
      <c r="F345" t="s">
        <v>1471</v>
      </c>
      <c r="G345" t="s">
        <v>1382</v>
      </c>
      <c r="H345" t="s">
        <v>1393</v>
      </c>
      <c r="I345" t="s">
        <v>1382</v>
      </c>
      <c r="J345" t="s">
        <v>1382</v>
      </c>
      <c r="K345" t="b">
        <v>0</v>
      </c>
      <c r="L345" t="b">
        <v>1</v>
      </c>
      <c r="M345" t="s">
        <v>1472</v>
      </c>
      <c r="N345" t="s">
        <v>1384</v>
      </c>
      <c r="O345" t="s">
        <v>1473</v>
      </c>
      <c r="P345" t="s">
        <v>1474</v>
      </c>
      <c r="Q345" t="s">
        <v>1475</v>
      </c>
    </row>
    <row r="346" spans="1:17" x14ac:dyDescent="0.25">
      <c r="A346" t="s">
        <v>39</v>
      </c>
      <c r="B346" t="s">
        <v>2125</v>
      </c>
      <c r="C346" t="s">
        <v>394</v>
      </c>
      <c r="D346" t="s">
        <v>1415</v>
      </c>
      <c r="E346">
        <v>0</v>
      </c>
      <c r="F346" t="s">
        <v>1471</v>
      </c>
      <c r="G346" t="s">
        <v>1382</v>
      </c>
      <c r="H346" t="s">
        <v>1393</v>
      </c>
      <c r="I346" t="s">
        <v>1382</v>
      </c>
      <c r="J346" t="s">
        <v>1382</v>
      </c>
      <c r="K346" t="b">
        <v>0</v>
      </c>
      <c r="L346" t="b">
        <v>1</v>
      </c>
      <c r="M346" t="s">
        <v>1472</v>
      </c>
      <c r="N346" t="s">
        <v>1384</v>
      </c>
      <c r="O346" t="s">
        <v>1473</v>
      </c>
      <c r="P346" t="s">
        <v>1474</v>
      </c>
      <c r="Q346" t="s">
        <v>1475</v>
      </c>
    </row>
    <row r="347" spans="1:17" x14ac:dyDescent="0.25">
      <c r="A347" t="s">
        <v>39</v>
      </c>
      <c r="B347" t="s">
        <v>2126</v>
      </c>
      <c r="C347" t="s">
        <v>394</v>
      </c>
      <c r="D347" t="s">
        <v>1389</v>
      </c>
      <c r="E347">
        <v>0</v>
      </c>
      <c r="F347" t="s">
        <v>1471</v>
      </c>
      <c r="G347" t="s">
        <v>1382</v>
      </c>
      <c r="H347" t="s">
        <v>1393</v>
      </c>
      <c r="I347" t="s">
        <v>1382</v>
      </c>
      <c r="J347" t="s">
        <v>1382</v>
      </c>
      <c r="K347" t="b">
        <v>0</v>
      </c>
      <c r="L347" t="b">
        <v>1</v>
      </c>
      <c r="M347" t="s">
        <v>1472</v>
      </c>
      <c r="N347" t="s">
        <v>1384</v>
      </c>
      <c r="O347" t="s">
        <v>1473</v>
      </c>
      <c r="P347" t="s">
        <v>1474</v>
      </c>
      <c r="Q347" t="s">
        <v>1475</v>
      </c>
    </row>
    <row r="348" spans="1:17" x14ac:dyDescent="0.25">
      <c r="A348" t="s">
        <v>39</v>
      </c>
      <c r="B348" t="s">
        <v>2127</v>
      </c>
      <c r="C348" t="s">
        <v>394</v>
      </c>
      <c r="D348" t="s">
        <v>1422</v>
      </c>
      <c r="E348">
        <v>0</v>
      </c>
      <c r="F348" t="s">
        <v>1471</v>
      </c>
      <c r="G348" t="s">
        <v>1382</v>
      </c>
      <c r="H348" t="s">
        <v>1393</v>
      </c>
      <c r="I348" t="s">
        <v>1382</v>
      </c>
      <c r="J348" t="s">
        <v>1382</v>
      </c>
      <c r="K348" t="b">
        <v>0</v>
      </c>
      <c r="L348" t="b">
        <v>1</v>
      </c>
      <c r="M348" t="s">
        <v>1472</v>
      </c>
      <c r="N348" t="s">
        <v>1384</v>
      </c>
      <c r="O348" t="s">
        <v>1473</v>
      </c>
      <c r="P348" t="s">
        <v>1474</v>
      </c>
      <c r="Q348" t="s">
        <v>1475</v>
      </c>
    </row>
    <row r="349" spans="1:17" x14ac:dyDescent="0.25">
      <c r="A349" t="s">
        <v>39</v>
      </c>
      <c r="B349" t="s">
        <v>2128</v>
      </c>
      <c r="C349" t="s">
        <v>394</v>
      </c>
      <c r="D349" t="s">
        <v>1426</v>
      </c>
      <c r="E349">
        <v>0</v>
      </c>
      <c r="F349" t="s">
        <v>1471</v>
      </c>
      <c r="G349" t="s">
        <v>1382</v>
      </c>
      <c r="H349" t="s">
        <v>1393</v>
      </c>
      <c r="I349" t="s">
        <v>1382</v>
      </c>
      <c r="J349" t="s">
        <v>1382</v>
      </c>
      <c r="K349" t="b">
        <v>0</v>
      </c>
      <c r="L349" t="b">
        <v>1</v>
      </c>
      <c r="M349" t="s">
        <v>1472</v>
      </c>
      <c r="N349" t="s">
        <v>1384</v>
      </c>
      <c r="O349" t="s">
        <v>1473</v>
      </c>
      <c r="P349" t="s">
        <v>1474</v>
      </c>
      <c r="Q349" t="s">
        <v>1475</v>
      </c>
    </row>
    <row r="350" spans="1:17" x14ac:dyDescent="0.25">
      <c r="A350" t="s">
        <v>39</v>
      </c>
      <c r="B350" t="s">
        <v>2129</v>
      </c>
      <c r="C350" t="s">
        <v>394</v>
      </c>
      <c r="D350" t="s">
        <v>1430</v>
      </c>
      <c r="E350">
        <v>0</v>
      </c>
      <c r="F350" t="s">
        <v>1471</v>
      </c>
      <c r="G350" t="s">
        <v>1382</v>
      </c>
      <c r="H350" t="s">
        <v>1393</v>
      </c>
      <c r="I350" t="s">
        <v>1382</v>
      </c>
      <c r="J350" t="s">
        <v>1382</v>
      </c>
      <c r="K350" t="b">
        <v>0</v>
      </c>
      <c r="L350" t="b">
        <v>1</v>
      </c>
      <c r="M350" t="s">
        <v>1472</v>
      </c>
      <c r="N350" t="s">
        <v>1384</v>
      </c>
      <c r="O350" t="s">
        <v>1473</v>
      </c>
      <c r="P350" t="s">
        <v>1474</v>
      </c>
      <c r="Q350" t="s">
        <v>1475</v>
      </c>
    </row>
    <row r="351" spans="1:17" x14ac:dyDescent="0.25">
      <c r="A351" t="s">
        <v>39</v>
      </c>
      <c r="B351" t="s">
        <v>2130</v>
      </c>
      <c r="C351" t="s">
        <v>394</v>
      </c>
      <c r="D351" t="s">
        <v>1391</v>
      </c>
      <c r="E351">
        <v>0</v>
      </c>
      <c r="F351" t="s">
        <v>1471</v>
      </c>
      <c r="G351" t="s">
        <v>1382</v>
      </c>
      <c r="H351" t="s">
        <v>1393</v>
      </c>
      <c r="I351" t="s">
        <v>1382</v>
      </c>
      <c r="J351" t="s">
        <v>1382</v>
      </c>
      <c r="K351" t="b">
        <v>0</v>
      </c>
      <c r="L351" t="b">
        <v>1</v>
      </c>
      <c r="M351" t="s">
        <v>1472</v>
      </c>
      <c r="N351" t="s">
        <v>1384</v>
      </c>
      <c r="O351" t="s">
        <v>1473</v>
      </c>
      <c r="P351" t="s">
        <v>1474</v>
      </c>
      <c r="Q351" t="s">
        <v>1475</v>
      </c>
    </row>
    <row r="352" spans="1:17" x14ac:dyDescent="0.25">
      <c r="A352" t="s">
        <v>39</v>
      </c>
      <c r="B352" t="s">
        <v>2131</v>
      </c>
      <c r="C352" t="s">
        <v>394</v>
      </c>
      <c r="D352" t="s">
        <v>1437</v>
      </c>
      <c r="E352">
        <v>0</v>
      </c>
      <c r="F352" t="s">
        <v>1471</v>
      </c>
      <c r="G352" t="s">
        <v>1382</v>
      </c>
      <c r="H352" t="s">
        <v>1393</v>
      </c>
      <c r="I352" t="s">
        <v>1382</v>
      </c>
      <c r="J352" t="s">
        <v>1382</v>
      </c>
      <c r="K352" t="b">
        <v>0</v>
      </c>
      <c r="L352" t="b">
        <v>1</v>
      </c>
      <c r="M352" t="s">
        <v>1472</v>
      </c>
      <c r="N352" t="s">
        <v>1384</v>
      </c>
      <c r="O352" t="s">
        <v>1473</v>
      </c>
      <c r="P352" t="s">
        <v>1474</v>
      </c>
      <c r="Q352" t="s">
        <v>1475</v>
      </c>
    </row>
    <row r="353" spans="1:17" x14ac:dyDescent="0.25">
      <c r="A353" t="s">
        <v>39</v>
      </c>
      <c r="B353" t="s">
        <v>2132</v>
      </c>
      <c r="C353" t="s">
        <v>394</v>
      </c>
      <c r="D353" t="s">
        <v>1439</v>
      </c>
      <c r="E353">
        <v>0</v>
      </c>
      <c r="F353" t="s">
        <v>1471</v>
      </c>
      <c r="G353" t="s">
        <v>1382</v>
      </c>
      <c r="H353" t="s">
        <v>1393</v>
      </c>
      <c r="I353" t="s">
        <v>1382</v>
      </c>
      <c r="J353" t="s">
        <v>1382</v>
      </c>
      <c r="K353" t="b">
        <v>0</v>
      </c>
      <c r="L353" t="b">
        <v>1</v>
      </c>
      <c r="M353" t="s">
        <v>1472</v>
      </c>
      <c r="N353" t="s">
        <v>1384</v>
      </c>
      <c r="O353" t="s">
        <v>1473</v>
      </c>
      <c r="P353" t="s">
        <v>1474</v>
      </c>
      <c r="Q353" t="s">
        <v>1475</v>
      </c>
    </row>
    <row r="354" spans="1:17" x14ac:dyDescent="0.25">
      <c r="A354" t="s">
        <v>39</v>
      </c>
      <c r="B354" t="s">
        <v>2133</v>
      </c>
      <c r="C354" t="s">
        <v>394</v>
      </c>
      <c r="D354" t="s">
        <v>1442</v>
      </c>
      <c r="E354">
        <v>0</v>
      </c>
      <c r="F354" t="s">
        <v>1471</v>
      </c>
      <c r="G354" t="s">
        <v>1382</v>
      </c>
      <c r="H354" t="s">
        <v>1393</v>
      </c>
      <c r="I354" t="s">
        <v>1382</v>
      </c>
      <c r="J354" t="s">
        <v>1382</v>
      </c>
      <c r="K354" t="b">
        <v>0</v>
      </c>
      <c r="L354" t="b">
        <v>1</v>
      </c>
      <c r="M354" t="s">
        <v>1472</v>
      </c>
      <c r="N354" t="s">
        <v>1384</v>
      </c>
      <c r="O354" t="s">
        <v>1473</v>
      </c>
      <c r="P354" t="s">
        <v>1474</v>
      </c>
      <c r="Q354" t="s">
        <v>1475</v>
      </c>
    </row>
    <row r="355" spans="1:17" x14ac:dyDescent="0.25">
      <c r="A355" t="s">
        <v>39</v>
      </c>
      <c r="B355" t="s">
        <v>2134</v>
      </c>
      <c r="C355" t="s">
        <v>399</v>
      </c>
      <c r="D355" t="s">
        <v>1380</v>
      </c>
      <c r="E355">
        <v>-68.769</v>
      </c>
      <c r="F355" t="s">
        <v>1400</v>
      </c>
      <c r="G355" t="s">
        <v>2135</v>
      </c>
      <c r="H355" t="s">
        <v>1393</v>
      </c>
      <c r="I355" t="s">
        <v>1402</v>
      </c>
      <c r="J355" t="s">
        <v>1382</v>
      </c>
      <c r="K355" t="b">
        <v>1</v>
      </c>
      <c r="L355" t="b">
        <v>0</v>
      </c>
      <c r="M355" t="s">
        <v>1382</v>
      </c>
      <c r="N355" t="s">
        <v>1506</v>
      </c>
      <c r="O355" t="s">
        <v>1385</v>
      </c>
      <c r="P355" t="s">
        <v>1404</v>
      </c>
      <c r="Q355" t="s">
        <v>1382</v>
      </c>
    </row>
    <row r="356" spans="1:17" x14ac:dyDescent="0.25">
      <c r="A356" t="s">
        <v>39</v>
      </c>
      <c r="B356" t="s">
        <v>2136</v>
      </c>
      <c r="C356" t="s">
        <v>399</v>
      </c>
      <c r="D356" t="s">
        <v>1407</v>
      </c>
      <c r="E356">
        <v>-69.93999999999998</v>
      </c>
      <c r="F356" t="s">
        <v>1471</v>
      </c>
      <c r="G356" t="s">
        <v>2137</v>
      </c>
      <c r="H356" t="s">
        <v>1393</v>
      </c>
      <c r="I356" t="s">
        <v>1382</v>
      </c>
      <c r="J356" t="s">
        <v>1382</v>
      </c>
      <c r="K356" t="b">
        <v>0</v>
      </c>
      <c r="L356" t="b">
        <v>1</v>
      </c>
      <c r="M356" t="s">
        <v>1472</v>
      </c>
      <c r="N356" t="s">
        <v>1384</v>
      </c>
      <c r="O356" t="s">
        <v>1473</v>
      </c>
      <c r="P356" t="s">
        <v>1474</v>
      </c>
      <c r="Q356" t="s">
        <v>1475</v>
      </c>
    </row>
    <row r="357" spans="1:17" x14ac:dyDescent="0.25">
      <c r="A357" t="s">
        <v>39</v>
      </c>
      <c r="B357" t="s">
        <v>2138</v>
      </c>
      <c r="C357" t="s">
        <v>399</v>
      </c>
      <c r="D357" t="s">
        <v>1411</v>
      </c>
      <c r="E357">
        <v>-69.9</v>
      </c>
      <c r="F357" t="s">
        <v>1471</v>
      </c>
      <c r="G357" t="s">
        <v>2137</v>
      </c>
      <c r="H357" t="s">
        <v>1393</v>
      </c>
      <c r="I357" t="s">
        <v>1382</v>
      </c>
      <c r="J357" t="s">
        <v>1382</v>
      </c>
      <c r="K357" t="b">
        <v>0</v>
      </c>
      <c r="L357" t="b">
        <v>1</v>
      </c>
      <c r="M357" t="s">
        <v>1472</v>
      </c>
      <c r="N357" t="s">
        <v>1384</v>
      </c>
      <c r="O357" t="s">
        <v>1473</v>
      </c>
      <c r="P357" t="s">
        <v>1474</v>
      </c>
      <c r="Q357" t="s">
        <v>1475</v>
      </c>
    </row>
    <row r="358" spans="1:17" x14ac:dyDescent="0.25">
      <c r="A358" t="s">
        <v>39</v>
      </c>
      <c r="B358" t="s">
        <v>2139</v>
      </c>
      <c r="C358" t="s">
        <v>399</v>
      </c>
      <c r="D358" t="s">
        <v>1415</v>
      </c>
      <c r="E358">
        <v>-69.978</v>
      </c>
      <c r="F358" t="s">
        <v>1400</v>
      </c>
      <c r="G358" t="s">
        <v>2140</v>
      </c>
      <c r="H358" t="s">
        <v>1393</v>
      </c>
      <c r="I358" t="s">
        <v>1382</v>
      </c>
      <c r="J358" t="s">
        <v>1382</v>
      </c>
      <c r="K358" t="b">
        <v>1</v>
      </c>
      <c r="L358" t="b">
        <v>1</v>
      </c>
      <c r="M358" t="s">
        <v>2141</v>
      </c>
      <c r="N358" t="s">
        <v>1506</v>
      </c>
      <c r="O358" t="s">
        <v>1385</v>
      </c>
      <c r="P358" t="s">
        <v>1404</v>
      </c>
      <c r="Q358" t="s">
        <v>2142</v>
      </c>
    </row>
    <row r="359" spans="1:17" x14ac:dyDescent="0.25">
      <c r="A359" t="s">
        <v>39</v>
      </c>
      <c r="B359" t="s">
        <v>2143</v>
      </c>
      <c r="C359" t="s">
        <v>399</v>
      </c>
      <c r="D359" t="s">
        <v>1389</v>
      </c>
      <c r="E359">
        <v>-69.9</v>
      </c>
      <c r="F359" t="s">
        <v>1471</v>
      </c>
      <c r="G359" t="s">
        <v>2137</v>
      </c>
      <c r="H359" t="s">
        <v>1393</v>
      </c>
      <c r="I359" t="s">
        <v>1382</v>
      </c>
      <c r="J359" t="s">
        <v>1382</v>
      </c>
      <c r="K359" t="b">
        <v>0</v>
      </c>
      <c r="L359" t="b">
        <v>1</v>
      </c>
      <c r="M359" t="s">
        <v>1472</v>
      </c>
      <c r="N359" t="s">
        <v>1384</v>
      </c>
      <c r="O359" t="s">
        <v>1473</v>
      </c>
      <c r="P359" t="s">
        <v>1474</v>
      </c>
      <c r="Q359" t="s">
        <v>1475</v>
      </c>
    </row>
    <row r="360" spans="1:17" x14ac:dyDescent="0.25">
      <c r="A360" t="s">
        <v>39</v>
      </c>
      <c r="B360" t="s">
        <v>2144</v>
      </c>
      <c r="C360" t="s">
        <v>399</v>
      </c>
      <c r="D360" t="s">
        <v>1422</v>
      </c>
      <c r="E360">
        <v>-69.9</v>
      </c>
      <c r="F360" t="s">
        <v>1471</v>
      </c>
      <c r="G360" t="s">
        <v>2137</v>
      </c>
      <c r="H360" t="s">
        <v>1393</v>
      </c>
      <c r="I360" t="s">
        <v>1382</v>
      </c>
      <c r="J360" t="s">
        <v>1382</v>
      </c>
      <c r="K360" t="b">
        <v>0</v>
      </c>
      <c r="L360" t="b">
        <v>1</v>
      </c>
      <c r="M360" t="s">
        <v>1472</v>
      </c>
      <c r="N360" t="s">
        <v>1384</v>
      </c>
      <c r="O360" t="s">
        <v>1473</v>
      </c>
      <c r="P360" t="s">
        <v>1474</v>
      </c>
      <c r="Q360" t="s">
        <v>1475</v>
      </c>
    </row>
    <row r="361" spans="1:17" x14ac:dyDescent="0.25">
      <c r="A361" t="s">
        <v>39</v>
      </c>
      <c r="B361" t="s">
        <v>2145</v>
      </c>
      <c r="C361" t="s">
        <v>399</v>
      </c>
      <c r="D361" t="s">
        <v>1426</v>
      </c>
      <c r="E361">
        <v>-81.6</v>
      </c>
      <c r="F361" t="s">
        <v>1471</v>
      </c>
      <c r="G361" t="s">
        <v>2137</v>
      </c>
      <c r="H361" t="s">
        <v>1393</v>
      </c>
      <c r="I361" t="s">
        <v>1382</v>
      </c>
      <c r="J361" t="s">
        <v>1382</v>
      </c>
      <c r="K361" t="b">
        <v>0</v>
      </c>
      <c r="L361" t="b">
        <v>1</v>
      </c>
      <c r="M361" t="s">
        <v>1472</v>
      </c>
      <c r="N361" t="s">
        <v>1384</v>
      </c>
      <c r="O361" t="s">
        <v>1473</v>
      </c>
      <c r="P361" t="s">
        <v>1474</v>
      </c>
      <c r="Q361" t="s">
        <v>1475</v>
      </c>
    </row>
    <row r="362" spans="1:17" x14ac:dyDescent="0.25">
      <c r="A362" t="s">
        <v>39</v>
      </c>
      <c r="B362" t="s">
        <v>2146</v>
      </c>
      <c r="C362" t="s">
        <v>399</v>
      </c>
      <c r="D362" t="s">
        <v>1430</v>
      </c>
      <c r="E362">
        <v>-81.55999999999997</v>
      </c>
      <c r="F362" t="s">
        <v>1471</v>
      </c>
      <c r="G362" t="s">
        <v>2137</v>
      </c>
      <c r="H362" t="s">
        <v>1393</v>
      </c>
      <c r="I362" t="s">
        <v>1382</v>
      </c>
      <c r="J362" t="s">
        <v>1382</v>
      </c>
      <c r="K362" t="b">
        <v>0</v>
      </c>
      <c r="L362" t="b">
        <v>1</v>
      </c>
      <c r="M362" t="s">
        <v>1472</v>
      </c>
      <c r="N362" t="s">
        <v>1384</v>
      </c>
      <c r="O362" t="s">
        <v>1473</v>
      </c>
      <c r="P362" t="s">
        <v>1474</v>
      </c>
      <c r="Q362" t="s">
        <v>1475</v>
      </c>
    </row>
    <row r="363" spans="1:17" x14ac:dyDescent="0.25">
      <c r="A363" t="s">
        <v>39</v>
      </c>
      <c r="B363" t="s">
        <v>2147</v>
      </c>
      <c r="C363" t="s">
        <v>399</v>
      </c>
      <c r="D363" t="s">
        <v>1391</v>
      </c>
      <c r="E363">
        <v>-92.7</v>
      </c>
      <c r="F363" t="s">
        <v>1471</v>
      </c>
      <c r="G363" t="s">
        <v>2137</v>
      </c>
      <c r="H363" t="s">
        <v>1393</v>
      </c>
      <c r="I363" t="s">
        <v>1382</v>
      </c>
      <c r="J363" t="s">
        <v>1382</v>
      </c>
      <c r="K363" t="b">
        <v>0</v>
      </c>
      <c r="L363" t="b">
        <v>1</v>
      </c>
      <c r="M363" t="s">
        <v>1472</v>
      </c>
      <c r="N363" t="s">
        <v>1384</v>
      </c>
      <c r="O363" t="s">
        <v>1473</v>
      </c>
      <c r="P363" t="s">
        <v>1474</v>
      </c>
      <c r="Q363" t="s">
        <v>1475</v>
      </c>
    </row>
    <row r="364" spans="1:17" x14ac:dyDescent="0.25">
      <c r="A364" t="s">
        <v>39</v>
      </c>
      <c r="B364" t="s">
        <v>2148</v>
      </c>
      <c r="C364" t="s">
        <v>399</v>
      </c>
      <c r="D364" t="s">
        <v>1437</v>
      </c>
      <c r="E364">
        <v>-94.39999999999999</v>
      </c>
      <c r="F364" t="s">
        <v>1471</v>
      </c>
      <c r="G364" t="s">
        <v>2137</v>
      </c>
      <c r="H364" t="s">
        <v>1393</v>
      </c>
      <c r="I364" t="s">
        <v>1382</v>
      </c>
      <c r="J364" t="s">
        <v>1382</v>
      </c>
      <c r="K364" t="b">
        <v>0</v>
      </c>
      <c r="L364" t="b">
        <v>1</v>
      </c>
      <c r="M364" t="s">
        <v>1472</v>
      </c>
      <c r="N364" t="s">
        <v>1384</v>
      </c>
      <c r="O364" t="s">
        <v>1473</v>
      </c>
      <c r="P364" t="s">
        <v>1474</v>
      </c>
      <c r="Q364" t="s">
        <v>1475</v>
      </c>
    </row>
    <row r="365" spans="1:17" x14ac:dyDescent="0.25">
      <c r="A365" t="s">
        <v>39</v>
      </c>
      <c r="B365" t="s">
        <v>2149</v>
      </c>
      <c r="C365" t="s">
        <v>399</v>
      </c>
      <c r="D365" t="s">
        <v>1439</v>
      </c>
      <c r="E365">
        <v>-93.50000000000003</v>
      </c>
      <c r="F365" t="s">
        <v>1471</v>
      </c>
      <c r="G365" t="s">
        <v>2137</v>
      </c>
      <c r="H365" t="s">
        <v>1393</v>
      </c>
      <c r="I365" t="s">
        <v>1382</v>
      </c>
      <c r="J365" t="s">
        <v>1382</v>
      </c>
      <c r="K365" t="b">
        <v>0</v>
      </c>
      <c r="L365" t="b">
        <v>1</v>
      </c>
      <c r="M365" t="s">
        <v>1472</v>
      </c>
      <c r="N365" t="s">
        <v>1384</v>
      </c>
      <c r="O365" t="s">
        <v>1473</v>
      </c>
      <c r="P365" t="s">
        <v>1474</v>
      </c>
      <c r="Q365" t="s">
        <v>1475</v>
      </c>
    </row>
    <row r="366" spans="1:17" x14ac:dyDescent="0.25">
      <c r="A366" t="s">
        <v>39</v>
      </c>
      <c r="B366" t="s">
        <v>2150</v>
      </c>
      <c r="C366" t="s">
        <v>399</v>
      </c>
      <c r="D366" t="s">
        <v>1442</v>
      </c>
      <c r="E366">
        <v>-93.52999999999997</v>
      </c>
      <c r="F366" t="s">
        <v>1471</v>
      </c>
      <c r="G366" t="s">
        <v>2137</v>
      </c>
      <c r="H366" t="s">
        <v>1393</v>
      </c>
      <c r="I366" t="s">
        <v>1382</v>
      </c>
      <c r="J366" t="s">
        <v>1382</v>
      </c>
      <c r="K366" t="b">
        <v>0</v>
      </c>
      <c r="L366" t="b">
        <v>1</v>
      </c>
      <c r="M366" t="s">
        <v>1472</v>
      </c>
      <c r="N366" t="s">
        <v>1384</v>
      </c>
      <c r="O366" t="s">
        <v>1473</v>
      </c>
      <c r="P366" t="s">
        <v>1474</v>
      </c>
      <c r="Q366" t="s">
        <v>1475</v>
      </c>
    </row>
    <row r="367" spans="1:17" x14ac:dyDescent="0.25">
      <c r="A367" t="s">
        <v>39</v>
      </c>
      <c r="B367" t="s">
        <v>2151</v>
      </c>
      <c r="C367" t="s">
        <v>394</v>
      </c>
      <c r="D367" t="s">
        <v>1407</v>
      </c>
      <c r="E367">
        <v>0</v>
      </c>
      <c r="F367" t="s">
        <v>1471</v>
      </c>
      <c r="G367" t="s">
        <v>1382</v>
      </c>
      <c r="H367" t="s">
        <v>1393</v>
      </c>
      <c r="I367" t="s">
        <v>1382</v>
      </c>
      <c r="J367" t="s">
        <v>1382</v>
      </c>
      <c r="K367" t="b">
        <v>0</v>
      </c>
      <c r="L367" t="b">
        <v>1</v>
      </c>
      <c r="M367" t="s">
        <v>1472</v>
      </c>
      <c r="N367" t="s">
        <v>1384</v>
      </c>
      <c r="O367" t="s">
        <v>1473</v>
      </c>
      <c r="P367" t="s">
        <v>1474</v>
      </c>
      <c r="Q367" t="s">
        <v>1475</v>
      </c>
    </row>
    <row r="368" spans="1:17" x14ac:dyDescent="0.25">
      <c r="A368" t="s">
        <v>39</v>
      </c>
      <c r="B368" t="s">
        <v>2152</v>
      </c>
      <c r="C368" t="s">
        <v>394</v>
      </c>
      <c r="D368" t="s">
        <v>1411</v>
      </c>
      <c r="E368">
        <v>0</v>
      </c>
      <c r="F368" t="s">
        <v>1471</v>
      </c>
      <c r="G368" t="s">
        <v>1382</v>
      </c>
      <c r="H368" t="s">
        <v>1393</v>
      </c>
      <c r="I368" t="s">
        <v>1382</v>
      </c>
      <c r="J368" t="s">
        <v>1382</v>
      </c>
      <c r="K368" t="b">
        <v>0</v>
      </c>
      <c r="L368" t="b">
        <v>1</v>
      </c>
      <c r="M368" t="s">
        <v>1472</v>
      </c>
      <c r="N368" t="s">
        <v>1384</v>
      </c>
      <c r="O368" t="s">
        <v>1473</v>
      </c>
      <c r="P368" t="s">
        <v>1474</v>
      </c>
      <c r="Q368" t="s">
        <v>1475</v>
      </c>
    </row>
    <row r="369" spans="1:17" x14ac:dyDescent="0.25">
      <c r="A369" t="s">
        <v>39</v>
      </c>
      <c r="B369" t="s">
        <v>2153</v>
      </c>
      <c r="C369" t="s">
        <v>394</v>
      </c>
      <c r="D369" t="s">
        <v>1415</v>
      </c>
      <c r="E369">
        <v>0</v>
      </c>
      <c r="F369" t="s">
        <v>1471</v>
      </c>
      <c r="G369" t="s">
        <v>1382</v>
      </c>
      <c r="H369" t="s">
        <v>1393</v>
      </c>
      <c r="I369" t="s">
        <v>1382</v>
      </c>
      <c r="J369" t="s">
        <v>1382</v>
      </c>
      <c r="K369" t="b">
        <v>0</v>
      </c>
      <c r="L369" t="b">
        <v>1</v>
      </c>
      <c r="M369" t="s">
        <v>1472</v>
      </c>
      <c r="N369" t="s">
        <v>1384</v>
      </c>
      <c r="O369" t="s">
        <v>1473</v>
      </c>
      <c r="P369" t="s">
        <v>1474</v>
      </c>
      <c r="Q369" t="s">
        <v>1475</v>
      </c>
    </row>
    <row r="370" spans="1:17" x14ac:dyDescent="0.25">
      <c r="A370" t="s">
        <v>39</v>
      </c>
      <c r="B370" t="s">
        <v>2154</v>
      </c>
      <c r="C370" t="s">
        <v>394</v>
      </c>
      <c r="D370" t="s">
        <v>1389</v>
      </c>
      <c r="E370">
        <v>0</v>
      </c>
      <c r="F370" t="s">
        <v>1471</v>
      </c>
      <c r="G370" t="s">
        <v>1382</v>
      </c>
      <c r="H370" t="s">
        <v>1393</v>
      </c>
      <c r="I370" t="s">
        <v>1382</v>
      </c>
      <c r="J370" t="s">
        <v>1382</v>
      </c>
      <c r="K370" t="b">
        <v>0</v>
      </c>
      <c r="L370" t="b">
        <v>1</v>
      </c>
      <c r="M370" t="s">
        <v>1472</v>
      </c>
      <c r="N370" t="s">
        <v>1384</v>
      </c>
      <c r="O370" t="s">
        <v>1473</v>
      </c>
      <c r="P370" t="s">
        <v>1474</v>
      </c>
      <c r="Q370" t="s">
        <v>1475</v>
      </c>
    </row>
    <row r="371" spans="1:17" x14ac:dyDescent="0.25">
      <c r="A371" t="s">
        <v>39</v>
      </c>
      <c r="B371" t="s">
        <v>2155</v>
      </c>
      <c r="C371" t="s">
        <v>394</v>
      </c>
      <c r="D371" t="s">
        <v>1422</v>
      </c>
      <c r="E371">
        <v>0</v>
      </c>
      <c r="F371" t="s">
        <v>1471</v>
      </c>
      <c r="G371" t="s">
        <v>1382</v>
      </c>
      <c r="H371" t="s">
        <v>1393</v>
      </c>
      <c r="I371" t="s">
        <v>1382</v>
      </c>
      <c r="J371" t="s">
        <v>1382</v>
      </c>
      <c r="K371" t="b">
        <v>0</v>
      </c>
      <c r="L371" t="b">
        <v>1</v>
      </c>
      <c r="M371" t="s">
        <v>1472</v>
      </c>
      <c r="N371" t="s">
        <v>1384</v>
      </c>
      <c r="O371" t="s">
        <v>1473</v>
      </c>
      <c r="P371" t="s">
        <v>1474</v>
      </c>
      <c r="Q371" t="s">
        <v>1475</v>
      </c>
    </row>
    <row r="372" spans="1:17" x14ac:dyDescent="0.25">
      <c r="A372" t="s">
        <v>39</v>
      </c>
      <c r="B372" t="s">
        <v>2156</v>
      </c>
      <c r="C372" t="s">
        <v>394</v>
      </c>
      <c r="D372" t="s">
        <v>1426</v>
      </c>
      <c r="E372">
        <v>0</v>
      </c>
      <c r="F372" t="s">
        <v>1471</v>
      </c>
      <c r="G372" t="s">
        <v>1382</v>
      </c>
      <c r="H372" t="s">
        <v>1393</v>
      </c>
      <c r="I372" t="s">
        <v>1382</v>
      </c>
      <c r="J372" t="s">
        <v>1382</v>
      </c>
      <c r="K372" t="b">
        <v>0</v>
      </c>
      <c r="L372" t="b">
        <v>1</v>
      </c>
      <c r="M372" t="s">
        <v>1472</v>
      </c>
      <c r="N372" t="s">
        <v>1384</v>
      </c>
      <c r="O372" t="s">
        <v>1473</v>
      </c>
      <c r="P372" t="s">
        <v>1474</v>
      </c>
      <c r="Q372" t="s">
        <v>1475</v>
      </c>
    </row>
    <row r="373" spans="1:17" x14ac:dyDescent="0.25">
      <c r="A373" t="s">
        <v>39</v>
      </c>
      <c r="B373" t="s">
        <v>2157</v>
      </c>
      <c r="C373" t="s">
        <v>394</v>
      </c>
      <c r="D373" t="s">
        <v>1430</v>
      </c>
      <c r="E373">
        <v>0</v>
      </c>
      <c r="F373" t="s">
        <v>1471</v>
      </c>
      <c r="G373" t="s">
        <v>1382</v>
      </c>
      <c r="H373" t="s">
        <v>1393</v>
      </c>
      <c r="I373" t="s">
        <v>1382</v>
      </c>
      <c r="J373" t="s">
        <v>1382</v>
      </c>
      <c r="K373" t="b">
        <v>0</v>
      </c>
      <c r="L373" t="b">
        <v>1</v>
      </c>
      <c r="M373" t="s">
        <v>1472</v>
      </c>
      <c r="N373" t="s">
        <v>1384</v>
      </c>
      <c r="O373" t="s">
        <v>1473</v>
      </c>
      <c r="P373" t="s">
        <v>1474</v>
      </c>
      <c r="Q373" t="s">
        <v>1475</v>
      </c>
    </row>
    <row r="374" spans="1:17" x14ac:dyDescent="0.25">
      <c r="A374" t="s">
        <v>39</v>
      </c>
      <c r="B374" t="s">
        <v>2158</v>
      </c>
      <c r="C374" t="s">
        <v>394</v>
      </c>
      <c r="D374" t="s">
        <v>1391</v>
      </c>
      <c r="E374">
        <v>0</v>
      </c>
      <c r="F374" t="s">
        <v>1471</v>
      </c>
      <c r="G374" t="s">
        <v>1382</v>
      </c>
      <c r="H374" t="s">
        <v>1393</v>
      </c>
      <c r="I374" t="s">
        <v>1382</v>
      </c>
      <c r="J374" t="s">
        <v>1382</v>
      </c>
      <c r="K374" t="b">
        <v>0</v>
      </c>
      <c r="L374" t="b">
        <v>1</v>
      </c>
      <c r="M374" t="s">
        <v>1472</v>
      </c>
      <c r="N374" t="s">
        <v>1384</v>
      </c>
      <c r="O374" t="s">
        <v>1473</v>
      </c>
      <c r="P374" t="s">
        <v>1474</v>
      </c>
      <c r="Q374" t="s">
        <v>1475</v>
      </c>
    </row>
    <row r="375" spans="1:17" x14ac:dyDescent="0.25">
      <c r="A375" t="s">
        <v>39</v>
      </c>
      <c r="B375" t="s">
        <v>2159</v>
      </c>
      <c r="C375" t="s">
        <v>394</v>
      </c>
      <c r="D375" t="s">
        <v>1437</v>
      </c>
      <c r="E375">
        <v>0</v>
      </c>
      <c r="F375" t="s">
        <v>1471</v>
      </c>
      <c r="G375" t="s">
        <v>1382</v>
      </c>
      <c r="H375" t="s">
        <v>1393</v>
      </c>
      <c r="I375" t="s">
        <v>1382</v>
      </c>
      <c r="J375" t="s">
        <v>1382</v>
      </c>
      <c r="K375" t="b">
        <v>0</v>
      </c>
      <c r="L375" t="b">
        <v>1</v>
      </c>
      <c r="M375" t="s">
        <v>1472</v>
      </c>
      <c r="N375" t="s">
        <v>1384</v>
      </c>
      <c r="O375" t="s">
        <v>1473</v>
      </c>
      <c r="P375" t="s">
        <v>1474</v>
      </c>
      <c r="Q375" t="s">
        <v>1475</v>
      </c>
    </row>
    <row r="376" spans="1:17" x14ac:dyDescent="0.25">
      <c r="A376" t="s">
        <v>39</v>
      </c>
      <c r="B376" t="s">
        <v>2160</v>
      </c>
      <c r="C376" t="s">
        <v>394</v>
      </c>
      <c r="D376" t="s">
        <v>1439</v>
      </c>
      <c r="E376">
        <v>0</v>
      </c>
      <c r="F376" t="s">
        <v>1471</v>
      </c>
      <c r="G376" t="s">
        <v>1382</v>
      </c>
      <c r="H376" t="s">
        <v>1393</v>
      </c>
      <c r="I376" t="s">
        <v>1382</v>
      </c>
      <c r="J376" t="s">
        <v>1382</v>
      </c>
      <c r="K376" t="b">
        <v>0</v>
      </c>
      <c r="L376" t="b">
        <v>1</v>
      </c>
      <c r="M376" t="s">
        <v>1472</v>
      </c>
      <c r="N376" t="s">
        <v>1384</v>
      </c>
      <c r="O376" t="s">
        <v>1473</v>
      </c>
      <c r="P376" t="s">
        <v>1474</v>
      </c>
      <c r="Q376" t="s">
        <v>1475</v>
      </c>
    </row>
    <row r="377" spans="1:17" x14ac:dyDescent="0.25">
      <c r="A377" t="s">
        <v>39</v>
      </c>
      <c r="B377" t="s">
        <v>2161</v>
      </c>
      <c r="C377" t="s">
        <v>394</v>
      </c>
      <c r="D377" t="s">
        <v>1442</v>
      </c>
      <c r="E377">
        <v>0</v>
      </c>
      <c r="F377" t="s">
        <v>1471</v>
      </c>
      <c r="G377" t="s">
        <v>1382</v>
      </c>
      <c r="H377" t="s">
        <v>1393</v>
      </c>
      <c r="I377" t="s">
        <v>1382</v>
      </c>
      <c r="J377" t="s">
        <v>1382</v>
      </c>
      <c r="K377" t="b">
        <v>0</v>
      </c>
      <c r="L377" t="b">
        <v>1</v>
      </c>
      <c r="M377" t="s">
        <v>1472</v>
      </c>
      <c r="N377" t="s">
        <v>1384</v>
      </c>
      <c r="O377" t="s">
        <v>1473</v>
      </c>
      <c r="P377" t="s">
        <v>1474</v>
      </c>
      <c r="Q377" t="s">
        <v>1475</v>
      </c>
    </row>
    <row r="378" spans="1:17" x14ac:dyDescent="0.25">
      <c r="A378" t="s">
        <v>39</v>
      </c>
      <c r="B378" t="s">
        <v>2162</v>
      </c>
      <c r="C378" t="s">
        <v>394</v>
      </c>
      <c r="D378" t="s">
        <v>1380</v>
      </c>
      <c r="E378">
        <v>0</v>
      </c>
      <c r="F378" t="s">
        <v>1471</v>
      </c>
      <c r="G378" t="s">
        <v>1382</v>
      </c>
      <c r="H378" t="s">
        <v>1393</v>
      </c>
      <c r="I378" t="s">
        <v>1382</v>
      </c>
      <c r="J378" t="s">
        <v>1382</v>
      </c>
      <c r="K378" t="b">
        <v>0</v>
      </c>
      <c r="L378" t="b">
        <v>1</v>
      </c>
      <c r="M378" t="s">
        <v>1472</v>
      </c>
      <c r="N378" t="s">
        <v>1384</v>
      </c>
      <c r="O378" t="s">
        <v>1473</v>
      </c>
      <c r="P378" t="s">
        <v>1474</v>
      </c>
      <c r="Q378" t="s">
        <v>1475</v>
      </c>
    </row>
    <row r="379" spans="1:17" x14ac:dyDescent="0.25">
      <c r="A379" t="s">
        <v>39</v>
      </c>
      <c r="B379" t="s">
        <v>2163</v>
      </c>
      <c r="C379" t="s">
        <v>394</v>
      </c>
      <c r="D379" t="s">
        <v>1407</v>
      </c>
      <c r="E379">
        <v>0</v>
      </c>
      <c r="F379" t="s">
        <v>1471</v>
      </c>
      <c r="G379" t="s">
        <v>1382</v>
      </c>
      <c r="H379" t="s">
        <v>1393</v>
      </c>
      <c r="I379" t="s">
        <v>1382</v>
      </c>
      <c r="J379" t="s">
        <v>1382</v>
      </c>
      <c r="K379" t="b">
        <v>0</v>
      </c>
      <c r="L379" t="b">
        <v>1</v>
      </c>
      <c r="M379" t="s">
        <v>1472</v>
      </c>
      <c r="N379" t="s">
        <v>1384</v>
      </c>
      <c r="O379" t="s">
        <v>1473</v>
      </c>
      <c r="P379" t="s">
        <v>1474</v>
      </c>
      <c r="Q379" t="s">
        <v>1475</v>
      </c>
    </row>
    <row r="380" spans="1:17" x14ac:dyDescent="0.25">
      <c r="A380" t="s">
        <v>39</v>
      </c>
      <c r="B380" t="s">
        <v>2164</v>
      </c>
      <c r="C380" t="s">
        <v>394</v>
      </c>
      <c r="D380" t="s">
        <v>1411</v>
      </c>
      <c r="E380">
        <v>0</v>
      </c>
      <c r="F380" t="s">
        <v>1471</v>
      </c>
      <c r="G380" t="s">
        <v>1382</v>
      </c>
      <c r="H380" t="s">
        <v>1393</v>
      </c>
      <c r="I380" t="s">
        <v>1382</v>
      </c>
      <c r="J380" t="s">
        <v>1382</v>
      </c>
      <c r="K380" t="b">
        <v>0</v>
      </c>
      <c r="L380" t="b">
        <v>1</v>
      </c>
      <c r="M380" t="s">
        <v>1472</v>
      </c>
      <c r="N380" t="s">
        <v>1384</v>
      </c>
      <c r="O380" t="s">
        <v>1473</v>
      </c>
      <c r="P380" t="s">
        <v>1474</v>
      </c>
      <c r="Q380" t="s">
        <v>1475</v>
      </c>
    </row>
    <row r="381" spans="1:17" x14ac:dyDescent="0.25">
      <c r="A381" t="s">
        <v>39</v>
      </c>
      <c r="B381" t="s">
        <v>2165</v>
      </c>
      <c r="C381" t="s">
        <v>394</v>
      </c>
      <c r="D381" t="s">
        <v>1415</v>
      </c>
      <c r="E381">
        <v>0</v>
      </c>
      <c r="F381" t="s">
        <v>1471</v>
      </c>
      <c r="G381" t="s">
        <v>1382</v>
      </c>
      <c r="H381" t="s">
        <v>1393</v>
      </c>
      <c r="I381" t="s">
        <v>1382</v>
      </c>
      <c r="J381" t="s">
        <v>1382</v>
      </c>
      <c r="K381" t="b">
        <v>0</v>
      </c>
      <c r="L381" t="b">
        <v>1</v>
      </c>
      <c r="M381" t="s">
        <v>1472</v>
      </c>
      <c r="N381" t="s">
        <v>1384</v>
      </c>
      <c r="O381" t="s">
        <v>1473</v>
      </c>
      <c r="P381" t="s">
        <v>1474</v>
      </c>
      <c r="Q381" t="s">
        <v>1475</v>
      </c>
    </row>
    <row r="382" spans="1:17" x14ac:dyDescent="0.25">
      <c r="A382" t="s">
        <v>39</v>
      </c>
      <c r="B382" t="s">
        <v>2166</v>
      </c>
      <c r="C382" t="s">
        <v>394</v>
      </c>
      <c r="D382" t="s">
        <v>1389</v>
      </c>
      <c r="E382">
        <v>0</v>
      </c>
      <c r="F382" t="s">
        <v>1471</v>
      </c>
      <c r="G382" t="s">
        <v>1382</v>
      </c>
      <c r="H382" t="s">
        <v>1393</v>
      </c>
      <c r="I382" t="s">
        <v>1382</v>
      </c>
      <c r="J382" t="s">
        <v>1382</v>
      </c>
      <c r="K382" t="b">
        <v>0</v>
      </c>
      <c r="L382" t="b">
        <v>1</v>
      </c>
      <c r="M382" t="s">
        <v>1472</v>
      </c>
      <c r="N382" t="s">
        <v>1384</v>
      </c>
      <c r="O382" t="s">
        <v>1473</v>
      </c>
      <c r="P382" t="s">
        <v>1474</v>
      </c>
      <c r="Q382" t="s">
        <v>1475</v>
      </c>
    </row>
    <row r="383" spans="1:17" x14ac:dyDescent="0.25">
      <c r="A383" t="s">
        <v>39</v>
      </c>
      <c r="B383" t="s">
        <v>2167</v>
      </c>
      <c r="C383" t="s">
        <v>394</v>
      </c>
      <c r="D383" t="s">
        <v>1422</v>
      </c>
      <c r="E383">
        <v>0</v>
      </c>
      <c r="F383" t="s">
        <v>1471</v>
      </c>
      <c r="G383" t="s">
        <v>1382</v>
      </c>
      <c r="H383" t="s">
        <v>1393</v>
      </c>
      <c r="I383" t="s">
        <v>1382</v>
      </c>
      <c r="J383" t="s">
        <v>1382</v>
      </c>
      <c r="K383" t="b">
        <v>0</v>
      </c>
      <c r="L383" t="b">
        <v>1</v>
      </c>
      <c r="M383" t="s">
        <v>1472</v>
      </c>
      <c r="N383" t="s">
        <v>1384</v>
      </c>
      <c r="O383" t="s">
        <v>1473</v>
      </c>
      <c r="P383" t="s">
        <v>1474</v>
      </c>
      <c r="Q383" t="s">
        <v>1475</v>
      </c>
    </row>
    <row r="384" spans="1:17" x14ac:dyDescent="0.25">
      <c r="A384" t="s">
        <v>39</v>
      </c>
      <c r="B384" t="s">
        <v>2168</v>
      </c>
      <c r="C384" t="s">
        <v>394</v>
      </c>
      <c r="D384" t="s">
        <v>1426</v>
      </c>
      <c r="E384">
        <v>0</v>
      </c>
      <c r="F384" t="s">
        <v>1471</v>
      </c>
      <c r="G384" t="s">
        <v>1382</v>
      </c>
      <c r="H384" t="s">
        <v>1393</v>
      </c>
      <c r="I384" t="s">
        <v>1382</v>
      </c>
      <c r="J384" t="s">
        <v>1382</v>
      </c>
      <c r="K384" t="b">
        <v>0</v>
      </c>
      <c r="L384" t="b">
        <v>1</v>
      </c>
      <c r="M384" t="s">
        <v>1472</v>
      </c>
      <c r="N384" t="s">
        <v>1384</v>
      </c>
      <c r="O384" t="s">
        <v>1473</v>
      </c>
      <c r="P384" t="s">
        <v>1474</v>
      </c>
      <c r="Q384" t="s">
        <v>1475</v>
      </c>
    </row>
    <row r="385" spans="1:17" x14ac:dyDescent="0.25">
      <c r="A385" t="s">
        <v>39</v>
      </c>
      <c r="B385" t="s">
        <v>2169</v>
      </c>
      <c r="C385" t="s">
        <v>394</v>
      </c>
      <c r="D385" t="s">
        <v>1430</v>
      </c>
      <c r="E385">
        <v>0</v>
      </c>
      <c r="F385" t="s">
        <v>1471</v>
      </c>
      <c r="G385" t="s">
        <v>1382</v>
      </c>
      <c r="H385" t="s">
        <v>1393</v>
      </c>
      <c r="I385" t="s">
        <v>1382</v>
      </c>
      <c r="J385" t="s">
        <v>1382</v>
      </c>
      <c r="K385" t="b">
        <v>0</v>
      </c>
      <c r="L385" t="b">
        <v>1</v>
      </c>
      <c r="M385" t="s">
        <v>1472</v>
      </c>
      <c r="N385" t="s">
        <v>1384</v>
      </c>
      <c r="O385" t="s">
        <v>1473</v>
      </c>
      <c r="P385" t="s">
        <v>1474</v>
      </c>
      <c r="Q385" t="s">
        <v>1475</v>
      </c>
    </row>
    <row r="386" spans="1:17" x14ac:dyDescent="0.25">
      <c r="A386" t="s">
        <v>39</v>
      </c>
      <c r="B386" t="s">
        <v>2170</v>
      </c>
      <c r="C386" t="s">
        <v>394</v>
      </c>
      <c r="D386" t="s">
        <v>1391</v>
      </c>
      <c r="E386">
        <v>0</v>
      </c>
      <c r="F386" t="s">
        <v>1471</v>
      </c>
      <c r="G386" t="s">
        <v>1382</v>
      </c>
      <c r="H386" t="s">
        <v>1393</v>
      </c>
      <c r="I386" t="s">
        <v>1382</v>
      </c>
      <c r="J386" t="s">
        <v>1382</v>
      </c>
      <c r="K386" t="b">
        <v>0</v>
      </c>
      <c r="L386" t="b">
        <v>1</v>
      </c>
      <c r="M386" t="s">
        <v>1472</v>
      </c>
      <c r="N386" t="s">
        <v>1384</v>
      </c>
      <c r="O386" t="s">
        <v>1473</v>
      </c>
      <c r="P386" t="s">
        <v>1474</v>
      </c>
      <c r="Q386" t="s">
        <v>1475</v>
      </c>
    </row>
    <row r="387" spans="1:17" x14ac:dyDescent="0.25">
      <c r="A387" t="s">
        <v>39</v>
      </c>
      <c r="B387" t="s">
        <v>2171</v>
      </c>
      <c r="C387" t="s">
        <v>394</v>
      </c>
      <c r="D387" t="s">
        <v>1437</v>
      </c>
      <c r="E387">
        <v>0</v>
      </c>
      <c r="F387" t="s">
        <v>1471</v>
      </c>
      <c r="G387" t="s">
        <v>1382</v>
      </c>
      <c r="H387" t="s">
        <v>1393</v>
      </c>
      <c r="I387" t="s">
        <v>1382</v>
      </c>
      <c r="J387" t="s">
        <v>1382</v>
      </c>
      <c r="K387" t="b">
        <v>0</v>
      </c>
      <c r="L387" t="b">
        <v>1</v>
      </c>
      <c r="M387" t="s">
        <v>1472</v>
      </c>
      <c r="N387" t="s">
        <v>1384</v>
      </c>
      <c r="O387" t="s">
        <v>1473</v>
      </c>
      <c r="P387" t="s">
        <v>1474</v>
      </c>
      <c r="Q387" t="s">
        <v>1475</v>
      </c>
    </row>
    <row r="388" spans="1:17" x14ac:dyDescent="0.25">
      <c r="A388" t="s">
        <v>39</v>
      </c>
      <c r="B388" t="s">
        <v>2172</v>
      </c>
      <c r="C388" t="s">
        <v>394</v>
      </c>
      <c r="D388" t="s">
        <v>1439</v>
      </c>
      <c r="E388">
        <v>0</v>
      </c>
      <c r="F388" t="s">
        <v>1471</v>
      </c>
      <c r="G388" t="s">
        <v>1382</v>
      </c>
      <c r="H388" t="s">
        <v>1393</v>
      </c>
      <c r="I388" t="s">
        <v>1382</v>
      </c>
      <c r="J388" t="s">
        <v>1382</v>
      </c>
      <c r="K388" t="b">
        <v>0</v>
      </c>
      <c r="L388" t="b">
        <v>1</v>
      </c>
      <c r="M388" t="s">
        <v>1472</v>
      </c>
      <c r="N388" t="s">
        <v>1384</v>
      </c>
      <c r="O388" t="s">
        <v>1473</v>
      </c>
      <c r="P388" t="s">
        <v>1474</v>
      </c>
      <c r="Q388" t="s">
        <v>1475</v>
      </c>
    </row>
    <row r="389" spans="1:17" x14ac:dyDescent="0.25">
      <c r="A389" t="s">
        <v>39</v>
      </c>
      <c r="B389" t="s">
        <v>2173</v>
      </c>
      <c r="C389" t="s">
        <v>394</v>
      </c>
      <c r="D389" t="s">
        <v>1442</v>
      </c>
      <c r="E389">
        <v>0</v>
      </c>
      <c r="F389" t="s">
        <v>1471</v>
      </c>
      <c r="G389" t="s">
        <v>1382</v>
      </c>
      <c r="H389" t="s">
        <v>1393</v>
      </c>
      <c r="I389" t="s">
        <v>1382</v>
      </c>
      <c r="J389" t="s">
        <v>1382</v>
      </c>
      <c r="K389" t="b">
        <v>0</v>
      </c>
      <c r="L389" t="b">
        <v>1</v>
      </c>
      <c r="M389" t="s">
        <v>1472</v>
      </c>
      <c r="N389" t="s">
        <v>1384</v>
      </c>
      <c r="O389" t="s">
        <v>1473</v>
      </c>
      <c r="P389" t="s">
        <v>1474</v>
      </c>
      <c r="Q389" t="s">
        <v>1475</v>
      </c>
    </row>
    <row r="390" spans="1:17" x14ac:dyDescent="0.25">
      <c r="A390" t="s">
        <v>39</v>
      </c>
      <c r="B390" t="s">
        <v>2174</v>
      </c>
      <c r="C390" t="s">
        <v>394</v>
      </c>
      <c r="D390" t="s">
        <v>1407</v>
      </c>
      <c r="E390">
        <v>0</v>
      </c>
      <c r="F390" t="s">
        <v>1471</v>
      </c>
      <c r="G390" t="s">
        <v>1382</v>
      </c>
      <c r="H390" t="s">
        <v>1393</v>
      </c>
      <c r="I390" t="s">
        <v>1382</v>
      </c>
      <c r="J390" t="s">
        <v>1382</v>
      </c>
      <c r="K390" t="b">
        <v>0</v>
      </c>
      <c r="L390" t="b">
        <v>1</v>
      </c>
      <c r="M390" t="s">
        <v>1472</v>
      </c>
      <c r="N390" t="s">
        <v>1384</v>
      </c>
      <c r="O390" t="s">
        <v>1473</v>
      </c>
      <c r="P390" t="s">
        <v>1474</v>
      </c>
      <c r="Q390" t="s">
        <v>1475</v>
      </c>
    </row>
    <row r="391" spans="1:17" x14ac:dyDescent="0.25">
      <c r="A391" t="s">
        <v>39</v>
      </c>
      <c r="B391" t="s">
        <v>2175</v>
      </c>
      <c r="C391" t="s">
        <v>394</v>
      </c>
      <c r="D391" t="s">
        <v>1411</v>
      </c>
      <c r="E391">
        <v>0</v>
      </c>
      <c r="F391" t="s">
        <v>1471</v>
      </c>
      <c r="G391" t="s">
        <v>1382</v>
      </c>
      <c r="H391" t="s">
        <v>1393</v>
      </c>
      <c r="I391" t="s">
        <v>1382</v>
      </c>
      <c r="J391" t="s">
        <v>1382</v>
      </c>
      <c r="K391" t="b">
        <v>0</v>
      </c>
      <c r="L391" t="b">
        <v>1</v>
      </c>
      <c r="M391" t="s">
        <v>1472</v>
      </c>
      <c r="N391" t="s">
        <v>1384</v>
      </c>
      <c r="O391" t="s">
        <v>1473</v>
      </c>
      <c r="P391" t="s">
        <v>1474</v>
      </c>
      <c r="Q391" t="s">
        <v>1475</v>
      </c>
    </row>
    <row r="392" spans="1:17" x14ac:dyDescent="0.25">
      <c r="A392" t="s">
        <v>39</v>
      </c>
      <c r="B392" t="s">
        <v>2176</v>
      </c>
      <c r="C392" t="s">
        <v>394</v>
      </c>
      <c r="D392" t="s">
        <v>1415</v>
      </c>
      <c r="E392">
        <v>0</v>
      </c>
      <c r="F392" t="s">
        <v>1471</v>
      </c>
      <c r="G392" t="s">
        <v>1382</v>
      </c>
      <c r="H392" t="s">
        <v>1393</v>
      </c>
      <c r="I392" t="s">
        <v>1382</v>
      </c>
      <c r="J392" t="s">
        <v>1382</v>
      </c>
      <c r="K392" t="b">
        <v>0</v>
      </c>
      <c r="L392" t="b">
        <v>1</v>
      </c>
      <c r="M392" t="s">
        <v>1472</v>
      </c>
      <c r="N392" t="s">
        <v>1384</v>
      </c>
      <c r="O392" t="s">
        <v>1473</v>
      </c>
      <c r="P392" t="s">
        <v>1474</v>
      </c>
      <c r="Q392" t="s">
        <v>1475</v>
      </c>
    </row>
    <row r="393" spans="1:17" x14ac:dyDescent="0.25">
      <c r="A393" t="s">
        <v>39</v>
      </c>
      <c r="B393" t="s">
        <v>2177</v>
      </c>
      <c r="C393" t="s">
        <v>394</v>
      </c>
      <c r="D393" t="s">
        <v>1389</v>
      </c>
      <c r="E393">
        <v>0</v>
      </c>
      <c r="F393" t="s">
        <v>1471</v>
      </c>
      <c r="G393" t="s">
        <v>1382</v>
      </c>
      <c r="H393" t="s">
        <v>1393</v>
      </c>
      <c r="I393" t="s">
        <v>1382</v>
      </c>
      <c r="J393" t="s">
        <v>1382</v>
      </c>
      <c r="K393" t="b">
        <v>0</v>
      </c>
      <c r="L393" t="b">
        <v>1</v>
      </c>
      <c r="M393" t="s">
        <v>1472</v>
      </c>
      <c r="N393" t="s">
        <v>1384</v>
      </c>
      <c r="O393" t="s">
        <v>1473</v>
      </c>
      <c r="P393" t="s">
        <v>1474</v>
      </c>
      <c r="Q393" t="s">
        <v>1475</v>
      </c>
    </row>
    <row r="394" spans="1:17" x14ac:dyDescent="0.25">
      <c r="A394" t="s">
        <v>39</v>
      </c>
      <c r="B394" t="s">
        <v>2178</v>
      </c>
      <c r="C394" t="s">
        <v>394</v>
      </c>
      <c r="D394" t="s">
        <v>1422</v>
      </c>
      <c r="E394">
        <v>0</v>
      </c>
      <c r="F394" t="s">
        <v>1471</v>
      </c>
      <c r="G394" t="s">
        <v>1382</v>
      </c>
      <c r="H394" t="s">
        <v>1393</v>
      </c>
      <c r="I394" t="s">
        <v>1382</v>
      </c>
      <c r="J394" t="s">
        <v>1382</v>
      </c>
      <c r="K394" t="b">
        <v>0</v>
      </c>
      <c r="L394" t="b">
        <v>1</v>
      </c>
      <c r="M394" t="s">
        <v>1472</v>
      </c>
      <c r="N394" t="s">
        <v>1384</v>
      </c>
      <c r="O394" t="s">
        <v>1473</v>
      </c>
      <c r="P394" t="s">
        <v>1474</v>
      </c>
      <c r="Q394" t="s">
        <v>1475</v>
      </c>
    </row>
    <row r="395" spans="1:17" x14ac:dyDescent="0.25">
      <c r="A395" t="s">
        <v>39</v>
      </c>
      <c r="B395" t="s">
        <v>2179</v>
      </c>
      <c r="C395" t="s">
        <v>394</v>
      </c>
      <c r="D395" t="s">
        <v>1426</v>
      </c>
      <c r="E395">
        <v>0</v>
      </c>
      <c r="F395" t="s">
        <v>1471</v>
      </c>
      <c r="G395" t="s">
        <v>1382</v>
      </c>
      <c r="H395" t="s">
        <v>1393</v>
      </c>
      <c r="I395" t="s">
        <v>1382</v>
      </c>
      <c r="J395" t="s">
        <v>1382</v>
      </c>
      <c r="K395" t="b">
        <v>0</v>
      </c>
      <c r="L395" t="b">
        <v>1</v>
      </c>
      <c r="M395" t="s">
        <v>1472</v>
      </c>
      <c r="N395" t="s">
        <v>1384</v>
      </c>
      <c r="O395" t="s">
        <v>1473</v>
      </c>
      <c r="P395" t="s">
        <v>1474</v>
      </c>
      <c r="Q395" t="s">
        <v>1475</v>
      </c>
    </row>
    <row r="396" spans="1:17" x14ac:dyDescent="0.25">
      <c r="A396" t="s">
        <v>39</v>
      </c>
      <c r="B396" t="s">
        <v>2180</v>
      </c>
      <c r="C396" t="s">
        <v>394</v>
      </c>
      <c r="D396" t="s">
        <v>1430</v>
      </c>
      <c r="E396">
        <v>0</v>
      </c>
      <c r="F396" t="s">
        <v>1471</v>
      </c>
      <c r="G396" t="s">
        <v>1382</v>
      </c>
      <c r="H396" t="s">
        <v>1393</v>
      </c>
      <c r="I396" t="s">
        <v>1382</v>
      </c>
      <c r="J396" t="s">
        <v>1382</v>
      </c>
      <c r="K396" t="b">
        <v>0</v>
      </c>
      <c r="L396" t="b">
        <v>1</v>
      </c>
      <c r="M396" t="s">
        <v>1472</v>
      </c>
      <c r="N396" t="s">
        <v>1384</v>
      </c>
      <c r="O396" t="s">
        <v>1473</v>
      </c>
      <c r="P396" t="s">
        <v>1474</v>
      </c>
      <c r="Q396" t="s">
        <v>1475</v>
      </c>
    </row>
    <row r="397" spans="1:17" x14ac:dyDescent="0.25">
      <c r="A397" t="s">
        <v>39</v>
      </c>
      <c r="B397" t="s">
        <v>2181</v>
      </c>
      <c r="C397" t="s">
        <v>394</v>
      </c>
      <c r="D397" t="s">
        <v>1391</v>
      </c>
      <c r="E397">
        <v>0</v>
      </c>
      <c r="F397" t="s">
        <v>1471</v>
      </c>
      <c r="G397" t="s">
        <v>1382</v>
      </c>
      <c r="H397" t="s">
        <v>1393</v>
      </c>
      <c r="I397" t="s">
        <v>1382</v>
      </c>
      <c r="J397" t="s">
        <v>1382</v>
      </c>
      <c r="K397" t="b">
        <v>0</v>
      </c>
      <c r="L397" t="b">
        <v>1</v>
      </c>
      <c r="M397" t="s">
        <v>1472</v>
      </c>
      <c r="N397" t="s">
        <v>1384</v>
      </c>
      <c r="O397" t="s">
        <v>1473</v>
      </c>
      <c r="P397" t="s">
        <v>1474</v>
      </c>
      <c r="Q397" t="s">
        <v>1475</v>
      </c>
    </row>
    <row r="398" spans="1:17" x14ac:dyDescent="0.25">
      <c r="A398" t="s">
        <v>39</v>
      </c>
      <c r="B398" t="s">
        <v>2182</v>
      </c>
      <c r="C398" t="s">
        <v>394</v>
      </c>
      <c r="D398" t="s">
        <v>1437</v>
      </c>
      <c r="E398">
        <v>0</v>
      </c>
      <c r="F398" t="s">
        <v>1471</v>
      </c>
      <c r="G398" t="s">
        <v>1382</v>
      </c>
      <c r="H398" t="s">
        <v>1393</v>
      </c>
      <c r="I398" t="s">
        <v>1382</v>
      </c>
      <c r="J398" t="s">
        <v>1382</v>
      </c>
      <c r="K398" t="b">
        <v>0</v>
      </c>
      <c r="L398" t="b">
        <v>1</v>
      </c>
      <c r="M398" t="s">
        <v>1472</v>
      </c>
      <c r="N398" t="s">
        <v>1384</v>
      </c>
      <c r="O398" t="s">
        <v>1473</v>
      </c>
      <c r="P398" t="s">
        <v>1474</v>
      </c>
      <c r="Q398" t="s">
        <v>1475</v>
      </c>
    </row>
    <row r="399" spans="1:17" x14ac:dyDescent="0.25">
      <c r="A399" t="s">
        <v>39</v>
      </c>
      <c r="B399" t="s">
        <v>2183</v>
      </c>
      <c r="C399" t="s">
        <v>394</v>
      </c>
      <c r="D399" t="s">
        <v>1439</v>
      </c>
      <c r="E399">
        <v>0</v>
      </c>
      <c r="F399" t="s">
        <v>1471</v>
      </c>
      <c r="G399" t="s">
        <v>1382</v>
      </c>
      <c r="H399" t="s">
        <v>1393</v>
      </c>
      <c r="I399" t="s">
        <v>1382</v>
      </c>
      <c r="J399" t="s">
        <v>1382</v>
      </c>
      <c r="K399" t="b">
        <v>0</v>
      </c>
      <c r="L399" t="b">
        <v>1</v>
      </c>
      <c r="M399" t="s">
        <v>1472</v>
      </c>
      <c r="N399" t="s">
        <v>1384</v>
      </c>
      <c r="O399" t="s">
        <v>1473</v>
      </c>
      <c r="P399" t="s">
        <v>1474</v>
      </c>
      <c r="Q399" t="s">
        <v>1475</v>
      </c>
    </row>
    <row r="400" spans="1:17" x14ac:dyDescent="0.25">
      <c r="A400" t="s">
        <v>39</v>
      </c>
      <c r="B400" t="s">
        <v>2184</v>
      </c>
      <c r="C400" t="s">
        <v>394</v>
      </c>
      <c r="D400" t="s">
        <v>1442</v>
      </c>
      <c r="E400">
        <v>0</v>
      </c>
      <c r="F400" t="s">
        <v>1471</v>
      </c>
      <c r="G400" t="s">
        <v>1382</v>
      </c>
      <c r="H400" t="s">
        <v>1393</v>
      </c>
      <c r="I400" t="s">
        <v>1382</v>
      </c>
      <c r="J400" t="s">
        <v>1382</v>
      </c>
      <c r="K400" t="b">
        <v>0</v>
      </c>
      <c r="L400" t="b">
        <v>1</v>
      </c>
      <c r="M400" t="s">
        <v>1472</v>
      </c>
      <c r="N400" t="s">
        <v>1384</v>
      </c>
      <c r="O400" t="s">
        <v>1473</v>
      </c>
      <c r="P400" t="s">
        <v>1474</v>
      </c>
      <c r="Q400" t="s">
        <v>1475</v>
      </c>
    </row>
    <row r="401" spans="1:17" x14ac:dyDescent="0.25">
      <c r="A401" t="s">
        <v>41</v>
      </c>
      <c r="B401" t="s">
        <v>2185</v>
      </c>
      <c r="C401" t="s">
        <v>437</v>
      </c>
      <c r="D401" t="s">
        <v>1380</v>
      </c>
      <c r="E401">
        <v>1744.999</v>
      </c>
      <c r="F401" t="s">
        <v>2186</v>
      </c>
      <c r="G401" t="s">
        <v>2187</v>
      </c>
      <c r="H401" t="s">
        <v>2186</v>
      </c>
      <c r="I401" t="s">
        <v>1382</v>
      </c>
      <c r="J401" t="s">
        <v>1382</v>
      </c>
      <c r="K401" t="b">
        <v>1</v>
      </c>
      <c r="L401" t="b">
        <v>0</v>
      </c>
      <c r="M401" t="s">
        <v>1382</v>
      </c>
      <c r="N401" t="s">
        <v>1403</v>
      </c>
      <c r="O401" t="s">
        <v>1385</v>
      </c>
      <c r="P401" t="s">
        <v>1404</v>
      </c>
      <c r="Q401" t="s">
        <v>2188</v>
      </c>
    </row>
    <row r="402" spans="1:17" x14ac:dyDescent="0.25">
      <c r="A402" t="s">
        <v>41</v>
      </c>
      <c r="B402" t="s">
        <v>2189</v>
      </c>
      <c r="C402" t="s">
        <v>437</v>
      </c>
      <c r="D402" t="s">
        <v>1407</v>
      </c>
      <c r="E402">
        <v>1680.825</v>
      </c>
      <c r="F402" t="s">
        <v>2186</v>
      </c>
      <c r="G402" t="s">
        <v>2190</v>
      </c>
      <c r="H402" t="s">
        <v>2186</v>
      </c>
      <c r="I402" t="s">
        <v>1382</v>
      </c>
      <c r="J402" t="s">
        <v>1382</v>
      </c>
      <c r="K402" t="b">
        <v>1</v>
      </c>
      <c r="L402" t="b">
        <v>0</v>
      </c>
      <c r="M402" t="s">
        <v>1382</v>
      </c>
      <c r="N402" t="s">
        <v>1403</v>
      </c>
      <c r="O402" t="s">
        <v>1385</v>
      </c>
      <c r="P402" t="s">
        <v>1404</v>
      </c>
      <c r="Q402" t="s">
        <v>2188</v>
      </c>
    </row>
    <row r="403" spans="1:17" x14ac:dyDescent="0.25">
      <c r="A403" t="s">
        <v>41</v>
      </c>
      <c r="B403" t="s">
        <v>2191</v>
      </c>
      <c r="C403" t="s">
        <v>437</v>
      </c>
      <c r="D403" t="s">
        <v>1411</v>
      </c>
      <c r="E403">
        <v>2076.015</v>
      </c>
      <c r="F403" t="s">
        <v>2186</v>
      </c>
      <c r="G403" t="s">
        <v>2192</v>
      </c>
      <c r="H403" t="s">
        <v>2186</v>
      </c>
      <c r="I403" t="s">
        <v>1382</v>
      </c>
      <c r="J403" t="s">
        <v>1382</v>
      </c>
      <c r="K403" t="b">
        <v>1</v>
      </c>
      <c r="L403" t="b">
        <v>0</v>
      </c>
      <c r="M403" t="s">
        <v>1382</v>
      </c>
      <c r="N403" t="s">
        <v>1403</v>
      </c>
      <c r="O403" t="s">
        <v>1385</v>
      </c>
      <c r="P403" t="s">
        <v>1404</v>
      </c>
      <c r="Q403" t="s">
        <v>2188</v>
      </c>
    </row>
    <row r="404" spans="1:17" x14ac:dyDescent="0.25">
      <c r="A404" t="s">
        <v>41</v>
      </c>
      <c r="B404" t="s">
        <v>2193</v>
      </c>
      <c r="C404" t="s">
        <v>437</v>
      </c>
      <c r="D404" t="s">
        <v>1415</v>
      </c>
      <c r="E404">
        <v>1855.049</v>
      </c>
      <c r="F404" t="s">
        <v>2186</v>
      </c>
      <c r="G404" t="s">
        <v>2194</v>
      </c>
      <c r="H404" t="s">
        <v>2186</v>
      </c>
      <c r="I404" t="s">
        <v>1382</v>
      </c>
      <c r="J404" t="s">
        <v>1382</v>
      </c>
      <c r="K404" t="b">
        <v>1</v>
      </c>
      <c r="L404" t="b">
        <v>0</v>
      </c>
      <c r="M404" t="s">
        <v>1382</v>
      </c>
      <c r="N404" t="s">
        <v>1403</v>
      </c>
      <c r="O404" t="s">
        <v>1385</v>
      </c>
      <c r="P404" t="s">
        <v>1404</v>
      </c>
      <c r="Q404" t="s">
        <v>2188</v>
      </c>
    </row>
    <row r="405" spans="1:17" x14ac:dyDescent="0.25">
      <c r="A405" t="s">
        <v>41</v>
      </c>
      <c r="B405" t="s">
        <v>2195</v>
      </c>
      <c r="C405" t="s">
        <v>437</v>
      </c>
      <c r="D405" t="s">
        <v>1389</v>
      </c>
      <c r="E405">
        <v>2384.833</v>
      </c>
      <c r="F405" t="s">
        <v>2186</v>
      </c>
      <c r="G405" t="s">
        <v>2196</v>
      </c>
      <c r="H405" t="s">
        <v>2186</v>
      </c>
      <c r="I405" t="s">
        <v>1382</v>
      </c>
      <c r="J405" t="s">
        <v>1382</v>
      </c>
      <c r="K405" t="b">
        <v>1</v>
      </c>
      <c r="L405" t="b">
        <v>0</v>
      </c>
      <c r="M405" t="s">
        <v>1382</v>
      </c>
      <c r="N405" t="s">
        <v>1403</v>
      </c>
      <c r="O405" t="s">
        <v>1385</v>
      </c>
      <c r="P405" t="s">
        <v>1404</v>
      </c>
      <c r="Q405" t="s">
        <v>2188</v>
      </c>
    </row>
    <row r="406" spans="1:17" x14ac:dyDescent="0.25">
      <c r="A406" t="s">
        <v>41</v>
      </c>
      <c r="B406" t="s">
        <v>2197</v>
      </c>
      <c r="C406" t="s">
        <v>437</v>
      </c>
      <c r="D406" t="s">
        <v>1422</v>
      </c>
      <c r="E406">
        <v>2306.288</v>
      </c>
      <c r="F406" t="s">
        <v>2186</v>
      </c>
      <c r="G406" t="s">
        <v>2198</v>
      </c>
      <c r="H406" t="s">
        <v>2186</v>
      </c>
      <c r="I406" t="s">
        <v>1382</v>
      </c>
      <c r="J406" t="s">
        <v>1382</v>
      </c>
      <c r="K406" t="b">
        <v>1</v>
      </c>
      <c r="L406" t="b">
        <v>0</v>
      </c>
      <c r="M406" t="s">
        <v>1382</v>
      </c>
      <c r="N406" t="s">
        <v>1403</v>
      </c>
      <c r="O406" t="s">
        <v>1385</v>
      </c>
      <c r="P406" t="s">
        <v>1404</v>
      </c>
      <c r="Q406" t="s">
        <v>2188</v>
      </c>
    </row>
    <row r="407" spans="1:17" x14ac:dyDescent="0.25">
      <c r="A407" t="s">
        <v>41</v>
      </c>
      <c r="B407" t="s">
        <v>2199</v>
      </c>
      <c r="C407" t="s">
        <v>437</v>
      </c>
      <c r="D407" t="s">
        <v>1426</v>
      </c>
      <c r="E407">
        <v>1195.818</v>
      </c>
      <c r="F407" t="s">
        <v>2186</v>
      </c>
      <c r="G407" t="s">
        <v>2200</v>
      </c>
      <c r="H407" t="s">
        <v>2186</v>
      </c>
      <c r="I407" t="s">
        <v>1382</v>
      </c>
      <c r="J407" t="s">
        <v>1382</v>
      </c>
      <c r="K407" t="b">
        <v>1</v>
      </c>
      <c r="L407" t="b">
        <v>0</v>
      </c>
      <c r="M407" t="s">
        <v>1382</v>
      </c>
      <c r="N407" t="s">
        <v>1403</v>
      </c>
      <c r="O407" t="s">
        <v>1385</v>
      </c>
      <c r="P407" t="s">
        <v>1404</v>
      </c>
      <c r="Q407" t="s">
        <v>2188</v>
      </c>
    </row>
    <row r="408" spans="1:17" x14ac:dyDescent="0.25">
      <c r="A408" t="s">
        <v>41</v>
      </c>
      <c r="B408" t="s">
        <v>2201</v>
      </c>
      <c r="C408" t="s">
        <v>437</v>
      </c>
      <c r="D408" t="s">
        <v>1430</v>
      </c>
      <c r="E408">
        <v>3867.93</v>
      </c>
      <c r="F408" t="s">
        <v>2186</v>
      </c>
      <c r="G408" t="s">
        <v>2202</v>
      </c>
      <c r="H408" t="s">
        <v>2186</v>
      </c>
      <c r="I408" t="s">
        <v>1382</v>
      </c>
      <c r="J408" t="s">
        <v>1382</v>
      </c>
      <c r="K408" t="b">
        <v>1</v>
      </c>
      <c r="L408" t="b">
        <v>0</v>
      </c>
      <c r="M408" t="s">
        <v>1382</v>
      </c>
      <c r="N408" t="s">
        <v>1403</v>
      </c>
      <c r="O408" t="s">
        <v>1385</v>
      </c>
      <c r="P408" t="s">
        <v>1404</v>
      </c>
      <c r="Q408" t="s">
        <v>2188</v>
      </c>
    </row>
    <row r="409" spans="1:17" x14ac:dyDescent="0.25">
      <c r="A409" t="s">
        <v>41</v>
      </c>
      <c r="B409" t="s">
        <v>2203</v>
      </c>
      <c r="C409" t="s">
        <v>437</v>
      </c>
      <c r="D409" t="s">
        <v>1391</v>
      </c>
      <c r="E409">
        <v>2270.211</v>
      </c>
      <c r="F409" t="s">
        <v>2186</v>
      </c>
      <c r="G409" t="s">
        <v>2204</v>
      </c>
      <c r="H409" t="s">
        <v>2186</v>
      </c>
      <c r="I409" t="s">
        <v>1382</v>
      </c>
      <c r="J409" t="s">
        <v>1382</v>
      </c>
      <c r="K409" t="b">
        <v>1</v>
      </c>
      <c r="L409" t="b">
        <v>0</v>
      </c>
      <c r="M409" t="s">
        <v>1382</v>
      </c>
      <c r="N409" t="s">
        <v>1403</v>
      </c>
      <c r="O409" t="s">
        <v>1385</v>
      </c>
      <c r="P409" t="s">
        <v>1404</v>
      </c>
      <c r="Q409" t="s">
        <v>2188</v>
      </c>
    </row>
    <row r="410" spans="1:17" x14ac:dyDescent="0.25">
      <c r="A410" t="s">
        <v>41</v>
      </c>
      <c r="B410" t="s">
        <v>2205</v>
      </c>
      <c r="C410" t="s">
        <v>437</v>
      </c>
      <c r="D410" t="s">
        <v>1437</v>
      </c>
      <c r="E410">
        <v>2359.034</v>
      </c>
      <c r="F410" t="s">
        <v>2186</v>
      </c>
      <c r="G410" t="s">
        <v>2206</v>
      </c>
      <c r="H410" t="s">
        <v>2186</v>
      </c>
      <c r="I410" t="s">
        <v>1382</v>
      </c>
      <c r="J410" t="s">
        <v>1382</v>
      </c>
      <c r="K410" t="b">
        <v>1</v>
      </c>
      <c r="L410" t="b">
        <v>0</v>
      </c>
      <c r="M410" t="s">
        <v>1382</v>
      </c>
      <c r="N410" t="s">
        <v>1403</v>
      </c>
      <c r="O410" t="s">
        <v>1385</v>
      </c>
      <c r="P410" t="s">
        <v>1404</v>
      </c>
      <c r="Q410" t="s">
        <v>2188</v>
      </c>
    </row>
    <row r="411" spans="1:17" x14ac:dyDescent="0.25">
      <c r="A411" t="s">
        <v>41</v>
      </c>
      <c r="B411" t="s">
        <v>2207</v>
      </c>
      <c r="C411" t="s">
        <v>437</v>
      </c>
      <c r="D411" t="s">
        <v>1439</v>
      </c>
      <c r="E411">
        <v>2747.162</v>
      </c>
      <c r="F411" t="s">
        <v>2186</v>
      </c>
      <c r="G411" t="s">
        <v>2208</v>
      </c>
      <c r="H411" t="s">
        <v>2186</v>
      </c>
      <c r="I411" t="s">
        <v>1382</v>
      </c>
      <c r="J411" t="s">
        <v>1382</v>
      </c>
      <c r="K411" t="b">
        <v>1</v>
      </c>
      <c r="L411" t="b">
        <v>0</v>
      </c>
      <c r="M411" t="s">
        <v>1382</v>
      </c>
      <c r="N411" t="s">
        <v>1403</v>
      </c>
      <c r="O411" t="s">
        <v>1385</v>
      </c>
      <c r="P411" t="s">
        <v>1404</v>
      </c>
      <c r="Q411" t="s">
        <v>2188</v>
      </c>
    </row>
    <row r="412" spans="1:17" x14ac:dyDescent="0.25">
      <c r="A412" t="s">
        <v>41</v>
      </c>
      <c r="B412" t="s">
        <v>2209</v>
      </c>
      <c r="C412" t="s">
        <v>437</v>
      </c>
      <c r="D412" t="s">
        <v>1442</v>
      </c>
      <c r="E412">
        <v>2758.913</v>
      </c>
      <c r="F412" t="s">
        <v>2186</v>
      </c>
      <c r="G412" t="s">
        <v>2210</v>
      </c>
      <c r="H412" t="s">
        <v>2186</v>
      </c>
      <c r="I412" t="s">
        <v>1382</v>
      </c>
      <c r="J412" t="s">
        <v>1382</v>
      </c>
      <c r="K412" t="b">
        <v>1</v>
      </c>
      <c r="L412" t="b">
        <v>0</v>
      </c>
      <c r="M412" t="s">
        <v>1382</v>
      </c>
      <c r="N412" t="s">
        <v>1403</v>
      </c>
      <c r="O412" t="s">
        <v>1385</v>
      </c>
      <c r="P412" t="s">
        <v>1404</v>
      </c>
      <c r="Q412" t="s">
        <v>2188</v>
      </c>
    </row>
    <row r="413" spans="1:17" x14ac:dyDescent="0.25">
      <c r="A413" t="s">
        <v>41</v>
      </c>
      <c r="B413" t="s">
        <v>2211</v>
      </c>
      <c r="C413" t="s">
        <v>438</v>
      </c>
      <c r="D413" t="s">
        <v>1380</v>
      </c>
      <c r="E413">
        <v>35.865</v>
      </c>
      <c r="F413" t="s">
        <v>2186</v>
      </c>
      <c r="G413" t="s">
        <v>2212</v>
      </c>
      <c r="H413" t="s">
        <v>2186</v>
      </c>
      <c r="I413" t="s">
        <v>1382</v>
      </c>
      <c r="J413" t="s">
        <v>1382</v>
      </c>
      <c r="K413" t="b">
        <v>1</v>
      </c>
      <c r="L413" t="b">
        <v>0</v>
      </c>
      <c r="M413" t="s">
        <v>1382</v>
      </c>
      <c r="N413" t="s">
        <v>1403</v>
      </c>
      <c r="O413" t="s">
        <v>1385</v>
      </c>
      <c r="P413" t="s">
        <v>1404</v>
      </c>
      <c r="Q413" t="s">
        <v>2213</v>
      </c>
    </row>
    <row r="414" spans="1:17" x14ac:dyDescent="0.25">
      <c r="A414" t="s">
        <v>41</v>
      </c>
      <c r="B414" t="s">
        <v>2214</v>
      </c>
      <c r="C414" t="s">
        <v>438</v>
      </c>
      <c r="D414" t="s">
        <v>1407</v>
      </c>
      <c r="E414">
        <v>-30.243</v>
      </c>
      <c r="F414" t="s">
        <v>2186</v>
      </c>
      <c r="G414" t="s">
        <v>2215</v>
      </c>
      <c r="H414" t="s">
        <v>2186</v>
      </c>
      <c r="I414" t="s">
        <v>1382</v>
      </c>
      <c r="J414" t="s">
        <v>1382</v>
      </c>
      <c r="K414" t="b">
        <v>1</v>
      </c>
      <c r="L414" t="b">
        <v>0</v>
      </c>
      <c r="M414" t="s">
        <v>1382</v>
      </c>
      <c r="N414" t="s">
        <v>1403</v>
      </c>
      <c r="O414" t="s">
        <v>1385</v>
      </c>
      <c r="P414" t="s">
        <v>1404</v>
      </c>
      <c r="Q414" t="s">
        <v>2213</v>
      </c>
    </row>
    <row r="415" spans="1:17" x14ac:dyDescent="0.25">
      <c r="A415" t="s">
        <v>41</v>
      </c>
      <c r="B415" t="s">
        <v>2216</v>
      </c>
      <c r="C415" t="s">
        <v>438</v>
      </c>
      <c r="D415" t="s">
        <v>1411</v>
      </c>
      <c r="E415">
        <v>-34.4</v>
      </c>
      <c r="F415" t="s">
        <v>2186</v>
      </c>
      <c r="G415" t="s">
        <v>2217</v>
      </c>
      <c r="H415" t="s">
        <v>2186</v>
      </c>
      <c r="I415" t="s">
        <v>1382</v>
      </c>
      <c r="J415" t="s">
        <v>1382</v>
      </c>
      <c r="K415" t="b">
        <v>1</v>
      </c>
      <c r="L415" t="b">
        <v>0</v>
      </c>
      <c r="M415" t="s">
        <v>1382</v>
      </c>
      <c r="N415" t="s">
        <v>1403</v>
      </c>
      <c r="O415" t="s">
        <v>1385</v>
      </c>
      <c r="P415" t="s">
        <v>1404</v>
      </c>
      <c r="Q415" t="s">
        <v>2213</v>
      </c>
    </row>
    <row r="416" spans="1:17" x14ac:dyDescent="0.25">
      <c r="A416" t="s">
        <v>41</v>
      </c>
      <c r="B416" t="s">
        <v>2218</v>
      </c>
      <c r="C416" t="s">
        <v>438</v>
      </c>
      <c r="D416" t="s">
        <v>1415</v>
      </c>
      <c r="E416">
        <v>113.189</v>
      </c>
      <c r="F416" t="s">
        <v>2186</v>
      </c>
      <c r="G416" t="s">
        <v>2219</v>
      </c>
      <c r="H416" t="s">
        <v>2186</v>
      </c>
      <c r="I416" t="s">
        <v>1382</v>
      </c>
      <c r="J416" t="s">
        <v>1382</v>
      </c>
      <c r="K416" t="b">
        <v>1</v>
      </c>
      <c r="L416" t="b">
        <v>0</v>
      </c>
      <c r="M416" t="s">
        <v>1382</v>
      </c>
      <c r="N416" t="s">
        <v>1403</v>
      </c>
      <c r="O416" t="s">
        <v>1385</v>
      </c>
      <c r="P416" t="s">
        <v>1404</v>
      </c>
      <c r="Q416" t="s">
        <v>2213</v>
      </c>
    </row>
    <row r="417" spans="1:17" x14ac:dyDescent="0.25">
      <c r="A417" t="s">
        <v>41</v>
      </c>
      <c r="B417" t="s">
        <v>2220</v>
      </c>
      <c r="C417" t="s">
        <v>438</v>
      </c>
      <c r="D417" t="s">
        <v>1389</v>
      </c>
      <c r="E417">
        <v>167.109</v>
      </c>
      <c r="F417" t="s">
        <v>2186</v>
      </c>
      <c r="G417" t="s">
        <v>2221</v>
      </c>
      <c r="H417" t="s">
        <v>2186</v>
      </c>
      <c r="I417" t="s">
        <v>1382</v>
      </c>
      <c r="J417" t="s">
        <v>1382</v>
      </c>
      <c r="K417" t="b">
        <v>1</v>
      </c>
      <c r="L417" t="b">
        <v>0</v>
      </c>
      <c r="M417" t="s">
        <v>1382</v>
      </c>
      <c r="N417" t="s">
        <v>1403</v>
      </c>
      <c r="O417" t="s">
        <v>1385</v>
      </c>
      <c r="P417" t="s">
        <v>1404</v>
      </c>
      <c r="Q417" t="s">
        <v>2213</v>
      </c>
    </row>
    <row r="418" spans="1:17" x14ac:dyDescent="0.25">
      <c r="A418" t="s">
        <v>41</v>
      </c>
      <c r="B418" t="s">
        <v>2222</v>
      </c>
      <c r="C418" t="s">
        <v>438</v>
      </c>
      <c r="D418" t="s">
        <v>1422</v>
      </c>
      <c r="E418">
        <v>210.008</v>
      </c>
      <c r="F418" t="s">
        <v>2186</v>
      </c>
      <c r="G418" t="s">
        <v>2223</v>
      </c>
      <c r="H418" t="s">
        <v>2186</v>
      </c>
      <c r="I418" t="s">
        <v>1382</v>
      </c>
      <c r="J418" t="s">
        <v>1382</v>
      </c>
      <c r="K418" t="b">
        <v>1</v>
      </c>
      <c r="L418" t="b">
        <v>0</v>
      </c>
      <c r="M418" t="s">
        <v>1382</v>
      </c>
      <c r="N418" t="s">
        <v>1403</v>
      </c>
      <c r="O418" t="s">
        <v>1385</v>
      </c>
      <c r="P418" t="s">
        <v>1404</v>
      </c>
      <c r="Q418" t="s">
        <v>2213</v>
      </c>
    </row>
    <row r="419" spans="1:17" x14ac:dyDescent="0.25">
      <c r="A419" t="s">
        <v>41</v>
      </c>
      <c r="B419" t="s">
        <v>2224</v>
      </c>
      <c r="C419" t="s">
        <v>438</v>
      </c>
      <c r="D419" t="s">
        <v>1426</v>
      </c>
      <c r="E419">
        <v>26.827</v>
      </c>
      <c r="F419" t="s">
        <v>2186</v>
      </c>
      <c r="G419" t="s">
        <v>2225</v>
      </c>
      <c r="H419" t="s">
        <v>2186</v>
      </c>
      <c r="I419" t="s">
        <v>1382</v>
      </c>
      <c r="J419" t="s">
        <v>1382</v>
      </c>
      <c r="K419" t="b">
        <v>1</v>
      </c>
      <c r="L419" t="b">
        <v>0</v>
      </c>
      <c r="M419" t="s">
        <v>1382</v>
      </c>
      <c r="N419" t="s">
        <v>1403</v>
      </c>
      <c r="O419" t="s">
        <v>1385</v>
      </c>
      <c r="P419" t="s">
        <v>1404</v>
      </c>
      <c r="Q419" t="s">
        <v>2213</v>
      </c>
    </row>
    <row r="420" spans="1:17" x14ac:dyDescent="0.25">
      <c r="A420" t="s">
        <v>41</v>
      </c>
      <c r="B420" t="s">
        <v>2226</v>
      </c>
      <c r="C420" t="s">
        <v>438</v>
      </c>
      <c r="D420" t="s">
        <v>1430</v>
      </c>
      <c r="E420">
        <v>356.256</v>
      </c>
      <c r="F420" t="s">
        <v>2186</v>
      </c>
      <c r="G420" t="s">
        <v>2227</v>
      </c>
      <c r="H420" t="s">
        <v>2186</v>
      </c>
      <c r="I420" t="s">
        <v>1382</v>
      </c>
      <c r="J420" t="s">
        <v>1382</v>
      </c>
      <c r="K420" t="b">
        <v>1</v>
      </c>
      <c r="L420" t="b">
        <v>0</v>
      </c>
      <c r="M420" t="s">
        <v>1382</v>
      </c>
      <c r="N420" t="s">
        <v>1403</v>
      </c>
      <c r="O420" t="s">
        <v>1385</v>
      </c>
      <c r="P420" t="s">
        <v>1404</v>
      </c>
      <c r="Q420" t="s">
        <v>2213</v>
      </c>
    </row>
    <row r="421" spans="1:17" x14ac:dyDescent="0.25">
      <c r="A421" t="s">
        <v>41</v>
      </c>
      <c r="B421" t="s">
        <v>2228</v>
      </c>
      <c r="C421" t="s">
        <v>438</v>
      </c>
      <c r="D421" t="s">
        <v>1391</v>
      </c>
      <c r="E421">
        <v>202.653</v>
      </c>
      <c r="F421" t="s">
        <v>2186</v>
      </c>
      <c r="G421" t="s">
        <v>2229</v>
      </c>
      <c r="H421" t="s">
        <v>2186</v>
      </c>
      <c r="I421" t="s">
        <v>1382</v>
      </c>
      <c r="J421" t="s">
        <v>1382</v>
      </c>
      <c r="K421" t="b">
        <v>1</v>
      </c>
      <c r="L421" t="b">
        <v>0</v>
      </c>
      <c r="M421" t="s">
        <v>1382</v>
      </c>
      <c r="N421" t="s">
        <v>1403</v>
      </c>
      <c r="O421" t="s">
        <v>1385</v>
      </c>
      <c r="P421" t="s">
        <v>1404</v>
      </c>
      <c r="Q421" t="s">
        <v>2213</v>
      </c>
    </row>
    <row r="422" spans="1:17" x14ac:dyDescent="0.25">
      <c r="A422" t="s">
        <v>41</v>
      </c>
      <c r="B422" t="s">
        <v>2230</v>
      </c>
      <c r="C422" t="s">
        <v>438</v>
      </c>
      <c r="D422" t="s">
        <v>1437</v>
      </c>
      <c r="E422">
        <v>135.281</v>
      </c>
      <c r="F422" t="s">
        <v>2186</v>
      </c>
      <c r="G422" t="s">
        <v>2231</v>
      </c>
      <c r="H422" t="s">
        <v>2186</v>
      </c>
      <c r="I422" t="s">
        <v>1382</v>
      </c>
      <c r="J422" t="s">
        <v>1382</v>
      </c>
      <c r="K422" t="b">
        <v>1</v>
      </c>
      <c r="L422" t="b">
        <v>0</v>
      </c>
      <c r="M422" t="s">
        <v>1382</v>
      </c>
      <c r="N422" t="s">
        <v>1403</v>
      </c>
      <c r="O422" t="s">
        <v>1385</v>
      </c>
      <c r="P422" t="s">
        <v>1404</v>
      </c>
      <c r="Q422" t="s">
        <v>2213</v>
      </c>
    </row>
    <row r="423" spans="1:17" x14ac:dyDescent="0.25">
      <c r="A423" t="s">
        <v>41</v>
      </c>
      <c r="B423" t="s">
        <v>2232</v>
      </c>
      <c r="C423" t="s">
        <v>438</v>
      </c>
      <c r="D423" t="s">
        <v>1439</v>
      </c>
      <c r="E423">
        <v>160.512</v>
      </c>
      <c r="F423" t="s">
        <v>2186</v>
      </c>
      <c r="G423" t="s">
        <v>2233</v>
      </c>
      <c r="H423" t="s">
        <v>2186</v>
      </c>
      <c r="I423" t="s">
        <v>1382</v>
      </c>
      <c r="J423" t="s">
        <v>1382</v>
      </c>
      <c r="K423" t="b">
        <v>1</v>
      </c>
      <c r="L423" t="b">
        <v>0</v>
      </c>
      <c r="M423" t="s">
        <v>1382</v>
      </c>
      <c r="N423" t="s">
        <v>1403</v>
      </c>
      <c r="O423" t="s">
        <v>1385</v>
      </c>
      <c r="P423" t="s">
        <v>1404</v>
      </c>
      <c r="Q423" t="s">
        <v>2213</v>
      </c>
    </row>
    <row r="424" spans="1:17" x14ac:dyDescent="0.25">
      <c r="A424" t="s">
        <v>41</v>
      </c>
      <c r="B424" t="s">
        <v>2234</v>
      </c>
      <c r="C424" t="s">
        <v>438</v>
      </c>
      <c r="D424" t="s">
        <v>1442</v>
      </c>
      <c r="E424">
        <v>189.911</v>
      </c>
      <c r="F424" t="s">
        <v>2186</v>
      </c>
      <c r="G424" t="s">
        <v>2235</v>
      </c>
      <c r="H424" t="s">
        <v>2186</v>
      </c>
      <c r="I424" t="s">
        <v>1382</v>
      </c>
      <c r="J424" t="s">
        <v>1382</v>
      </c>
      <c r="K424" t="b">
        <v>1</v>
      </c>
      <c r="L424" t="b">
        <v>0</v>
      </c>
      <c r="M424" t="s">
        <v>1382</v>
      </c>
      <c r="N424" t="s">
        <v>1403</v>
      </c>
      <c r="O424" t="s">
        <v>1385</v>
      </c>
      <c r="P424" t="s">
        <v>1404</v>
      </c>
      <c r="Q424" t="s">
        <v>2213</v>
      </c>
    </row>
    <row r="425" spans="1:17" x14ac:dyDescent="0.25">
      <c r="A425" t="s">
        <v>41</v>
      </c>
      <c r="B425" t="s">
        <v>1504</v>
      </c>
      <c r="C425" t="s">
        <v>437</v>
      </c>
      <c r="D425" t="s">
        <v>1380</v>
      </c>
      <c r="E425">
        <v>172.2</v>
      </c>
      <c r="F425" t="s">
        <v>2186</v>
      </c>
      <c r="G425" t="s">
        <v>2236</v>
      </c>
      <c r="H425" t="s">
        <v>2186</v>
      </c>
      <c r="I425" t="s">
        <v>1382</v>
      </c>
      <c r="J425" t="s">
        <v>1382</v>
      </c>
      <c r="K425" t="b">
        <v>1</v>
      </c>
      <c r="L425" t="b">
        <v>0</v>
      </c>
      <c r="M425" t="s">
        <v>1382</v>
      </c>
      <c r="N425" t="s">
        <v>1403</v>
      </c>
      <c r="O425" t="s">
        <v>1385</v>
      </c>
      <c r="P425" t="s">
        <v>1404</v>
      </c>
      <c r="Q425" t="s">
        <v>2188</v>
      </c>
    </row>
    <row r="426" spans="1:17" x14ac:dyDescent="0.25">
      <c r="A426" t="s">
        <v>41</v>
      </c>
      <c r="B426" t="s">
        <v>1507</v>
      </c>
      <c r="C426" t="s">
        <v>437</v>
      </c>
      <c r="D426" t="s">
        <v>1407</v>
      </c>
      <c r="E426">
        <v>104.5</v>
      </c>
      <c r="F426" t="s">
        <v>2186</v>
      </c>
      <c r="G426" t="s">
        <v>2237</v>
      </c>
      <c r="H426" t="s">
        <v>2186</v>
      </c>
      <c r="I426" t="s">
        <v>1382</v>
      </c>
      <c r="J426" t="s">
        <v>1382</v>
      </c>
      <c r="K426" t="b">
        <v>1</v>
      </c>
      <c r="L426" t="b">
        <v>0</v>
      </c>
      <c r="M426" t="s">
        <v>1382</v>
      </c>
      <c r="N426" t="s">
        <v>1403</v>
      </c>
      <c r="O426" t="s">
        <v>1385</v>
      </c>
      <c r="P426" t="s">
        <v>1404</v>
      </c>
      <c r="Q426" t="s">
        <v>2188</v>
      </c>
    </row>
    <row r="427" spans="1:17" x14ac:dyDescent="0.25">
      <c r="A427" t="s">
        <v>41</v>
      </c>
      <c r="B427" t="s">
        <v>1509</v>
      </c>
      <c r="C427" t="s">
        <v>437</v>
      </c>
      <c r="D427" t="s">
        <v>1411</v>
      </c>
      <c r="E427">
        <v>155.1</v>
      </c>
      <c r="F427" t="s">
        <v>2186</v>
      </c>
      <c r="G427" t="s">
        <v>2238</v>
      </c>
      <c r="H427" t="s">
        <v>2186</v>
      </c>
      <c r="I427" t="s">
        <v>1382</v>
      </c>
      <c r="J427" t="s">
        <v>1382</v>
      </c>
      <c r="K427" t="b">
        <v>1</v>
      </c>
      <c r="L427" t="b">
        <v>0</v>
      </c>
      <c r="M427" t="s">
        <v>1382</v>
      </c>
      <c r="N427" t="s">
        <v>1403</v>
      </c>
      <c r="O427" t="s">
        <v>1385</v>
      </c>
      <c r="P427" t="s">
        <v>1404</v>
      </c>
      <c r="Q427" t="s">
        <v>2188</v>
      </c>
    </row>
    <row r="428" spans="1:17" x14ac:dyDescent="0.25">
      <c r="A428" t="s">
        <v>41</v>
      </c>
      <c r="B428" t="s">
        <v>1510</v>
      </c>
      <c r="C428" t="s">
        <v>437</v>
      </c>
      <c r="D428" t="s">
        <v>1415</v>
      </c>
      <c r="E428">
        <v>77.5</v>
      </c>
      <c r="F428" t="s">
        <v>2186</v>
      </c>
      <c r="G428" t="s">
        <v>2239</v>
      </c>
      <c r="H428" t="s">
        <v>2186</v>
      </c>
      <c r="I428" t="s">
        <v>1382</v>
      </c>
      <c r="J428" t="s">
        <v>1382</v>
      </c>
      <c r="K428" t="b">
        <v>1</v>
      </c>
      <c r="L428" t="b">
        <v>0</v>
      </c>
      <c r="M428" t="s">
        <v>1382</v>
      </c>
      <c r="N428" t="s">
        <v>1403</v>
      </c>
      <c r="O428" t="s">
        <v>1385</v>
      </c>
      <c r="P428" t="s">
        <v>1404</v>
      </c>
      <c r="Q428" t="s">
        <v>2188</v>
      </c>
    </row>
    <row r="429" spans="1:17" x14ac:dyDescent="0.25">
      <c r="A429" t="s">
        <v>41</v>
      </c>
      <c r="B429" t="s">
        <v>1513</v>
      </c>
      <c r="C429" t="s">
        <v>437</v>
      </c>
      <c r="D429" t="s">
        <v>1389</v>
      </c>
      <c r="E429">
        <v>155</v>
      </c>
      <c r="F429" t="s">
        <v>2186</v>
      </c>
      <c r="G429" t="s">
        <v>2240</v>
      </c>
      <c r="H429" t="s">
        <v>2186</v>
      </c>
      <c r="I429" t="s">
        <v>1382</v>
      </c>
      <c r="J429" t="s">
        <v>1382</v>
      </c>
      <c r="K429" t="b">
        <v>1</v>
      </c>
      <c r="L429" t="b">
        <v>0</v>
      </c>
      <c r="M429" t="s">
        <v>1382</v>
      </c>
      <c r="N429" t="s">
        <v>1403</v>
      </c>
      <c r="O429" t="s">
        <v>1385</v>
      </c>
      <c r="P429" t="s">
        <v>1404</v>
      </c>
      <c r="Q429" t="s">
        <v>2188</v>
      </c>
    </row>
    <row r="430" spans="1:17" x14ac:dyDescent="0.25">
      <c r="A430" t="s">
        <v>41</v>
      </c>
      <c r="B430" t="s">
        <v>1515</v>
      </c>
      <c r="C430" t="s">
        <v>437</v>
      </c>
      <c r="D430" t="s">
        <v>1422</v>
      </c>
      <c r="E430">
        <v>251.3</v>
      </c>
      <c r="F430" t="s">
        <v>2186</v>
      </c>
      <c r="G430" t="s">
        <v>2241</v>
      </c>
      <c r="H430" t="s">
        <v>2186</v>
      </c>
      <c r="I430" t="s">
        <v>1382</v>
      </c>
      <c r="J430" t="s">
        <v>1382</v>
      </c>
      <c r="K430" t="b">
        <v>1</v>
      </c>
      <c r="L430" t="b">
        <v>0</v>
      </c>
      <c r="M430" t="s">
        <v>1382</v>
      </c>
      <c r="N430" t="s">
        <v>1403</v>
      </c>
      <c r="O430" t="s">
        <v>1385</v>
      </c>
      <c r="P430" t="s">
        <v>1404</v>
      </c>
      <c r="Q430" t="s">
        <v>2188</v>
      </c>
    </row>
    <row r="431" spans="1:17" x14ac:dyDescent="0.25">
      <c r="A431" t="s">
        <v>41</v>
      </c>
      <c r="B431" t="s">
        <v>1517</v>
      </c>
      <c r="C431" t="s">
        <v>437</v>
      </c>
      <c r="D431" t="s">
        <v>1426</v>
      </c>
      <c r="E431">
        <v>368.5</v>
      </c>
      <c r="F431" t="s">
        <v>2186</v>
      </c>
      <c r="G431" t="s">
        <v>2242</v>
      </c>
      <c r="H431" t="s">
        <v>2186</v>
      </c>
      <c r="I431" t="s">
        <v>1382</v>
      </c>
      <c r="J431" t="s">
        <v>1382</v>
      </c>
      <c r="K431" t="b">
        <v>1</v>
      </c>
      <c r="L431" t="b">
        <v>0</v>
      </c>
      <c r="M431" t="s">
        <v>1382</v>
      </c>
      <c r="N431" t="s">
        <v>1403</v>
      </c>
      <c r="O431" t="s">
        <v>1385</v>
      </c>
      <c r="P431" t="s">
        <v>1404</v>
      </c>
      <c r="Q431" t="s">
        <v>2188</v>
      </c>
    </row>
    <row r="432" spans="1:17" x14ac:dyDescent="0.25">
      <c r="A432" t="s">
        <v>41</v>
      </c>
      <c r="B432" t="s">
        <v>1519</v>
      </c>
      <c r="C432" t="s">
        <v>437</v>
      </c>
      <c r="D432" t="s">
        <v>1430</v>
      </c>
      <c r="E432">
        <v>248</v>
      </c>
      <c r="F432" t="s">
        <v>2186</v>
      </c>
      <c r="G432" t="s">
        <v>2243</v>
      </c>
      <c r="H432" t="s">
        <v>2186</v>
      </c>
      <c r="I432" t="s">
        <v>1382</v>
      </c>
      <c r="J432" t="s">
        <v>1382</v>
      </c>
      <c r="K432" t="b">
        <v>1</v>
      </c>
      <c r="L432" t="b">
        <v>0</v>
      </c>
      <c r="M432" t="s">
        <v>1382</v>
      </c>
      <c r="N432" t="s">
        <v>1403</v>
      </c>
      <c r="O432" t="s">
        <v>1385</v>
      </c>
      <c r="P432" t="s">
        <v>1404</v>
      </c>
      <c r="Q432" t="s">
        <v>2188</v>
      </c>
    </row>
    <row r="433" spans="1:17" x14ac:dyDescent="0.25">
      <c r="A433" t="s">
        <v>41</v>
      </c>
      <c r="B433" t="s">
        <v>1522</v>
      </c>
      <c r="C433" t="s">
        <v>437</v>
      </c>
      <c r="D433" t="s">
        <v>1391</v>
      </c>
      <c r="E433">
        <v>167</v>
      </c>
      <c r="F433" t="s">
        <v>2186</v>
      </c>
      <c r="G433" t="s">
        <v>2244</v>
      </c>
      <c r="H433" t="s">
        <v>2186</v>
      </c>
      <c r="I433" t="s">
        <v>1382</v>
      </c>
      <c r="J433" t="s">
        <v>1382</v>
      </c>
      <c r="K433" t="b">
        <v>1</v>
      </c>
      <c r="L433" t="b">
        <v>0</v>
      </c>
      <c r="M433" t="s">
        <v>1382</v>
      </c>
      <c r="N433" t="s">
        <v>1403</v>
      </c>
      <c r="O433" t="s">
        <v>1385</v>
      </c>
      <c r="P433" t="s">
        <v>1404</v>
      </c>
      <c r="Q433" t="s">
        <v>2188</v>
      </c>
    </row>
    <row r="434" spans="1:17" x14ac:dyDescent="0.25">
      <c r="A434" t="s">
        <v>41</v>
      </c>
      <c r="B434" t="s">
        <v>1524</v>
      </c>
      <c r="C434" t="s">
        <v>437</v>
      </c>
      <c r="D434" t="s">
        <v>1437</v>
      </c>
      <c r="E434">
        <v>188.3</v>
      </c>
      <c r="F434" t="s">
        <v>2186</v>
      </c>
      <c r="G434" t="s">
        <v>2245</v>
      </c>
      <c r="H434" t="s">
        <v>2186</v>
      </c>
      <c r="I434" t="s">
        <v>1382</v>
      </c>
      <c r="J434" t="s">
        <v>1382</v>
      </c>
      <c r="K434" t="b">
        <v>1</v>
      </c>
      <c r="L434" t="b">
        <v>0</v>
      </c>
      <c r="M434" t="s">
        <v>1382</v>
      </c>
      <c r="N434" t="s">
        <v>1403</v>
      </c>
      <c r="O434" t="s">
        <v>1385</v>
      </c>
      <c r="P434" t="s">
        <v>1404</v>
      </c>
      <c r="Q434" t="s">
        <v>2188</v>
      </c>
    </row>
    <row r="435" spans="1:17" x14ac:dyDescent="0.25">
      <c r="A435" t="s">
        <v>41</v>
      </c>
      <c r="B435" t="s">
        <v>1526</v>
      </c>
      <c r="C435" t="s">
        <v>437</v>
      </c>
      <c r="D435" t="s">
        <v>1439</v>
      </c>
      <c r="E435">
        <v>336.3</v>
      </c>
      <c r="F435" t="s">
        <v>2186</v>
      </c>
      <c r="G435" t="s">
        <v>2246</v>
      </c>
      <c r="H435" t="s">
        <v>2186</v>
      </c>
      <c r="I435" t="s">
        <v>1382</v>
      </c>
      <c r="J435" t="s">
        <v>1382</v>
      </c>
      <c r="K435" t="b">
        <v>1</v>
      </c>
      <c r="L435" t="b">
        <v>0</v>
      </c>
      <c r="M435" t="s">
        <v>1382</v>
      </c>
      <c r="N435" t="s">
        <v>1403</v>
      </c>
      <c r="O435" t="s">
        <v>1385</v>
      </c>
      <c r="P435" t="s">
        <v>1404</v>
      </c>
      <c r="Q435" t="s">
        <v>2188</v>
      </c>
    </row>
    <row r="436" spans="1:17" x14ac:dyDescent="0.25">
      <c r="A436" t="s">
        <v>41</v>
      </c>
      <c r="B436" t="s">
        <v>1528</v>
      </c>
      <c r="C436" t="s">
        <v>437</v>
      </c>
      <c r="D436" t="s">
        <v>1442</v>
      </c>
      <c r="E436">
        <v>290.5</v>
      </c>
      <c r="F436" t="s">
        <v>2186</v>
      </c>
      <c r="G436" t="s">
        <v>2247</v>
      </c>
      <c r="H436" t="s">
        <v>2186</v>
      </c>
      <c r="I436" t="s">
        <v>1382</v>
      </c>
      <c r="J436" t="s">
        <v>1382</v>
      </c>
      <c r="K436" t="b">
        <v>1</v>
      </c>
      <c r="L436" t="b">
        <v>0</v>
      </c>
      <c r="M436" t="s">
        <v>1382</v>
      </c>
      <c r="N436" t="s">
        <v>1403</v>
      </c>
      <c r="O436" t="s">
        <v>1385</v>
      </c>
      <c r="P436" t="s">
        <v>1404</v>
      </c>
      <c r="Q436" t="s">
        <v>2188</v>
      </c>
    </row>
    <row r="437" spans="1:17" x14ac:dyDescent="0.25">
      <c r="A437" t="s">
        <v>41</v>
      </c>
      <c r="B437" t="s">
        <v>1530</v>
      </c>
      <c r="C437" t="s">
        <v>438</v>
      </c>
      <c r="D437" t="s">
        <v>1380</v>
      </c>
      <c r="E437">
        <v>-12.1</v>
      </c>
      <c r="F437" t="s">
        <v>2186</v>
      </c>
      <c r="G437" t="s">
        <v>2248</v>
      </c>
      <c r="H437" t="s">
        <v>2186</v>
      </c>
      <c r="I437" t="s">
        <v>1382</v>
      </c>
      <c r="J437" t="s">
        <v>1382</v>
      </c>
      <c r="K437" t="b">
        <v>1</v>
      </c>
      <c r="L437" t="b">
        <v>0</v>
      </c>
      <c r="M437" t="s">
        <v>1382</v>
      </c>
      <c r="N437" t="s">
        <v>1403</v>
      </c>
      <c r="O437" t="s">
        <v>1385</v>
      </c>
      <c r="P437" t="s">
        <v>1404</v>
      </c>
      <c r="Q437" t="s">
        <v>2213</v>
      </c>
    </row>
    <row r="438" spans="1:17" x14ac:dyDescent="0.25">
      <c r="A438" t="s">
        <v>41</v>
      </c>
      <c r="B438" t="s">
        <v>1533</v>
      </c>
      <c r="C438" t="s">
        <v>438</v>
      </c>
      <c r="D438" t="s">
        <v>1407</v>
      </c>
      <c r="E438">
        <v>-94.1</v>
      </c>
      <c r="F438" t="s">
        <v>2186</v>
      </c>
      <c r="G438" t="s">
        <v>2249</v>
      </c>
      <c r="H438" t="s">
        <v>2186</v>
      </c>
      <c r="I438" t="s">
        <v>1382</v>
      </c>
      <c r="J438" t="s">
        <v>1382</v>
      </c>
      <c r="K438" t="b">
        <v>1</v>
      </c>
      <c r="L438" t="b">
        <v>0</v>
      </c>
      <c r="M438" t="s">
        <v>1382</v>
      </c>
      <c r="N438" t="s">
        <v>1403</v>
      </c>
      <c r="O438" t="s">
        <v>1385</v>
      </c>
      <c r="P438" t="s">
        <v>1404</v>
      </c>
      <c r="Q438" t="s">
        <v>2213</v>
      </c>
    </row>
    <row r="439" spans="1:17" x14ac:dyDescent="0.25">
      <c r="A439" t="s">
        <v>41</v>
      </c>
      <c r="B439" t="s">
        <v>1535</v>
      </c>
      <c r="C439" t="s">
        <v>438</v>
      </c>
      <c r="D439" t="s">
        <v>1411</v>
      </c>
      <c r="E439">
        <v>-67.8</v>
      </c>
      <c r="F439" t="s">
        <v>2186</v>
      </c>
      <c r="G439" t="s">
        <v>2250</v>
      </c>
      <c r="H439" t="s">
        <v>2186</v>
      </c>
      <c r="I439" t="s">
        <v>1382</v>
      </c>
      <c r="J439" t="s">
        <v>1382</v>
      </c>
      <c r="K439" t="b">
        <v>1</v>
      </c>
      <c r="L439" t="b">
        <v>0</v>
      </c>
      <c r="M439" t="s">
        <v>1382</v>
      </c>
      <c r="N439" t="s">
        <v>1403</v>
      </c>
      <c r="O439" t="s">
        <v>1385</v>
      </c>
      <c r="P439" t="s">
        <v>1404</v>
      </c>
      <c r="Q439" t="s">
        <v>2213</v>
      </c>
    </row>
    <row r="440" spans="1:17" x14ac:dyDescent="0.25">
      <c r="A440" t="s">
        <v>41</v>
      </c>
      <c r="B440" t="s">
        <v>1537</v>
      </c>
      <c r="C440" t="s">
        <v>438</v>
      </c>
      <c r="D440" t="s">
        <v>1415</v>
      </c>
      <c r="E440">
        <v>11.3</v>
      </c>
      <c r="F440" t="s">
        <v>2186</v>
      </c>
      <c r="G440" t="s">
        <v>2251</v>
      </c>
      <c r="H440" t="s">
        <v>2186</v>
      </c>
      <c r="I440" t="s">
        <v>1382</v>
      </c>
      <c r="J440" t="s">
        <v>1382</v>
      </c>
      <c r="K440" t="b">
        <v>1</v>
      </c>
      <c r="L440" t="b">
        <v>0</v>
      </c>
      <c r="M440" t="s">
        <v>1382</v>
      </c>
      <c r="N440" t="s">
        <v>1403</v>
      </c>
      <c r="O440" t="s">
        <v>1385</v>
      </c>
      <c r="P440" t="s">
        <v>1404</v>
      </c>
      <c r="Q440" t="s">
        <v>2213</v>
      </c>
    </row>
    <row r="441" spans="1:17" x14ac:dyDescent="0.25">
      <c r="A441" t="s">
        <v>41</v>
      </c>
      <c r="B441" t="s">
        <v>1540</v>
      </c>
      <c r="C441" t="s">
        <v>438</v>
      </c>
      <c r="D441" t="s">
        <v>1389</v>
      </c>
      <c r="E441">
        <v>51.7</v>
      </c>
      <c r="F441" t="s">
        <v>2186</v>
      </c>
      <c r="G441" t="s">
        <v>2252</v>
      </c>
      <c r="H441" t="s">
        <v>2186</v>
      </c>
      <c r="I441" t="s">
        <v>1382</v>
      </c>
      <c r="J441" t="s">
        <v>1382</v>
      </c>
      <c r="K441" t="b">
        <v>1</v>
      </c>
      <c r="L441" t="b">
        <v>0</v>
      </c>
      <c r="M441" t="s">
        <v>1382</v>
      </c>
      <c r="N441" t="s">
        <v>1403</v>
      </c>
      <c r="O441" t="s">
        <v>1385</v>
      </c>
      <c r="P441" t="s">
        <v>1404</v>
      </c>
      <c r="Q441" t="s">
        <v>2213</v>
      </c>
    </row>
    <row r="442" spans="1:17" x14ac:dyDescent="0.25">
      <c r="A442" t="s">
        <v>41</v>
      </c>
      <c r="B442" t="s">
        <v>1542</v>
      </c>
      <c r="C442" t="s">
        <v>438</v>
      </c>
      <c r="D442" t="s">
        <v>1422</v>
      </c>
      <c r="E442">
        <v>-29.1</v>
      </c>
      <c r="F442" t="s">
        <v>2186</v>
      </c>
      <c r="G442" t="s">
        <v>2253</v>
      </c>
      <c r="H442" t="s">
        <v>2186</v>
      </c>
      <c r="I442" t="s">
        <v>1382</v>
      </c>
      <c r="J442" t="s">
        <v>1382</v>
      </c>
      <c r="K442" t="b">
        <v>1</v>
      </c>
      <c r="L442" t="b">
        <v>0</v>
      </c>
      <c r="M442" t="s">
        <v>1382</v>
      </c>
      <c r="N442" t="s">
        <v>1403</v>
      </c>
      <c r="O442" t="s">
        <v>1385</v>
      </c>
      <c r="P442" t="s">
        <v>1404</v>
      </c>
      <c r="Q442" t="s">
        <v>2213</v>
      </c>
    </row>
    <row r="443" spans="1:17" x14ac:dyDescent="0.25">
      <c r="A443" t="s">
        <v>41</v>
      </c>
      <c r="B443" t="s">
        <v>1544</v>
      </c>
      <c r="C443" t="s">
        <v>438</v>
      </c>
      <c r="D443" t="s">
        <v>1426</v>
      </c>
      <c r="E443">
        <v>-120.3</v>
      </c>
      <c r="F443" t="s">
        <v>2186</v>
      </c>
      <c r="G443" t="s">
        <v>2254</v>
      </c>
      <c r="H443" t="s">
        <v>2186</v>
      </c>
      <c r="I443" t="s">
        <v>1382</v>
      </c>
      <c r="J443" t="s">
        <v>1382</v>
      </c>
      <c r="K443" t="b">
        <v>1</v>
      </c>
      <c r="L443" t="b">
        <v>0</v>
      </c>
      <c r="M443" t="s">
        <v>1382</v>
      </c>
      <c r="N443" t="s">
        <v>1403</v>
      </c>
      <c r="O443" t="s">
        <v>1385</v>
      </c>
      <c r="P443" t="s">
        <v>1404</v>
      </c>
      <c r="Q443" t="s">
        <v>2213</v>
      </c>
    </row>
    <row r="444" spans="1:17" x14ac:dyDescent="0.25">
      <c r="A444" t="s">
        <v>41</v>
      </c>
      <c r="B444" t="s">
        <v>1546</v>
      </c>
      <c r="C444" t="s">
        <v>438</v>
      </c>
      <c r="D444" t="s">
        <v>1430</v>
      </c>
      <c r="E444">
        <v>53.6</v>
      </c>
      <c r="F444" t="s">
        <v>2186</v>
      </c>
      <c r="G444" t="s">
        <v>2255</v>
      </c>
      <c r="H444" t="s">
        <v>2186</v>
      </c>
      <c r="I444" t="s">
        <v>1382</v>
      </c>
      <c r="J444" t="s">
        <v>1382</v>
      </c>
      <c r="K444" t="b">
        <v>1</v>
      </c>
      <c r="L444" t="b">
        <v>0</v>
      </c>
      <c r="M444" t="s">
        <v>1382</v>
      </c>
      <c r="N444" t="s">
        <v>1403</v>
      </c>
      <c r="O444" t="s">
        <v>1385</v>
      </c>
      <c r="P444" t="s">
        <v>1404</v>
      </c>
      <c r="Q444" t="s">
        <v>2213</v>
      </c>
    </row>
    <row r="445" spans="1:17" x14ac:dyDescent="0.25">
      <c r="A445" t="s">
        <v>41</v>
      </c>
      <c r="B445" t="s">
        <v>1549</v>
      </c>
      <c r="C445" t="s">
        <v>438</v>
      </c>
      <c r="D445" t="s">
        <v>1391</v>
      </c>
      <c r="E445">
        <v>-18.2</v>
      </c>
      <c r="F445" t="s">
        <v>2186</v>
      </c>
      <c r="G445" t="s">
        <v>2256</v>
      </c>
      <c r="H445" t="s">
        <v>2186</v>
      </c>
      <c r="I445" t="s">
        <v>1382</v>
      </c>
      <c r="J445" t="s">
        <v>1382</v>
      </c>
      <c r="K445" t="b">
        <v>1</v>
      </c>
      <c r="L445" t="b">
        <v>0</v>
      </c>
      <c r="M445" t="s">
        <v>1382</v>
      </c>
      <c r="N445" t="s">
        <v>1403</v>
      </c>
      <c r="O445" t="s">
        <v>1385</v>
      </c>
      <c r="P445" t="s">
        <v>1404</v>
      </c>
      <c r="Q445" t="s">
        <v>2213</v>
      </c>
    </row>
    <row r="446" spans="1:17" x14ac:dyDescent="0.25">
      <c r="A446" t="s">
        <v>41</v>
      </c>
      <c r="B446" t="s">
        <v>1551</v>
      </c>
      <c r="C446" t="s">
        <v>438</v>
      </c>
      <c r="D446" t="s">
        <v>1437</v>
      </c>
      <c r="E446">
        <v>-62.7</v>
      </c>
      <c r="F446" t="s">
        <v>2186</v>
      </c>
      <c r="G446" t="s">
        <v>2257</v>
      </c>
      <c r="H446" t="s">
        <v>2186</v>
      </c>
      <c r="I446" t="s">
        <v>1382</v>
      </c>
      <c r="J446" t="s">
        <v>1382</v>
      </c>
      <c r="K446" t="b">
        <v>1</v>
      </c>
      <c r="L446" t="b">
        <v>0</v>
      </c>
      <c r="M446" t="s">
        <v>1382</v>
      </c>
      <c r="N446" t="s">
        <v>1403</v>
      </c>
      <c r="O446" t="s">
        <v>1385</v>
      </c>
      <c r="P446" t="s">
        <v>1404</v>
      </c>
      <c r="Q446" t="s">
        <v>2213</v>
      </c>
    </row>
    <row r="447" spans="1:17" x14ac:dyDescent="0.25">
      <c r="A447" t="s">
        <v>41</v>
      </c>
      <c r="B447" t="s">
        <v>1553</v>
      </c>
      <c r="C447" t="s">
        <v>438</v>
      </c>
      <c r="D447" t="s">
        <v>1439</v>
      </c>
      <c r="E447">
        <v>-16.3</v>
      </c>
      <c r="F447" t="s">
        <v>2186</v>
      </c>
      <c r="G447" t="s">
        <v>2258</v>
      </c>
      <c r="H447" t="s">
        <v>2186</v>
      </c>
      <c r="I447" t="s">
        <v>1382</v>
      </c>
      <c r="J447" t="s">
        <v>1382</v>
      </c>
      <c r="K447" t="b">
        <v>1</v>
      </c>
      <c r="L447" t="b">
        <v>0</v>
      </c>
      <c r="M447" t="s">
        <v>1382</v>
      </c>
      <c r="N447" t="s">
        <v>1403</v>
      </c>
      <c r="O447" t="s">
        <v>1385</v>
      </c>
      <c r="P447" t="s">
        <v>1404</v>
      </c>
      <c r="Q447" t="s">
        <v>2213</v>
      </c>
    </row>
    <row r="448" spans="1:17" x14ac:dyDescent="0.25">
      <c r="A448" t="s">
        <v>41</v>
      </c>
      <c r="B448" t="s">
        <v>1555</v>
      </c>
      <c r="C448" t="s">
        <v>438</v>
      </c>
      <c r="D448" t="s">
        <v>1442</v>
      </c>
      <c r="E448">
        <v>125.3</v>
      </c>
      <c r="F448" t="s">
        <v>2186</v>
      </c>
      <c r="G448" t="s">
        <v>2259</v>
      </c>
      <c r="H448" t="s">
        <v>2186</v>
      </c>
      <c r="I448" t="s">
        <v>1382</v>
      </c>
      <c r="J448" t="s">
        <v>1382</v>
      </c>
      <c r="K448" t="b">
        <v>1</v>
      </c>
      <c r="L448" t="b">
        <v>0</v>
      </c>
      <c r="M448" t="s">
        <v>1382</v>
      </c>
      <c r="N448" t="s">
        <v>1403</v>
      </c>
      <c r="O448" t="s">
        <v>1385</v>
      </c>
      <c r="P448" t="s">
        <v>1404</v>
      </c>
      <c r="Q448" t="s">
        <v>2213</v>
      </c>
    </row>
    <row r="449" spans="1:17" x14ac:dyDescent="0.25">
      <c r="A449" t="s">
        <v>41</v>
      </c>
      <c r="B449" t="s">
        <v>2260</v>
      </c>
      <c r="C449" t="s">
        <v>2261</v>
      </c>
      <c r="D449" t="s">
        <v>1389</v>
      </c>
      <c r="E449">
        <v>0</v>
      </c>
      <c r="F449" t="s">
        <v>1381</v>
      </c>
      <c r="G449" t="s">
        <v>1382</v>
      </c>
      <c r="H449" t="s">
        <v>2186</v>
      </c>
      <c r="I449" t="s">
        <v>1382</v>
      </c>
      <c r="J449" t="s">
        <v>1382</v>
      </c>
      <c r="K449" t="b">
        <v>1</v>
      </c>
      <c r="L449" t="b">
        <v>0</v>
      </c>
      <c r="M449" t="s">
        <v>1382</v>
      </c>
      <c r="N449" t="s">
        <v>1384</v>
      </c>
      <c r="O449" t="s">
        <v>1473</v>
      </c>
      <c r="P449" t="s">
        <v>2262</v>
      </c>
      <c r="Q449" t="s">
        <v>2263</v>
      </c>
    </row>
    <row r="450" spans="1:17" x14ac:dyDescent="0.25">
      <c r="A450" t="s">
        <v>41</v>
      </c>
      <c r="B450" t="s">
        <v>2264</v>
      </c>
      <c r="C450" t="s">
        <v>2261</v>
      </c>
      <c r="D450" t="s">
        <v>1422</v>
      </c>
      <c r="E450">
        <v>0</v>
      </c>
      <c r="F450" t="s">
        <v>1381</v>
      </c>
      <c r="G450" t="s">
        <v>1382</v>
      </c>
      <c r="H450" t="s">
        <v>2186</v>
      </c>
      <c r="I450" t="s">
        <v>1382</v>
      </c>
      <c r="J450" t="s">
        <v>1382</v>
      </c>
      <c r="K450" t="b">
        <v>1</v>
      </c>
      <c r="L450" t="b">
        <v>0</v>
      </c>
      <c r="M450" t="s">
        <v>1382</v>
      </c>
      <c r="N450" t="s">
        <v>1384</v>
      </c>
      <c r="O450" t="s">
        <v>1473</v>
      </c>
      <c r="P450" t="s">
        <v>2262</v>
      </c>
      <c r="Q450" t="s">
        <v>2263</v>
      </c>
    </row>
    <row r="451" spans="1:17" x14ac:dyDescent="0.25">
      <c r="A451" t="s">
        <v>41</v>
      </c>
      <c r="B451" t="s">
        <v>2265</v>
      </c>
      <c r="C451" t="s">
        <v>2261</v>
      </c>
      <c r="D451" t="s">
        <v>1426</v>
      </c>
      <c r="E451">
        <v>0</v>
      </c>
      <c r="F451" t="s">
        <v>1381</v>
      </c>
      <c r="G451" t="s">
        <v>1382</v>
      </c>
      <c r="H451" t="s">
        <v>2186</v>
      </c>
      <c r="I451" t="s">
        <v>1382</v>
      </c>
      <c r="J451" t="s">
        <v>1382</v>
      </c>
      <c r="K451" t="b">
        <v>1</v>
      </c>
      <c r="L451" t="b">
        <v>0</v>
      </c>
      <c r="M451" t="s">
        <v>1382</v>
      </c>
      <c r="N451" t="s">
        <v>1384</v>
      </c>
      <c r="O451" t="s">
        <v>1473</v>
      </c>
      <c r="P451" t="s">
        <v>2262</v>
      </c>
      <c r="Q451" t="s">
        <v>2263</v>
      </c>
    </row>
    <row r="452" spans="1:17" x14ac:dyDescent="0.25">
      <c r="A452" t="s">
        <v>41</v>
      </c>
      <c r="B452" t="s">
        <v>2266</v>
      </c>
      <c r="C452" t="s">
        <v>2261</v>
      </c>
      <c r="D452" t="s">
        <v>1391</v>
      </c>
      <c r="E452">
        <v>0</v>
      </c>
      <c r="F452" t="s">
        <v>1381</v>
      </c>
      <c r="G452" t="s">
        <v>1382</v>
      </c>
      <c r="H452" t="s">
        <v>2186</v>
      </c>
      <c r="I452" t="s">
        <v>1382</v>
      </c>
      <c r="J452" t="s">
        <v>1382</v>
      </c>
      <c r="K452" t="b">
        <v>1</v>
      </c>
      <c r="L452" t="b">
        <v>0</v>
      </c>
      <c r="M452" t="s">
        <v>1382</v>
      </c>
      <c r="N452" t="s">
        <v>1384</v>
      </c>
      <c r="O452" t="s">
        <v>1473</v>
      </c>
      <c r="P452" t="s">
        <v>2262</v>
      </c>
      <c r="Q452" t="s">
        <v>2263</v>
      </c>
    </row>
    <row r="453" spans="1:17" x14ac:dyDescent="0.25">
      <c r="A453" t="s">
        <v>41</v>
      </c>
      <c r="B453" t="s">
        <v>2267</v>
      </c>
      <c r="C453" t="s">
        <v>2261</v>
      </c>
      <c r="D453" t="s">
        <v>1437</v>
      </c>
      <c r="E453">
        <v>0</v>
      </c>
      <c r="F453" t="s">
        <v>1381</v>
      </c>
      <c r="G453" t="s">
        <v>1382</v>
      </c>
      <c r="H453" t="s">
        <v>2186</v>
      </c>
      <c r="I453" t="s">
        <v>1382</v>
      </c>
      <c r="J453" t="s">
        <v>1382</v>
      </c>
      <c r="K453" t="b">
        <v>1</v>
      </c>
      <c r="L453" t="b">
        <v>0</v>
      </c>
      <c r="M453" t="s">
        <v>1382</v>
      </c>
      <c r="N453" t="s">
        <v>1384</v>
      </c>
      <c r="O453" t="s">
        <v>1473</v>
      </c>
      <c r="P453" t="s">
        <v>2262</v>
      </c>
      <c r="Q453" t="s">
        <v>2263</v>
      </c>
    </row>
    <row r="454" spans="1:17" x14ac:dyDescent="0.25">
      <c r="A454" t="s">
        <v>41</v>
      </c>
      <c r="B454" t="s">
        <v>2268</v>
      </c>
      <c r="C454" t="s">
        <v>2261</v>
      </c>
      <c r="D454" t="s">
        <v>1439</v>
      </c>
      <c r="E454">
        <v>0</v>
      </c>
      <c r="F454" t="s">
        <v>1381</v>
      </c>
      <c r="G454" t="s">
        <v>1382</v>
      </c>
      <c r="H454" t="s">
        <v>2186</v>
      </c>
      <c r="I454" t="s">
        <v>1382</v>
      </c>
      <c r="J454" t="s">
        <v>1382</v>
      </c>
      <c r="K454" t="b">
        <v>1</v>
      </c>
      <c r="L454" t="b">
        <v>0</v>
      </c>
      <c r="M454" t="s">
        <v>1382</v>
      </c>
      <c r="N454" t="s">
        <v>1384</v>
      </c>
      <c r="O454" t="s">
        <v>1473</v>
      </c>
      <c r="P454" t="s">
        <v>2262</v>
      </c>
      <c r="Q454" t="s">
        <v>2263</v>
      </c>
    </row>
    <row r="455" spans="1:17" x14ac:dyDescent="0.25">
      <c r="A455" t="s">
        <v>41</v>
      </c>
      <c r="B455" t="s">
        <v>2269</v>
      </c>
      <c r="C455" t="s">
        <v>2261</v>
      </c>
      <c r="D455" t="s">
        <v>1389</v>
      </c>
      <c r="E455">
        <v>0</v>
      </c>
      <c r="F455" t="s">
        <v>1381</v>
      </c>
      <c r="G455" t="s">
        <v>1382</v>
      </c>
      <c r="H455" t="s">
        <v>2186</v>
      </c>
      <c r="I455" t="s">
        <v>1382</v>
      </c>
      <c r="J455" t="s">
        <v>1382</v>
      </c>
      <c r="K455" t="b">
        <v>1</v>
      </c>
      <c r="L455" t="b">
        <v>0</v>
      </c>
      <c r="M455" t="s">
        <v>1382</v>
      </c>
      <c r="N455" t="s">
        <v>1384</v>
      </c>
      <c r="O455" t="s">
        <v>1473</v>
      </c>
      <c r="P455" t="s">
        <v>2262</v>
      </c>
      <c r="Q455" t="s">
        <v>2263</v>
      </c>
    </row>
    <row r="456" spans="1:17" x14ac:dyDescent="0.25">
      <c r="A456" t="s">
        <v>41</v>
      </c>
      <c r="B456" t="s">
        <v>2270</v>
      </c>
      <c r="C456" t="s">
        <v>2261</v>
      </c>
      <c r="D456" t="s">
        <v>1422</v>
      </c>
      <c r="E456">
        <v>0</v>
      </c>
      <c r="F456" t="s">
        <v>1381</v>
      </c>
      <c r="G456" t="s">
        <v>1382</v>
      </c>
      <c r="H456" t="s">
        <v>2186</v>
      </c>
      <c r="I456" t="s">
        <v>1382</v>
      </c>
      <c r="J456" t="s">
        <v>1382</v>
      </c>
      <c r="K456" t="b">
        <v>1</v>
      </c>
      <c r="L456" t="b">
        <v>0</v>
      </c>
      <c r="M456" t="s">
        <v>1382</v>
      </c>
      <c r="N456" t="s">
        <v>1384</v>
      </c>
      <c r="O456" t="s">
        <v>1473</v>
      </c>
      <c r="P456" t="s">
        <v>2262</v>
      </c>
      <c r="Q456" t="s">
        <v>2263</v>
      </c>
    </row>
    <row r="457" spans="1:17" x14ac:dyDescent="0.25">
      <c r="A457" t="s">
        <v>41</v>
      </c>
      <c r="B457" t="s">
        <v>2271</v>
      </c>
      <c r="C457" t="s">
        <v>2261</v>
      </c>
      <c r="D457" t="s">
        <v>1426</v>
      </c>
      <c r="E457">
        <v>0</v>
      </c>
      <c r="F457" t="s">
        <v>1381</v>
      </c>
      <c r="G457" t="s">
        <v>1382</v>
      </c>
      <c r="H457" t="s">
        <v>2186</v>
      </c>
      <c r="I457" t="s">
        <v>1382</v>
      </c>
      <c r="J457" t="s">
        <v>1382</v>
      </c>
      <c r="K457" t="b">
        <v>1</v>
      </c>
      <c r="L457" t="b">
        <v>0</v>
      </c>
      <c r="M457" t="s">
        <v>1382</v>
      </c>
      <c r="N457" t="s">
        <v>1384</v>
      </c>
      <c r="O457" t="s">
        <v>1473</v>
      </c>
      <c r="P457" t="s">
        <v>2262</v>
      </c>
      <c r="Q457" t="s">
        <v>2263</v>
      </c>
    </row>
    <row r="458" spans="1:17" x14ac:dyDescent="0.25">
      <c r="A458" t="s">
        <v>41</v>
      </c>
      <c r="B458" t="s">
        <v>2272</v>
      </c>
      <c r="C458" t="s">
        <v>2261</v>
      </c>
      <c r="D458" t="s">
        <v>1391</v>
      </c>
      <c r="E458">
        <v>0</v>
      </c>
      <c r="F458" t="s">
        <v>1381</v>
      </c>
      <c r="G458" t="s">
        <v>1382</v>
      </c>
      <c r="H458" t="s">
        <v>2186</v>
      </c>
      <c r="I458" t="s">
        <v>1382</v>
      </c>
      <c r="J458" t="s">
        <v>1382</v>
      </c>
      <c r="K458" t="b">
        <v>1</v>
      </c>
      <c r="L458" t="b">
        <v>0</v>
      </c>
      <c r="M458" t="s">
        <v>1382</v>
      </c>
      <c r="N458" t="s">
        <v>1384</v>
      </c>
      <c r="O458" t="s">
        <v>1473</v>
      </c>
      <c r="P458" t="s">
        <v>2262</v>
      </c>
      <c r="Q458" t="s">
        <v>2263</v>
      </c>
    </row>
    <row r="459" spans="1:17" x14ac:dyDescent="0.25">
      <c r="A459" t="s">
        <v>41</v>
      </c>
      <c r="B459" t="s">
        <v>2273</v>
      </c>
      <c r="C459" t="s">
        <v>2261</v>
      </c>
      <c r="D459" t="s">
        <v>1437</v>
      </c>
      <c r="E459">
        <v>0</v>
      </c>
      <c r="F459" t="s">
        <v>1381</v>
      </c>
      <c r="G459" t="s">
        <v>1382</v>
      </c>
      <c r="H459" t="s">
        <v>2186</v>
      </c>
      <c r="I459" t="s">
        <v>1382</v>
      </c>
      <c r="J459" t="s">
        <v>1382</v>
      </c>
      <c r="K459" t="b">
        <v>1</v>
      </c>
      <c r="L459" t="b">
        <v>0</v>
      </c>
      <c r="M459" t="s">
        <v>1382</v>
      </c>
      <c r="N459" t="s">
        <v>1384</v>
      </c>
      <c r="O459" t="s">
        <v>1473</v>
      </c>
      <c r="P459" t="s">
        <v>2262</v>
      </c>
      <c r="Q459" t="s">
        <v>2263</v>
      </c>
    </row>
    <row r="460" spans="1:17" x14ac:dyDescent="0.25">
      <c r="A460" t="s">
        <v>41</v>
      </c>
      <c r="B460" t="s">
        <v>2274</v>
      </c>
      <c r="C460" t="s">
        <v>2261</v>
      </c>
      <c r="D460" t="s">
        <v>1439</v>
      </c>
      <c r="E460">
        <v>0</v>
      </c>
      <c r="F460" t="s">
        <v>1381</v>
      </c>
      <c r="G460" t="s">
        <v>1382</v>
      </c>
      <c r="H460" t="s">
        <v>2186</v>
      </c>
      <c r="I460" t="s">
        <v>1382</v>
      </c>
      <c r="J460" t="s">
        <v>1382</v>
      </c>
      <c r="K460" t="b">
        <v>1</v>
      </c>
      <c r="L460" t="b">
        <v>0</v>
      </c>
      <c r="M460" t="s">
        <v>1382</v>
      </c>
      <c r="N460" t="s">
        <v>1384</v>
      </c>
      <c r="O460" t="s">
        <v>1473</v>
      </c>
      <c r="P460" t="s">
        <v>2262</v>
      </c>
      <c r="Q460" t="s">
        <v>2263</v>
      </c>
    </row>
    <row r="461" spans="1:17" x14ac:dyDescent="0.25">
      <c r="A461" t="s">
        <v>41</v>
      </c>
      <c r="B461" t="s">
        <v>2275</v>
      </c>
      <c r="C461" t="s">
        <v>2261</v>
      </c>
      <c r="D461" t="s">
        <v>1389</v>
      </c>
      <c r="E461">
        <v>0</v>
      </c>
      <c r="F461" t="s">
        <v>1381</v>
      </c>
      <c r="G461" t="s">
        <v>1382</v>
      </c>
      <c r="H461" t="s">
        <v>2186</v>
      </c>
      <c r="I461" t="s">
        <v>1382</v>
      </c>
      <c r="J461" t="s">
        <v>1382</v>
      </c>
      <c r="K461" t="b">
        <v>1</v>
      </c>
      <c r="L461" t="b">
        <v>0</v>
      </c>
      <c r="M461" t="s">
        <v>1382</v>
      </c>
      <c r="N461" t="s">
        <v>1384</v>
      </c>
      <c r="O461" t="s">
        <v>1473</v>
      </c>
      <c r="P461" t="s">
        <v>2262</v>
      </c>
      <c r="Q461" t="s">
        <v>2263</v>
      </c>
    </row>
    <row r="462" spans="1:17" x14ac:dyDescent="0.25">
      <c r="A462" t="s">
        <v>41</v>
      </c>
      <c r="B462" t="s">
        <v>2276</v>
      </c>
      <c r="C462" t="s">
        <v>2261</v>
      </c>
      <c r="D462" t="s">
        <v>1422</v>
      </c>
      <c r="E462">
        <v>0</v>
      </c>
      <c r="F462" t="s">
        <v>1381</v>
      </c>
      <c r="G462" t="s">
        <v>1382</v>
      </c>
      <c r="H462" t="s">
        <v>2186</v>
      </c>
      <c r="I462" t="s">
        <v>1382</v>
      </c>
      <c r="J462" t="s">
        <v>1382</v>
      </c>
      <c r="K462" t="b">
        <v>1</v>
      </c>
      <c r="L462" t="b">
        <v>0</v>
      </c>
      <c r="M462" t="s">
        <v>1382</v>
      </c>
      <c r="N462" t="s">
        <v>1384</v>
      </c>
      <c r="O462" t="s">
        <v>1473</v>
      </c>
      <c r="P462" t="s">
        <v>2262</v>
      </c>
      <c r="Q462" t="s">
        <v>2263</v>
      </c>
    </row>
    <row r="463" spans="1:17" x14ac:dyDescent="0.25">
      <c r="A463" t="s">
        <v>41</v>
      </c>
      <c r="B463" t="s">
        <v>2277</v>
      </c>
      <c r="C463" t="s">
        <v>2261</v>
      </c>
      <c r="D463" t="s">
        <v>1426</v>
      </c>
      <c r="E463">
        <v>0</v>
      </c>
      <c r="F463" t="s">
        <v>1381</v>
      </c>
      <c r="G463" t="s">
        <v>1382</v>
      </c>
      <c r="H463" t="s">
        <v>2186</v>
      </c>
      <c r="I463" t="s">
        <v>1382</v>
      </c>
      <c r="J463" t="s">
        <v>1382</v>
      </c>
      <c r="K463" t="b">
        <v>1</v>
      </c>
      <c r="L463" t="b">
        <v>0</v>
      </c>
      <c r="M463" t="s">
        <v>1382</v>
      </c>
      <c r="N463" t="s">
        <v>1384</v>
      </c>
      <c r="O463" t="s">
        <v>1473</v>
      </c>
      <c r="P463" t="s">
        <v>2262</v>
      </c>
      <c r="Q463" t="s">
        <v>2263</v>
      </c>
    </row>
    <row r="464" spans="1:17" x14ac:dyDescent="0.25">
      <c r="A464" t="s">
        <v>41</v>
      </c>
      <c r="B464" t="s">
        <v>2278</v>
      </c>
      <c r="C464" t="s">
        <v>2261</v>
      </c>
      <c r="D464" t="s">
        <v>1391</v>
      </c>
      <c r="E464">
        <v>0</v>
      </c>
      <c r="F464" t="s">
        <v>1381</v>
      </c>
      <c r="G464" t="s">
        <v>1382</v>
      </c>
      <c r="H464" t="s">
        <v>2186</v>
      </c>
      <c r="I464" t="s">
        <v>1382</v>
      </c>
      <c r="J464" t="s">
        <v>1382</v>
      </c>
      <c r="K464" t="b">
        <v>1</v>
      </c>
      <c r="L464" t="b">
        <v>0</v>
      </c>
      <c r="M464" t="s">
        <v>1382</v>
      </c>
      <c r="N464" t="s">
        <v>1384</v>
      </c>
      <c r="O464" t="s">
        <v>1473</v>
      </c>
      <c r="P464" t="s">
        <v>2262</v>
      </c>
      <c r="Q464" t="s">
        <v>2263</v>
      </c>
    </row>
    <row r="465" spans="1:17" x14ac:dyDescent="0.25">
      <c r="A465" t="s">
        <v>41</v>
      </c>
      <c r="B465" t="s">
        <v>2279</v>
      </c>
      <c r="C465" t="s">
        <v>2261</v>
      </c>
      <c r="D465" t="s">
        <v>1437</v>
      </c>
      <c r="E465">
        <v>0</v>
      </c>
      <c r="F465" t="s">
        <v>1381</v>
      </c>
      <c r="G465" t="s">
        <v>1382</v>
      </c>
      <c r="H465" t="s">
        <v>2186</v>
      </c>
      <c r="I465" t="s">
        <v>1382</v>
      </c>
      <c r="J465" t="s">
        <v>1382</v>
      </c>
      <c r="K465" t="b">
        <v>1</v>
      </c>
      <c r="L465" t="b">
        <v>0</v>
      </c>
      <c r="M465" t="s">
        <v>1382</v>
      </c>
      <c r="N465" t="s">
        <v>1384</v>
      </c>
      <c r="O465" t="s">
        <v>1473</v>
      </c>
      <c r="P465" t="s">
        <v>2262</v>
      </c>
      <c r="Q465" t="s">
        <v>2263</v>
      </c>
    </row>
    <row r="466" spans="1:17" x14ac:dyDescent="0.25">
      <c r="A466" t="s">
        <v>41</v>
      </c>
      <c r="B466" t="s">
        <v>2280</v>
      </c>
      <c r="C466" t="s">
        <v>2261</v>
      </c>
      <c r="D466" t="s">
        <v>1439</v>
      </c>
      <c r="E466">
        <v>0</v>
      </c>
      <c r="F466" t="s">
        <v>1381</v>
      </c>
      <c r="G466" t="s">
        <v>1382</v>
      </c>
      <c r="H466" t="s">
        <v>2186</v>
      </c>
      <c r="I466" t="s">
        <v>1382</v>
      </c>
      <c r="J466" t="s">
        <v>1382</v>
      </c>
      <c r="K466" t="b">
        <v>1</v>
      </c>
      <c r="L466" t="b">
        <v>0</v>
      </c>
      <c r="M466" t="s">
        <v>1382</v>
      </c>
      <c r="N466" t="s">
        <v>1384</v>
      </c>
      <c r="O466" t="s">
        <v>1473</v>
      </c>
      <c r="P466" t="s">
        <v>2262</v>
      </c>
      <c r="Q466" t="s">
        <v>2263</v>
      </c>
    </row>
    <row r="467" spans="1:17" x14ac:dyDescent="0.25">
      <c r="A467" t="s">
        <v>41</v>
      </c>
      <c r="B467" t="s">
        <v>2281</v>
      </c>
      <c r="C467" t="s">
        <v>437</v>
      </c>
      <c r="D467" t="s">
        <v>1380</v>
      </c>
      <c r="E467">
        <v>0</v>
      </c>
      <c r="F467" t="s">
        <v>2186</v>
      </c>
      <c r="G467" t="s">
        <v>2282</v>
      </c>
      <c r="H467" t="s">
        <v>2186</v>
      </c>
      <c r="I467" t="s">
        <v>1382</v>
      </c>
      <c r="J467" t="s">
        <v>1382</v>
      </c>
      <c r="K467" t="b">
        <v>1</v>
      </c>
      <c r="L467" t="b">
        <v>0</v>
      </c>
      <c r="M467" t="s">
        <v>1382</v>
      </c>
      <c r="N467" t="s">
        <v>1403</v>
      </c>
      <c r="O467" t="s">
        <v>1385</v>
      </c>
      <c r="P467" t="s">
        <v>1404</v>
      </c>
      <c r="Q467" t="s">
        <v>2188</v>
      </c>
    </row>
    <row r="468" spans="1:17" x14ac:dyDescent="0.25">
      <c r="A468" t="s">
        <v>41</v>
      </c>
      <c r="B468" t="s">
        <v>2283</v>
      </c>
      <c r="C468" t="s">
        <v>437</v>
      </c>
      <c r="D468" t="s">
        <v>1389</v>
      </c>
      <c r="E468">
        <v>0</v>
      </c>
      <c r="F468" t="s">
        <v>2186</v>
      </c>
      <c r="G468" t="s">
        <v>2282</v>
      </c>
      <c r="H468" t="s">
        <v>2186</v>
      </c>
      <c r="I468" t="s">
        <v>1382</v>
      </c>
      <c r="J468" t="s">
        <v>1382</v>
      </c>
      <c r="K468" t="b">
        <v>1</v>
      </c>
      <c r="L468" t="b">
        <v>0</v>
      </c>
      <c r="M468" t="s">
        <v>1382</v>
      </c>
      <c r="N468" t="s">
        <v>1403</v>
      </c>
      <c r="O468" t="s">
        <v>1385</v>
      </c>
      <c r="P468" t="s">
        <v>1404</v>
      </c>
      <c r="Q468" t="s">
        <v>2188</v>
      </c>
    </row>
    <row r="469" spans="1:17" x14ac:dyDescent="0.25">
      <c r="A469" t="s">
        <v>41</v>
      </c>
      <c r="B469" t="s">
        <v>2284</v>
      </c>
      <c r="C469" t="s">
        <v>437</v>
      </c>
      <c r="D469" t="s">
        <v>1391</v>
      </c>
      <c r="E469">
        <v>0</v>
      </c>
      <c r="F469" t="s">
        <v>2186</v>
      </c>
      <c r="G469" t="s">
        <v>2282</v>
      </c>
      <c r="H469" t="s">
        <v>2186</v>
      </c>
      <c r="I469" t="s">
        <v>1382</v>
      </c>
      <c r="J469" t="s">
        <v>1382</v>
      </c>
      <c r="K469" t="b">
        <v>1</v>
      </c>
      <c r="L469" t="b">
        <v>0</v>
      </c>
      <c r="M469" t="s">
        <v>1382</v>
      </c>
      <c r="N469" t="s">
        <v>1403</v>
      </c>
      <c r="O469" t="s">
        <v>1385</v>
      </c>
      <c r="P469" t="s">
        <v>1404</v>
      </c>
      <c r="Q469" t="s">
        <v>2188</v>
      </c>
    </row>
    <row r="470" spans="1:17" x14ac:dyDescent="0.25">
      <c r="A470" t="s">
        <v>41</v>
      </c>
      <c r="B470" t="s">
        <v>2285</v>
      </c>
      <c r="C470" t="s">
        <v>438</v>
      </c>
      <c r="D470" t="s">
        <v>1380</v>
      </c>
      <c r="E470">
        <v>0</v>
      </c>
      <c r="F470" t="s">
        <v>2186</v>
      </c>
      <c r="G470" t="s">
        <v>2286</v>
      </c>
      <c r="H470" t="s">
        <v>2186</v>
      </c>
      <c r="I470" t="s">
        <v>1382</v>
      </c>
      <c r="J470" t="s">
        <v>1382</v>
      </c>
      <c r="K470" t="b">
        <v>1</v>
      </c>
      <c r="L470" t="b">
        <v>0</v>
      </c>
      <c r="M470" t="s">
        <v>1382</v>
      </c>
      <c r="N470" t="s">
        <v>1403</v>
      </c>
      <c r="O470" t="s">
        <v>1385</v>
      </c>
      <c r="P470" t="s">
        <v>1404</v>
      </c>
      <c r="Q470" t="s">
        <v>2213</v>
      </c>
    </row>
    <row r="471" spans="1:17" x14ac:dyDescent="0.25">
      <c r="A471" t="s">
        <v>41</v>
      </c>
      <c r="B471" t="s">
        <v>2287</v>
      </c>
      <c r="C471" t="s">
        <v>438</v>
      </c>
      <c r="D471" t="s">
        <v>1407</v>
      </c>
      <c r="E471">
        <v>0</v>
      </c>
      <c r="F471" t="s">
        <v>2186</v>
      </c>
      <c r="G471" t="s">
        <v>2286</v>
      </c>
      <c r="H471" t="s">
        <v>2186</v>
      </c>
      <c r="I471" t="s">
        <v>1382</v>
      </c>
      <c r="J471" t="s">
        <v>1382</v>
      </c>
      <c r="K471" t="b">
        <v>1</v>
      </c>
      <c r="L471" t="b">
        <v>0</v>
      </c>
      <c r="M471" t="s">
        <v>1382</v>
      </c>
      <c r="N471" t="s">
        <v>1403</v>
      </c>
      <c r="O471" t="s">
        <v>1385</v>
      </c>
      <c r="P471" t="s">
        <v>1404</v>
      </c>
      <c r="Q471" t="s">
        <v>2213</v>
      </c>
    </row>
    <row r="472" spans="1:17" x14ac:dyDescent="0.25">
      <c r="A472" t="s">
        <v>41</v>
      </c>
      <c r="B472" t="s">
        <v>2288</v>
      </c>
      <c r="C472" t="s">
        <v>438</v>
      </c>
      <c r="D472" t="s">
        <v>1411</v>
      </c>
      <c r="E472">
        <v>0</v>
      </c>
      <c r="F472" t="s">
        <v>2186</v>
      </c>
      <c r="G472" t="s">
        <v>2286</v>
      </c>
      <c r="H472" t="s">
        <v>2186</v>
      </c>
      <c r="I472" t="s">
        <v>1382</v>
      </c>
      <c r="J472" t="s">
        <v>1382</v>
      </c>
      <c r="K472" t="b">
        <v>1</v>
      </c>
      <c r="L472" t="b">
        <v>0</v>
      </c>
      <c r="M472" t="s">
        <v>1382</v>
      </c>
      <c r="N472" t="s">
        <v>1403</v>
      </c>
      <c r="O472" t="s">
        <v>1385</v>
      </c>
      <c r="P472" t="s">
        <v>1404</v>
      </c>
      <c r="Q472" t="s">
        <v>2213</v>
      </c>
    </row>
    <row r="473" spans="1:17" x14ac:dyDescent="0.25">
      <c r="A473" t="s">
        <v>41</v>
      </c>
      <c r="B473" t="s">
        <v>2289</v>
      </c>
      <c r="C473" t="s">
        <v>438</v>
      </c>
      <c r="D473" t="s">
        <v>1415</v>
      </c>
      <c r="E473">
        <v>0</v>
      </c>
      <c r="F473" t="s">
        <v>2186</v>
      </c>
      <c r="G473" t="s">
        <v>2286</v>
      </c>
      <c r="H473" t="s">
        <v>2186</v>
      </c>
      <c r="I473" t="s">
        <v>1382</v>
      </c>
      <c r="J473" t="s">
        <v>1382</v>
      </c>
      <c r="K473" t="b">
        <v>1</v>
      </c>
      <c r="L473" t="b">
        <v>0</v>
      </c>
      <c r="M473" t="s">
        <v>1382</v>
      </c>
      <c r="N473" t="s">
        <v>1403</v>
      </c>
      <c r="O473" t="s">
        <v>1385</v>
      </c>
      <c r="P473" t="s">
        <v>1404</v>
      </c>
      <c r="Q473" t="s">
        <v>2213</v>
      </c>
    </row>
    <row r="474" spans="1:17" x14ac:dyDescent="0.25">
      <c r="A474" t="s">
        <v>41</v>
      </c>
      <c r="B474" t="s">
        <v>2290</v>
      </c>
      <c r="C474" t="s">
        <v>438</v>
      </c>
      <c r="D474" t="s">
        <v>1389</v>
      </c>
      <c r="E474">
        <v>0</v>
      </c>
      <c r="F474" t="s">
        <v>2186</v>
      </c>
      <c r="G474" t="s">
        <v>2286</v>
      </c>
      <c r="H474" t="s">
        <v>2186</v>
      </c>
      <c r="I474" t="s">
        <v>1382</v>
      </c>
      <c r="J474" t="s">
        <v>1382</v>
      </c>
      <c r="K474" t="b">
        <v>1</v>
      </c>
      <c r="L474" t="b">
        <v>0</v>
      </c>
      <c r="M474" t="s">
        <v>1382</v>
      </c>
      <c r="N474" t="s">
        <v>1403</v>
      </c>
      <c r="O474" t="s">
        <v>1385</v>
      </c>
      <c r="P474" t="s">
        <v>1404</v>
      </c>
      <c r="Q474" t="s">
        <v>2213</v>
      </c>
    </row>
    <row r="475" spans="1:17" x14ac:dyDescent="0.25">
      <c r="A475" t="s">
        <v>41</v>
      </c>
      <c r="B475" t="s">
        <v>2291</v>
      </c>
      <c r="C475" t="s">
        <v>438</v>
      </c>
      <c r="D475" t="s">
        <v>1422</v>
      </c>
      <c r="E475">
        <v>0</v>
      </c>
      <c r="F475" t="s">
        <v>2186</v>
      </c>
      <c r="G475" t="s">
        <v>2286</v>
      </c>
      <c r="H475" t="s">
        <v>2186</v>
      </c>
      <c r="I475" t="s">
        <v>1382</v>
      </c>
      <c r="J475" t="s">
        <v>1382</v>
      </c>
      <c r="K475" t="b">
        <v>1</v>
      </c>
      <c r="L475" t="b">
        <v>0</v>
      </c>
      <c r="M475" t="s">
        <v>1382</v>
      </c>
      <c r="N475" t="s">
        <v>1403</v>
      </c>
      <c r="O475" t="s">
        <v>1385</v>
      </c>
      <c r="P475" t="s">
        <v>1404</v>
      </c>
      <c r="Q475" t="s">
        <v>2213</v>
      </c>
    </row>
    <row r="476" spans="1:17" x14ac:dyDescent="0.25">
      <c r="A476" t="s">
        <v>41</v>
      </c>
      <c r="B476" t="s">
        <v>2292</v>
      </c>
      <c r="C476" t="s">
        <v>438</v>
      </c>
      <c r="D476" t="s">
        <v>1426</v>
      </c>
      <c r="E476">
        <v>0</v>
      </c>
      <c r="F476" t="s">
        <v>2186</v>
      </c>
      <c r="G476" t="s">
        <v>2286</v>
      </c>
      <c r="H476" t="s">
        <v>2186</v>
      </c>
      <c r="I476" t="s">
        <v>1382</v>
      </c>
      <c r="J476" t="s">
        <v>1382</v>
      </c>
      <c r="K476" t="b">
        <v>1</v>
      </c>
      <c r="L476" t="b">
        <v>0</v>
      </c>
      <c r="M476" t="s">
        <v>1382</v>
      </c>
      <c r="N476" t="s">
        <v>1403</v>
      </c>
      <c r="O476" t="s">
        <v>1385</v>
      </c>
      <c r="P476" t="s">
        <v>1404</v>
      </c>
      <c r="Q476" t="s">
        <v>2213</v>
      </c>
    </row>
    <row r="477" spans="1:17" x14ac:dyDescent="0.25">
      <c r="A477" t="s">
        <v>41</v>
      </c>
      <c r="B477" t="s">
        <v>2293</v>
      </c>
      <c r="C477" t="s">
        <v>438</v>
      </c>
      <c r="D477" t="s">
        <v>1430</v>
      </c>
      <c r="E477">
        <v>0</v>
      </c>
      <c r="F477" t="s">
        <v>2186</v>
      </c>
      <c r="G477" t="s">
        <v>2286</v>
      </c>
      <c r="H477" t="s">
        <v>2186</v>
      </c>
      <c r="I477" t="s">
        <v>1382</v>
      </c>
      <c r="J477" t="s">
        <v>1382</v>
      </c>
      <c r="K477" t="b">
        <v>1</v>
      </c>
      <c r="L477" t="b">
        <v>0</v>
      </c>
      <c r="M477" t="s">
        <v>1382</v>
      </c>
      <c r="N477" t="s">
        <v>1403</v>
      </c>
      <c r="O477" t="s">
        <v>1385</v>
      </c>
      <c r="P477" t="s">
        <v>1404</v>
      </c>
      <c r="Q477" t="s">
        <v>2213</v>
      </c>
    </row>
    <row r="478" spans="1:17" x14ac:dyDescent="0.25">
      <c r="A478" t="s">
        <v>41</v>
      </c>
      <c r="B478" t="s">
        <v>2294</v>
      </c>
      <c r="C478" t="s">
        <v>438</v>
      </c>
      <c r="D478" t="s">
        <v>1391</v>
      </c>
      <c r="E478">
        <v>0</v>
      </c>
      <c r="F478" t="s">
        <v>2186</v>
      </c>
      <c r="G478" t="s">
        <v>2286</v>
      </c>
      <c r="H478" t="s">
        <v>2186</v>
      </c>
      <c r="I478" t="s">
        <v>1382</v>
      </c>
      <c r="J478" t="s">
        <v>1382</v>
      </c>
      <c r="K478" t="b">
        <v>1</v>
      </c>
      <c r="L478" t="b">
        <v>0</v>
      </c>
      <c r="M478" t="s">
        <v>1382</v>
      </c>
      <c r="N478" t="s">
        <v>1403</v>
      </c>
      <c r="O478" t="s">
        <v>1385</v>
      </c>
      <c r="P478" t="s">
        <v>1404</v>
      </c>
      <c r="Q478" t="s">
        <v>2213</v>
      </c>
    </row>
    <row r="479" spans="1:17" x14ac:dyDescent="0.25">
      <c r="A479" t="s">
        <v>41</v>
      </c>
      <c r="B479" t="s">
        <v>2295</v>
      </c>
      <c r="C479" t="s">
        <v>438</v>
      </c>
      <c r="D479" t="s">
        <v>1437</v>
      </c>
      <c r="E479">
        <v>0</v>
      </c>
      <c r="F479" t="s">
        <v>2186</v>
      </c>
      <c r="G479" t="s">
        <v>2286</v>
      </c>
      <c r="H479" t="s">
        <v>2186</v>
      </c>
      <c r="I479" t="s">
        <v>1382</v>
      </c>
      <c r="J479" t="s">
        <v>1382</v>
      </c>
      <c r="K479" t="b">
        <v>1</v>
      </c>
      <c r="L479" t="b">
        <v>0</v>
      </c>
      <c r="M479" t="s">
        <v>1382</v>
      </c>
      <c r="N479" t="s">
        <v>1403</v>
      </c>
      <c r="O479" t="s">
        <v>1385</v>
      </c>
      <c r="P479" t="s">
        <v>1404</v>
      </c>
      <c r="Q479" t="s">
        <v>2213</v>
      </c>
    </row>
    <row r="480" spans="1:17" x14ac:dyDescent="0.25">
      <c r="A480" t="s">
        <v>41</v>
      </c>
      <c r="B480" t="s">
        <v>2296</v>
      </c>
      <c r="C480" t="s">
        <v>438</v>
      </c>
      <c r="D480" t="s">
        <v>1439</v>
      </c>
      <c r="E480">
        <v>0</v>
      </c>
      <c r="F480" t="s">
        <v>2186</v>
      </c>
      <c r="G480" t="s">
        <v>2286</v>
      </c>
      <c r="H480" t="s">
        <v>2186</v>
      </c>
      <c r="I480" t="s">
        <v>1382</v>
      </c>
      <c r="J480" t="s">
        <v>1382</v>
      </c>
      <c r="K480" t="b">
        <v>1</v>
      </c>
      <c r="L480" t="b">
        <v>0</v>
      </c>
      <c r="M480" t="s">
        <v>1382</v>
      </c>
      <c r="N480" t="s">
        <v>1403</v>
      </c>
      <c r="O480" t="s">
        <v>1385</v>
      </c>
      <c r="P480" t="s">
        <v>1404</v>
      </c>
      <c r="Q480" t="s">
        <v>2213</v>
      </c>
    </row>
    <row r="481" spans="1:17" x14ac:dyDescent="0.25">
      <c r="A481" t="s">
        <v>41</v>
      </c>
      <c r="B481" t="s">
        <v>2297</v>
      </c>
      <c r="C481" t="s">
        <v>438</v>
      </c>
      <c r="D481" t="s">
        <v>1442</v>
      </c>
      <c r="E481">
        <v>90.8</v>
      </c>
      <c r="F481" t="s">
        <v>2186</v>
      </c>
      <c r="G481" t="s">
        <v>2298</v>
      </c>
      <c r="H481" t="s">
        <v>2186</v>
      </c>
      <c r="I481" t="s">
        <v>1382</v>
      </c>
      <c r="J481" t="s">
        <v>1382</v>
      </c>
      <c r="K481" t="b">
        <v>1</v>
      </c>
      <c r="L481" t="b">
        <v>0</v>
      </c>
      <c r="M481" t="s">
        <v>1382</v>
      </c>
      <c r="N481" t="s">
        <v>1403</v>
      </c>
      <c r="O481" t="s">
        <v>1385</v>
      </c>
      <c r="P481" t="s">
        <v>1404</v>
      </c>
      <c r="Q481" t="s">
        <v>2213</v>
      </c>
    </row>
    <row r="482" spans="1:17" x14ac:dyDescent="0.25">
      <c r="A482" t="s">
        <v>41</v>
      </c>
      <c r="B482" t="s">
        <v>2224</v>
      </c>
      <c r="C482" t="s">
        <v>438</v>
      </c>
      <c r="D482" t="s">
        <v>1426</v>
      </c>
      <c r="E482">
        <v>1399.7710000000002</v>
      </c>
      <c r="F482" t="s">
        <v>2299</v>
      </c>
      <c r="G482" t="s">
        <v>2300</v>
      </c>
      <c r="H482" t="s">
        <v>2186</v>
      </c>
      <c r="I482" t="s">
        <v>1428</v>
      </c>
      <c r="J482" t="s">
        <v>1382</v>
      </c>
      <c r="K482" t="b">
        <v>1</v>
      </c>
      <c r="L482" t="b">
        <v>0</v>
      </c>
      <c r="M482" t="s">
        <v>1382</v>
      </c>
      <c r="N482" t="s">
        <v>2301</v>
      </c>
      <c r="O482" t="s">
        <v>2302</v>
      </c>
      <c r="P482" t="s">
        <v>2303</v>
      </c>
      <c r="Q482" t="s">
        <v>2304</v>
      </c>
    </row>
    <row r="483" spans="1:17" x14ac:dyDescent="0.25">
      <c r="A483" t="s">
        <v>41</v>
      </c>
      <c r="B483" t="s">
        <v>2226</v>
      </c>
      <c r="C483" t="s">
        <v>438</v>
      </c>
      <c r="D483" t="s">
        <v>1430</v>
      </c>
      <c r="E483">
        <v>-1016.6879999999996</v>
      </c>
      <c r="F483" t="s">
        <v>2299</v>
      </c>
      <c r="G483" t="s">
        <v>2300</v>
      </c>
      <c r="H483" t="s">
        <v>2186</v>
      </c>
      <c r="I483" t="s">
        <v>1382</v>
      </c>
      <c r="J483" t="s">
        <v>1382</v>
      </c>
      <c r="K483" t="b">
        <v>1</v>
      </c>
      <c r="L483" t="b">
        <v>0</v>
      </c>
      <c r="M483" t="s">
        <v>1382</v>
      </c>
      <c r="N483" t="s">
        <v>2301</v>
      </c>
      <c r="O483" t="s">
        <v>2302</v>
      </c>
      <c r="P483" t="s">
        <v>2303</v>
      </c>
      <c r="Q483" t="s">
        <v>2304</v>
      </c>
    </row>
    <row r="484" spans="1:17" x14ac:dyDescent="0.25">
      <c r="A484" t="s">
        <v>41</v>
      </c>
      <c r="B484" t="s">
        <v>1530</v>
      </c>
      <c r="C484" t="s">
        <v>2305</v>
      </c>
      <c r="D484" t="s">
        <v>1380</v>
      </c>
      <c r="E484">
        <v>-14.181999999999988</v>
      </c>
      <c r="F484" t="s">
        <v>2299</v>
      </c>
      <c r="G484" t="s">
        <v>2306</v>
      </c>
      <c r="H484" t="s">
        <v>2186</v>
      </c>
      <c r="I484" t="s">
        <v>1402</v>
      </c>
      <c r="J484" t="s">
        <v>1382</v>
      </c>
      <c r="K484" t="b">
        <v>1</v>
      </c>
      <c r="L484" t="b">
        <v>0</v>
      </c>
      <c r="M484" t="s">
        <v>1382</v>
      </c>
      <c r="N484" t="s">
        <v>2301</v>
      </c>
      <c r="O484" t="s">
        <v>2302</v>
      </c>
      <c r="P484" t="s">
        <v>2303</v>
      </c>
      <c r="Q484" t="s">
        <v>2307</v>
      </c>
    </row>
    <row r="485" spans="1:17" x14ac:dyDescent="0.25">
      <c r="A485" t="s">
        <v>41</v>
      </c>
      <c r="B485" t="s">
        <v>1533</v>
      </c>
      <c r="C485" t="s">
        <v>2305</v>
      </c>
      <c r="D485" t="s">
        <v>1407</v>
      </c>
      <c r="E485">
        <v>-86.581</v>
      </c>
      <c r="F485" t="s">
        <v>2299</v>
      </c>
      <c r="G485" t="s">
        <v>2306</v>
      </c>
      <c r="H485" t="s">
        <v>2186</v>
      </c>
      <c r="I485" t="s">
        <v>1409</v>
      </c>
      <c r="J485" t="s">
        <v>1382</v>
      </c>
      <c r="K485" t="b">
        <v>1</v>
      </c>
      <c r="L485" t="b">
        <v>0</v>
      </c>
      <c r="M485" t="s">
        <v>1382</v>
      </c>
      <c r="N485" t="s">
        <v>2301</v>
      </c>
      <c r="O485" t="s">
        <v>2302</v>
      </c>
      <c r="P485" t="s">
        <v>2303</v>
      </c>
      <c r="Q485" t="s">
        <v>2307</v>
      </c>
    </row>
    <row r="486" spans="1:17" x14ac:dyDescent="0.25">
      <c r="A486" t="s">
        <v>41</v>
      </c>
      <c r="B486" t="s">
        <v>1535</v>
      </c>
      <c r="C486" t="s">
        <v>2305</v>
      </c>
      <c r="D486" t="s">
        <v>1411</v>
      </c>
      <c r="E486">
        <v>-64.029</v>
      </c>
      <c r="F486" t="s">
        <v>2299</v>
      </c>
      <c r="G486" t="s">
        <v>2306</v>
      </c>
      <c r="H486" t="s">
        <v>2186</v>
      </c>
      <c r="I486" t="s">
        <v>1413</v>
      </c>
      <c r="J486" t="s">
        <v>1382</v>
      </c>
      <c r="K486" t="b">
        <v>1</v>
      </c>
      <c r="L486" t="b">
        <v>0</v>
      </c>
      <c r="M486" t="s">
        <v>1382</v>
      </c>
      <c r="N486" t="s">
        <v>2301</v>
      </c>
      <c r="O486" t="s">
        <v>2302</v>
      </c>
      <c r="P486" t="s">
        <v>2303</v>
      </c>
      <c r="Q486" t="s">
        <v>2307</v>
      </c>
    </row>
    <row r="487" spans="1:17" x14ac:dyDescent="0.25">
      <c r="A487" t="s">
        <v>41</v>
      </c>
      <c r="B487" t="s">
        <v>1537</v>
      </c>
      <c r="C487" t="s">
        <v>2305</v>
      </c>
      <c r="D487" t="s">
        <v>1415</v>
      </c>
      <c r="E487">
        <v>9.760999999999996</v>
      </c>
      <c r="F487" t="s">
        <v>2299</v>
      </c>
      <c r="G487" t="s">
        <v>2306</v>
      </c>
      <c r="H487" t="s">
        <v>2186</v>
      </c>
      <c r="I487" t="s">
        <v>1382</v>
      </c>
      <c r="J487" t="s">
        <v>1382</v>
      </c>
      <c r="K487" t="b">
        <v>1</v>
      </c>
      <c r="L487" t="b">
        <v>0</v>
      </c>
      <c r="M487" t="s">
        <v>1382</v>
      </c>
      <c r="N487" t="s">
        <v>2301</v>
      </c>
      <c r="O487" t="s">
        <v>2302</v>
      </c>
      <c r="P487" t="s">
        <v>2303</v>
      </c>
      <c r="Q487" t="s">
        <v>2307</v>
      </c>
    </row>
    <row r="488" spans="1:17" x14ac:dyDescent="0.25">
      <c r="A488" t="s">
        <v>41</v>
      </c>
      <c r="B488" t="s">
        <v>1540</v>
      </c>
      <c r="C488" t="s">
        <v>2305</v>
      </c>
      <c r="D488" t="s">
        <v>1389</v>
      </c>
      <c r="E488">
        <v>65.24200000000002</v>
      </c>
      <c r="F488" t="s">
        <v>2299</v>
      </c>
      <c r="G488" t="s">
        <v>2306</v>
      </c>
      <c r="H488" t="s">
        <v>2186</v>
      </c>
      <c r="I488" t="s">
        <v>1420</v>
      </c>
      <c r="J488" t="s">
        <v>1382</v>
      </c>
      <c r="K488" t="b">
        <v>1</v>
      </c>
      <c r="L488" t="b">
        <v>0</v>
      </c>
      <c r="M488" t="s">
        <v>1382</v>
      </c>
      <c r="N488" t="s">
        <v>2301</v>
      </c>
      <c r="O488" t="s">
        <v>2302</v>
      </c>
      <c r="P488" t="s">
        <v>2303</v>
      </c>
      <c r="Q488" t="s">
        <v>2307</v>
      </c>
    </row>
    <row r="489" spans="1:17" x14ac:dyDescent="0.25">
      <c r="A489" t="s">
        <v>41</v>
      </c>
      <c r="B489" t="s">
        <v>1542</v>
      </c>
      <c r="C489" t="s">
        <v>2305</v>
      </c>
      <c r="D489" t="s">
        <v>1422</v>
      </c>
      <c r="E489">
        <v>-23.54600000000002</v>
      </c>
      <c r="F489" t="s">
        <v>2299</v>
      </c>
      <c r="G489" t="s">
        <v>2306</v>
      </c>
      <c r="H489" t="s">
        <v>2186</v>
      </c>
      <c r="I489" t="s">
        <v>1424</v>
      </c>
      <c r="J489" t="s">
        <v>1382</v>
      </c>
      <c r="K489" t="b">
        <v>1</v>
      </c>
      <c r="L489" t="b">
        <v>0</v>
      </c>
      <c r="M489" t="s">
        <v>1382</v>
      </c>
      <c r="N489" t="s">
        <v>2301</v>
      </c>
      <c r="O489" t="s">
        <v>2302</v>
      </c>
      <c r="P489" t="s">
        <v>2303</v>
      </c>
      <c r="Q489" t="s">
        <v>2307</v>
      </c>
    </row>
    <row r="490" spans="1:17" x14ac:dyDescent="0.25">
      <c r="A490" t="s">
        <v>41</v>
      </c>
      <c r="B490" t="s">
        <v>1544</v>
      </c>
      <c r="C490" t="s">
        <v>2305</v>
      </c>
      <c r="D490" t="s">
        <v>1426</v>
      </c>
      <c r="E490">
        <v>-115.81299999999999</v>
      </c>
      <c r="F490" t="s">
        <v>2299</v>
      </c>
      <c r="G490" t="s">
        <v>2306</v>
      </c>
      <c r="H490" t="s">
        <v>2186</v>
      </c>
      <c r="I490" t="s">
        <v>1428</v>
      </c>
      <c r="J490" t="s">
        <v>1382</v>
      </c>
      <c r="K490" t="b">
        <v>1</v>
      </c>
      <c r="L490" t="b">
        <v>0</v>
      </c>
      <c r="M490" t="s">
        <v>1382</v>
      </c>
      <c r="N490" t="s">
        <v>2301</v>
      </c>
      <c r="O490" t="s">
        <v>2302</v>
      </c>
      <c r="P490" t="s">
        <v>2303</v>
      </c>
      <c r="Q490" t="s">
        <v>2307</v>
      </c>
    </row>
    <row r="491" spans="1:17" x14ac:dyDescent="0.25">
      <c r="A491" t="s">
        <v>41</v>
      </c>
      <c r="B491" t="s">
        <v>1546</v>
      </c>
      <c r="C491" t="s">
        <v>2305</v>
      </c>
      <c r="D491" t="s">
        <v>1430</v>
      </c>
      <c r="E491">
        <v>-122.137</v>
      </c>
      <c r="F491" t="s">
        <v>2299</v>
      </c>
      <c r="G491" t="s">
        <v>2306</v>
      </c>
      <c r="H491" t="s">
        <v>2186</v>
      </c>
      <c r="I491" t="s">
        <v>1382</v>
      </c>
      <c r="J491" t="s">
        <v>1382</v>
      </c>
      <c r="K491" t="b">
        <v>1</v>
      </c>
      <c r="L491" t="b">
        <v>0</v>
      </c>
      <c r="M491" t="s">
        <v>1382</v>
      </c>
      <c r="N491" t="s">
        <v>2301</v>
      </c>
      <c r="O491" t="s">
        <v>2302</v>
      </c>
      <c r="P491" t="s">
        <v>2303</v>
      </c>
      <c r="Q491" t="s">
        <v>2307</v>
      </c>
    </row>
    <row r="492" spans="1:17" x14ac:dyDescent="0.25">
      <c r="A492" t="s">
        <v>41</v>
      </c>
      <c r="B492" t="s">
        <v>1549</v>
      </c>
      <c r="C492" t="s">
        <v>2305</v>
      </c>
      <c r="D492" t="s">
        <v>1391</v>
      </c>
      <c r="E492">
        <v>-15.935000000000002</v>
      </c>
      <c r="F492" t="s">
        <v>2299</v>
      </c>
      <c r="G492" t="s">
        <v>2306</v>
      </c>
      <c r="H492" t="s">
        <v>2186</v>
      </c>
      <c r="I492" t="s">
        <v>1435</v>
      </c>
      <c r="J492" t="s">
        <v>1382</v>
      </c>
      <c r="K492" t="b">
        <v>1</v>
      </c>
      <c r="L492" t="b">
        <v>0</v>
      </c>
      <c r="M492" t="s">
        <v>1382</v>
      </c>
      <c r="N492" t="s">
        <v>2301</v>
      </c>
      <c r="O492" t="s">
        <v>2302</v>
      </c>
      <c r="P492" t="s">
        <v>2303</v>
      </c>
      <c r="Q492" t="s">
        <v>2307</v>
      </c>
    </row>
    <row r="493" spans="1:17" x14ac:dyDescent="0.25">
      <c r="A493" t="s">
        <v>41</v>
      </c>
      <c r="B493" t="s">
        <v>1551</v>
      </c>
      <c r="C493" t="s">
        <v>2305</v>
      </c>
      <c r="D493" t="s">
        <v>1437</v>
      </c>
      <c r="E493">
        <v>-53.399</v>
      </c>
      <c r="F493" t="s">
        <v>2299</v>
      </c>
      <c r="G493" t="s">
        <v>2306</v>
      </c>
      <c r="H493" t="s">
        <v>2186</v>
      </c>
      <c r="I493" t="s">
        <v>1424</v>
      </c>
      <c r="J493" t="s">
        <v>1382</v>
      </c>
      <c r="K493" t="b">
        <v>1</v>
      </c>
      <c r="L493" t="b">
        <v>0</v>
      </c>
      <c r="M493" t="s">
        <v>1382</v>
      </c>
      <c r="N493" t="s">
        <v>2301</v>
      </c>
      <c r="O493" t="s">
        <v>2302</v>
      </c>
      <c r="P493" t="s">
        <v>2303</v>
      </c>
      <c r="Q493" t="s">
        <v>2307</v>
      </c>
    </row>
    <row r="494" spans="1:17" x14ac:dyDescent="0.25">
      <c r="A494" t="s">
        <v>41</v>
      </c>
      <c r="B494" t="s">
        <v>1553</v>
      </c>
      <c r="C494" t="s">
        <v>2305</v>
      </c>
      <c r="D494" t="s">
        <v>1439</v>
      </c>
      <c r="E494">
        <v>-4.485000000000014</v>
      </c>
      <c r="F494" t="s">
        <v>2299</v>
      </c>
      <c r="G494" t="s">
        <v>2306</v>
      </c>
      <c r="H494" t="s">
        <v>2186</v>
      </c>
      <c r="I494" t="s">
        <v>1428</v>
      </c>
      <c r="J494" t="s">
        <v>1382</v>
      </c>
      <c r="K494" t="b">
        <v>1</v>
      </c>
      <c r="L494" t="b">
        <v>0</v>
      </c>
      <c r="M494" t="s">
        <v>1382</v>
      </c>
      <c r="N494" t="s">
        <v>2301</v>
      </c>
      <c r="O494" t="s">
        <v>2302</v>
      </c>
      <c r="P494" t="s">
        <v>2303</v>
      </c>
      <c r="Q494" t="s">
        <v>2307</v>
      </c>
    </row>
    <row r="495" spans="1:17" x14ac:dyDescent="0.25">
      <c r="A495" t="s">
        <v>41</v>
      </c>
      <c r="B495" t="s">
        <v>1555</v>
      </c>
      <c r="C495" t="s">
        <v>2305</v>
      </c>
      <c r="D495" t="s">
        <v>1442</v>
      </c>
      <c r="E495">
        <v>-152.29199999999997</v>
      </c>
      <c r="F495" t="s">
        <v>2299</v>
      </c>
      <c r="G495" t="s">
        <v>2306</v>
      </c>
      <c r="H495" t="s">
        <v>2186</v>
      </c>
      <c r="I495" t="s">
        <v>1382</v>
      </c>
      <c r="J495" t="s">
        <v>1382</v>
      </c>
      <c r="K495" t="b">
        <v>1</v>
      </c>
      <c r="L495" t="b">
        <v>0</v>
      </c>
      <c r="M495" t="s">
        <v>1382</v>
      </c>
      <c r="N495" t="s">
        <v>2301</v>
      </c>
      <c r="O495" t="s">
        <v>2302</v>
      </c>
      <c r="P495" t="s">
        <v>2303</v>
      </c>
      <c r="Q495" t="s">
        <v>2307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14641.241475384675</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14641.241475384675</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65.73065947484882</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0.72838967853928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0</v>
      </c>
      <c r="H8" s="107">
        <f>Model!Q28</f>
        <v>0</v>
      </c>
      <c r="I8" s="107">
        <f>Model!R28</f>
        <v>0</v>
      </c>
      <c r="J8" s="108">
        <f>Model!S28</f>
        <v>0</v>
      </c>
      <c r="K8" s="107">
        <f>Model!U28</f>
        <v>0</v>
      </c>
      <c r="L8" s="107">
        <f>Model!V28</f>
        <v>0</v>
      </c>
      <c r="M8" s="107">
        <f>Model!W28</f>
        <v>0</v>
      </c>
      <c r="N8" s="109">
        <f>Model!X28</f>
        <v>0</v>
      </c>
      <c r="O8" s="107">
        <f>Model!Z28</f>
        <v>0</v>
      </c>
      <c r="P8" s="107">
        <f>Model!AA28</f>
        <v>0</v>
      </c>
      <c r="Q8" s="107">
        <f>Model!AB28</f>
        <v>0</v>
      </c>
      <c r="R8" s="107">
        <f>Model!AC28</f>
        <v>0</v>
      </c>
      <c r="S8" s="8"/>
      <c r="T8" s="107">
        <f>Model!J28</f>
        <v>0</v>
      </c>
      <c r="U8" s="107">
        <f>Model!O28</f>
        <v>0</v>
      </c>
      <c r="V8" s="108">
        <f>Model!T28</f>
        <v>0</v>
      </c>
      <c r="W8" s="107">
        <f>Model!Y28</f>
        <v>0</v>
      </c>
      <c r="X8" s="107">
        <f>Model!AD28</f>
        <v>0</v>
      </c>
      <c r="Y8" s="107">
        <f>Model!AE28</f>
        <v>0</v>
      </c>
      <c r="Z8" s="107">
        <f>Model!AF28</f>
        <v>0</v>
      </c>
      <c r="AA8" s="107">
        <f>Model!AG28</f>
        <v>0</v>
      </c>
      <c r="AB8" s="8"/>
      <c r="AC8" s="110" t="str">
        <f>IFERROR((V8/T8)^(1/(V$4-T$4))-1,"N/A")</f>
        <v>N/A</v>
      </c>
      <c r="AD8" s="75"/>
      <c r="AE8" s="110" t="str">
        <f>IFERROR((AA8/V8)^(1/(AA$4-V$4))-1,"N/A")</f>
        <v>N/A</v>
      </c>
    </row>
    <row r="9" spans="1:31" x14ac:dyDescent="0.25">
      <c r="A9" s="9"/>
      <c r="B9" s="8"/>
      <c r="C9" s="111" t="s">
        <v>104</v>
      </c>
      <c r="D9" s="8"/>
      <c r="E9" s="8"/>
      <c r="F9" s="8"/>
      <c r="G9" s="8"/>
      <c r="H9" s="112"/>
      <c r="I9" s="112"/>
      <c r="J9" s="113"/>
      <c r="K9" s="112" t="e">
        <f t="shared" ref="K9:R9" si="0">K8/G8-1</f>
        <v>#DIV/0!</v>
      </c>
      <c r="L9" s="112" t="e">
        <f t="shared" si="0"/>
        <v>#DIV/0!</v>
      </c>
      <c r="M9" s="112" t="e">
        <f t="shared" si="0"/>
        <v>#DIV/0!</v>
      </c>
      <c r="N9" s="114" t="e">
        <f t="shared" si="0"/>
        <v>#DIV/0!</v>
      </c>
      <c r="O9" s="112" t="e">
        <f t="shared" si="0"/>
        <v>#DIV/0!</v>
      </c>
      <c r="P9" s="112" t="e">
        <f t="shared" si="0"/>
        <v>#DIV/0!</v>
      </c>
      <c r="Q9" s="112" t="e">
        <f t="shared" si="0"/>
        <v>#DIV/0!</v>
      </c>
      <c r="R9" s="112" t="e">
        <f t="shared" si="0"/>
        <v>#DIV/0!</v>
      </c>
      <c r="S9" s="8"/>
      <c r="T9" s="112"/>
      <c r="U9" s="112" t="str">
        <f t="shared" ref="U9:AA9" si="1">IF(ISERROR(U8/T8-1),"NA",(U8/T8-1))</f>
        <v>NA</v>
      </c>
      <c r="V9" s="113" t="str">
        <f t="shared" si="1"/>
        <v>NA</v>
      </c>
      <c r="W9" s="112" t="str">
        <f t="shared" si="1"/>
        <v>NA</v>
      </c>
      <c r="X9" s="112" t="str">
        <f t="shared" si="1"/>
        <v>NA</v>
      </c>
      <c r="Y9" s="112" t="str">
        <f t="shared" si="1"/>
        <v>NA</v>
      </c>
      <c r="Z9" s="112" t="str">
        <f t="shared" si="1"/>
        <v>NA</v>
      </c>
      <c r="AA9" s="112" t="str">
        <f t="shared" si="1"/>
        <v>NA</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0</v>
      </c>
      <c r="H11" s="107">
        <f>Model!Q30</f>
        <v>0</v>
      </c>
      <c r="I11" s="107">
        <f>Model!R30</f>
        <v>0</v>
      </c>
      <c r="J11" s="108">
        <f>Model!S30</f>
        <v>0</v>
      </c>
      <c r="K11" s="107">
        <f>Model!U30</f>
        <v>-6.5625</v>
      </c>
      <c r="L11" s="107">
        <f>Model!V30</f>
        <v>-20.625</v>
      </c>
      <c r="M11" s="107">
        <f>Model!W30</f>
        <v>-35.9375</v>
      </c>
      <c r="N11" s="109">
        <f>Model!X30</f>
        <v>-48.125</v>
      </c>
      <c r="O11" s="107">
        <f>Model!Z30</f>
        <v>-58.275</v>
      </c>
      <c r="P11" s="107">
        <f>Model!AA30</f>
        <v>-71.225</v>
      </c>
      <c r="Q11" s="107">
        <f>Model!AB30</f>
        <v>-84.175</v>
      </c>
      <c r="R11" s="107">
        <f>Model!AC30</f>
        <v>-97.125</v>
      </c>
      <c r="S11" s="8"/>
      <c r="T11" s="107">
        <f>Model!J30</f>
        <v>0</v>
      </c>
      <c r="U11" s="107">
        <f>Model!O30</f>
        <v>0</v>
      </c>
      <c r="V11" s="108">
        <f>Model!T30</f>
        <v>0</v>
      </c>
      <c r="W11" s="107">
        <f>Model!Y30</f>
        <v>-111.25</v>
      </c>
      <c r="X11" s="107">
        <f>Model!AD30</f>
        <v>-310.8</v>
      </c>
      <c r="Y11" s="107">
        <f>Model!AE30</f>
        <v>9979.353693084002</v>
      </c>
      <c r="Z11" s="107">
        <f>Model!AF30</f>
        <v>10320.27945634524</v>
      </c>
      <c r="AA11" s="107">
        <f>Model!AG30</f>
        <v>10431.488485263211</v>
      </c>
      <c r="AB11" s="8"/>
      <c r="AC11" s="110" t="str">
        <f>IFERROR((V11/T11)^(1/(V$4-T$4))-1,"N/A")</f>
        <v>N/A</v>
      </c>
      <c r="AD11" s="75"/>
      <c r="AE11" s="110">
        <f>IFERROR((AA11/V11)^(1/(AA$4-V$4))-1,"N/A")</f>
        <v>0.07271824680867489</v>
      </c>
    </row>
    <row r="12" spans="1:31" x14ac:dyDescent="0.25">
      <c r="A12" s="9"/>
      <c r="B12" s="8"/>
      <c r="C12" s="111" t="s">
        <v>105</v>
      </c>
      <c r="D12" s="8"/>
      <c r="E12" s="8"/>
      <c r="F12" s="8"/>
      <c r="G12" s="112" t="e">
        <f t="shared" ref="G12:R12" si="2">G11/G$8</f>
        <v>#DIV/0!</v>
      </c>
      <c r="H12" s="112" t="e">
        <f t="shared" si="2"/>
        <v>#DIV/0!</v>
      </c>
      <c r="I12" s="112" t="e">
        <f t="shared" si="2"/>
        <v>#DIV/0!</v>
      </c>
      <c r="J12" s="113" t="e">
        <f t="shared" si="2"/>
        <v>#DIV/0!</v>
      </c>
      <c r="K12" s="112" t="e">
        <f t="shared" si="2"/>
        <v>#DIV/0!</v>
      </c>
      <c r="L12" s="112" t="e">
        <f t="shared" si="2"/>
        <v>#DIV/0!</v>
      </c>
      <c r="M12" s="112" t="e">
        <f t="shared" si="2"/>
        <v>#DIV/0!</v>
      </c>
      <c r="N12" s="114" t="e">
        <f t="shared" si="2"/>
        <v>#DIV/0!</v>
      </c>
      <c r="O12" s="112" t="e">
        <f t="shared" si="2"/>
        <v>#DIV/0!</v>
      </c>
      <c r="P12" s="112" t="e">
        <f t="shared" si="2"/>
        <v>#DIV/0!</v>
      </c>
      <c r="Q12" s="112" t="e">
        <f t="shared" si="2"/>
        <v>#DIV/0!</v>
      </c>
      <c r="R12" s="112" t="e">
        <f t="shared" si="2"/>
        <v>#DIV/0!</v>
      </c>
      <c r="S12" s="8"/>
      <c r="T12" s="112" t="e">
        <f t="shared" ref="T12:AA12" si="3">T11/T$8</f>
        <v>#DIV/0!</v>
      </c>
      <c r="U12" s="112" t="e">
        <f t="shared" si="3"/>
        <v>#DIV/0!</v>
      </c>
      <c r="V12" s="113" t="e">
        <f t="shared" si="3"/>
        <v>#DIV/0!</v>
      </c>
      <c r="W12" s="112" t="e">
        <f t="shared" si="3"/>
        <v>#DIV/0!</v>
      </c>
      <c r="X12" s="112" t="e">
        <f t="shared" si="3"/>
        <v>#DIV/0!</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t="e">
        <f t="shared" ref="K13:R13" si="4">K11/G11-1</f>
        <v>#DIV/0!</v>
      </c>
      <c r="L13" s="112" t="e">
        <f t="shared" si="4"/>
        <v>#DIV/0!</v>
      </c>
      <c r="M13" s="112" t="e">
        <f t="shared" si="4"/>
        <v>#DIV/0!</v>
      </c>
      <c r="N13" s="114" t="e">
        <f t="shared" si="4"/>
        <v>#DIV/0!</v>
      </c>
      <c r="O13" s="112">
        <f t="shared" si="4"/>
        <v>7.879999999999999</v>
      </c>
      <c r="P13" s="112">
        <f t="shared" si="4"/>
        <v>2.453333333333333</v>
      </c>
      <c r="Q13" s="112">
        <f t="shared" si="4"/>
        <v>1.3422608695652172</v>
      </c>
      <c r="R13" s="112">
        <f t="shared" si="4"/>
        <v>1.018181818181818</v>
      </c>
      <c r="S13" s="8"/>
      <c r="T13" s="112"/>
      <c r="U13" s="112" t="e">
        <f t="shared" ref="U13:AA13" si="5">U11/T11-1</f>
        <v>#DIV/0!</v>
      </c>
      <c r="V13" s="113" t="e">
        <f t="shared" si="5"/>
        <v>#DIV/0!</v>
      </c>
      <c r="W13" s="112" t="e">
        <f t="shared" si="5"/>
        <v>#DIV/0!</v>
      </c>
      <c r="X13" s="112">
        <f t="shared" si="5"/>
        <v>1.7937078651685394</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-1441.954</v>
      </c>
      <c r="H15" s="107">
        <f>Model!Q36</f>
        <v>-1499.5459999999998</v>
      </c>
      <c r="I15" s="107">
        <f>Model!R36</f>
        <v>-1715.617</v>
      </c>
      <c r="J15" s="108">
        <f>Model!S36</f>
        <v>-1815.6450000000007</v>
      </c>
      <c r="K15" s="107">
        <f>Model!U36</f>
        <v>-1.5914062500000004</v>
      </c>
      <c r="L15" s="107">
        <f>Model!V36</f>
        <v>-4.846875000000001</v>
      </c>
      <c r="M15" s="107">
        <f>Model!W36</f>
        <v>-8.4453125</v>
      </c>
      <c r="N15" s="109">
        <f>Model!X36</f>
        <v>-11.309375000000003</v>
      </c>
      <c r="O15" s="107">
        <f>Model!Z36</f>
        <v>-14.131687500000005</v>
      </c>
      <c r="P15" s="107">
        <f>Model!AA36</f>
        <v>-17.80624999999999</v>
      </c>
      <c r="Q15" s="107">
        <f>Model!AB36</f>
        <v>-22.306374999999996</v>
      </c>
      <c r="R15" s="107">
        <f>Model!AC36</f>
        <v>-27.194999999999993</v>
      </c>
      <c r="S15" s="8"/>
      <c r="T15" s="107">
        <f>Model!J36</f>
        <v>0</v>
      </c>
      <c r="U15" s="107">
        <f>Model!O36</f>
        <v>0</v>
      </c>
      <c r="V15" s="108">
        <f>Model!T36</f>
        <v>-6472.762000000001</v>
      </c>
      <c r="W15" s="107">
        <f>Model!Y36</f>
        <v>-26.192968750000006</v>
      </c>
      <c r="X15" s="107">
        <f>Model!AD36</f>
        <v>-81.43931249999999</v>
      </c>
      <c r="Y15" s="107">
        <f>Model!AE36</f>
        <v>1632.9873015325866</v>
      </c>
      <c r="Z15" s="107">
        <f>Model!AF36</f>
        <v>1715.6086162091851</v>
      </c>
      <c r="AA15" s="107">
        <f>Model!AG36</f>
        <v>1636.896050037536</v>
      </c>
      <c r="AB15" s="8"/>
      <c r="AC15" s="110" t="str">
        <f>IFERROR((V15/T15)^(1/(V$4-T$4))-1,"N/A")</f>
        <v>N/A</v>
      </c>
      <c r="AD15" s="75"/>
      <c r="AE15" s="110">
        <f>IFERROR((AA15/V15)^(1/(AA$4-V$4))-1,"N/A")</f>
        <v>0.13449264875259992</v>
      </c>
    </row>
    <row r="16" spans="1:31" x14ac:dyDescent="0.25">
      <c r="A16" s="9"/>
      <c r="B16" s="8"/>
      <c r="C16" s="111" t="s">
        <v>106</v>
      </c>
      <c r="D16" s="8"/>
      <c r="E16" s="8"/>
      <c r="F16" s="8"/>
      <c r="G16" s="112" t="e">
        <f t="shared" ref="G16:R16" si="6">G15/G$8</f>
        <v>#DIV/0!</v>
      </c>
      <c r="H16" s="112" t="e">
        <f t="shared" si="6"/>
        <v>#DIV/0!</v>
      </c>
      <c r="I16" s="112" t="e">
        <f t="shared" si="6"/>
        <v>#DIV/0!</v>
      </c>
      <c r="J16" s="113" t="e">
        <f t="shared" si="6"/>
        <v>#DIV/0!</v>
      </c>
      <c r="K16" s="112" t="e">
        <f t="shared" si="6"/>
        <v>#DIV/0!</v>
      </c>
      <c r="L16" s="112" t="e">
        <f t="shared" si="6"/>
        <v>#DIV/0!</v>
      </c>
      <c r="M16" s="112" t="e">
        <f t="shared" si="6"/>
        <v>#DIV/0!</v>
      </c>
      <c r="N16" s="114" t="e">
        <f t="shared" si="6"/>
        <v>#DIV/0!</v>
      </c>
      <c r="O16" s="112" t="e">
        <f t="shared" si="6"/>
        <v>#DIV/0!</v>
      </c>
      <c r="P16" s="112" t="e">
        <f t="shared" si="6"/>
        <v>#DIV/0!</v>
      </c>
      <c r="Q16" s="112" t="e">
        <f t="shared" si="6"/>
        <v>#DIV/0!</v>
      </c>
      <c r="R16" s="112" t="e">
        <f t="shared" si="6"/>
        <v>#DIV/0!</v>
      </c>
      <c r="S16" s="8"/>
      <c r="T16" s="112" t="e">
        <f t="shared" ref="T16:AA16" si="7">T15/T$8</f>
        <v>#DIV/0!</v>
      </c>
      <c r="U16" s="112" t="e">
        <f t="shared" si="7"/>
        <v>#DIV/0!</v>
      </c>
      <c r="V16" s="113" t="e">
        <f t="shared" si="7"/>
        <v>#DIV/0!</v>
      </c>
      <c r="W16" s="112" t="e">
        <f t="shared" si="7"/>
        <v>#DIV/0!</v>
      </c>
      <c r="X16" s="112" t="e">
        <f t="shared" si="7"/>
        <v>#DIV/0!</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-0.9988963543566577</v>
      </c>
      <c r="L17" s="112">
        <f t="shared" si="8"/>
        <v>-0.9967677717122382</v>
      </c>
      <c r="M17" s="112">
        <f t="shared" si="8"/>
        <v>-0.9950773905248083</v>
      </c>
      <c r="N17" s="114">
        <f t="shared" si="8"/>
        <v>-0.9937711529511551</v>
      </c>
      <c r="O17" s="112">
        <f t="shared" si="8"/>
        <v>7.880000000000001</v>
      </c>
      <c r="P17" s="112">
        <f t="shared" si="8"/>
        <v>2.6737588652482245</v>
      </c>
      <c r="Q17" s="112">
        <f t="shared" si="8"/>
        <v>1.6412728954671594</v>
      </c>
      <c r="R17" s="112">
        <f t="shared" si="8"/>
        <v>1.404642166344293</v>
      </c>
      <c r="S17" s="8"/>
      <c r="T17" s="112"/>
      <c r="U17" s="112" t="e">
        <f t="shared" ref="U17:AA17" si="9">U15/T15-1</f>
        <v>#DIV/0!</v>
      </c>
      <c r="V17" s="113" t="e">
        <f t="shared" si="9"/>
        <v>#DIV/0!</v>
      </c>
      <c r="W17" s="112">
        <f t="shared" si="9"/>
        <v>-0.9959533551905663</v>
      </c>
      <c r="X17" s="112">
        <f t="shared" si="9"/>
        <v>2.1092051182628913</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-1441.954</v>
      </c>
      <c r="H19" s="107">
        <f>Model!Q45</f>
        <v>-1499.5459999999998</v>
      </c>
      <c r="I19" s="107">
        <f>Model!R45</f>
        <v>-1715.617</v>
      </c>
      <c r="J19" s="108">
        <f>Model!S45</f>
        <v>-1815.6450000000007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0</v>
      </c>
      <c r="U19" s="107">
        <f>Model!O45</f>
        <v>0</v>
      </c>
      <c r="V19" s="108">
        <f>Model!T45</f>
        <v>-6472.762000000001</v>
      </c>
      <c r="W19" s="107">
        <f>Model!Y45</f>
        <v>987.0502804884766</v>
      </c>
      <c r="X19" s="107">
        <f>Model!AD45</f>
        <v>1255.4869697302902</v>
      </c>
      <c r="Y19" s="107">
        <f>Model!AE45</f>
        <v>1224.74047614944</v>
      </c>
      <c r="Z19" s="107">
        <f>Model!AF45</f>
        <v>1286.7064621568888</v>
      </c>
      <c r="AA19" s="107">
        <f>Model!AG45</f>
        <v>1227.672037528152</v>
      </c>
      <c r="AB19" s="8"/>
      <c r="AC19" s="110" t="str">
        <f>IFERROR((V19/T19)^(1/(V$4-T$4))-1,"N/A")</f>
        <v>N/A</v>
      </c>
      <c r="AD19" s="75"/>
      <c r="AE19" s="110">
        <f>IFERROR((AA19/V19)^(1/(AA$4-V$4))-1,"N/A")</f>
        <v>0.12330738366620775</v>
      </c>
    </row>
    <row r="20" spans="1:31" x14ac:dyDescent="0.25">
      <c r="A20" s="9"/>
      <c r="B20" s="8"/>
      <c r="C20" s="111" t="s">
        <v>106</v>
      </c>
      <c r="D20" s="8"/>
      <c r="E20" s="8"/>
      <c r="F20" s="8"/>
      <c r="G20" s="112" t="e">
        <f t="shared" ref="G20:R20" si="10">G19/G$8</f>
        <v>#DIV/0!</v>
      </c>
      <c r="H20" s="112" t="e">
        <f t="shared" si="10"/>
        <v>#DIV/0!</v>
      </c>
      <c r="I20" s="112" t="e">
        <f t="shared" si="10"/>
        <v>#DIV/0!</v>
      </c>
      <c r="J20" s="113" t="e">
        <f t="shared" si="10"/>
        <v>#DIV/0!</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t="e">
        <f t="shared" ref="T20:AA20" si="11">T19/T$8</f>
        <v>#DIV/0!</v>
      </c>
      <c r="U20" s="112" t="e">
        <f t="shared" si="11"/>
        <v>#DIV/0!</v>
      </c>
      <c r="V20" s="113" t="e">
        <f t="shared" si="11"/>
        <v>#DIV/0!</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t="e">
        <f t="shared" ref="U21:AA21" si="13">U19/T19-1</f>
        <v>#DIV/0!</v>
      </c>
      <c r="V21" s="113" t="e">
        <f t="shared" si="13"/>
        <v>#DIV/0!</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-6.482207077609148</v>
      </c>
      <c r="H23" s="118">
        <f>Model!Q57</f>
        <v>-6.758060300148722</v>
      </c>
      <c r="I23" s="118">
        <f>Model!R57</f>
        <v>-7.703713515940728</v>
      </c>
      <c r="J23" s="119">
        <f>Model!S57</f>
        <v>-8.151190144828641</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0</v>
      </c>
      <c r="U23" s="118">
        <f>Model!O57</f>
        <v>0</v>
      </c>
      <c r="V23" s="119">
        <f>Model!T57</f>
        <v>-29.09812718592378</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-1410.966</v>
      </c>
      <c r="H27" s="107">
        <f>Model!Q61</f>
        <v>-1447.293</v>
      </c>
      <c r="I27" s="107">
        <f>Model!R61</f>
        <v>-1662.387</v>
      </c>
      <c r="J27" s="108">
        <f>Model!S61</f>
        <v>-1759.8350000000007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0</v>
      </c>
      <c r="U27" s="107">
        <f>Model!O61</f>
        <v>0</v>
      </c>
      <c r="V27" s="108">
        <f>Model!T61</f>
        <v>-6280.481000000001</v>
      </c>
      <c r="W27" s="107">
        <f>Model!Y61</f>
        <v>1396.9103816687498</v>
      </c>
      <c r="X27" s="107">
        <f>Model!AD61</f>
        <v>1788.3136970537507</v>
      </c>
      <c r="Y27" s="107">
        <f>Model!AE61</f>
        <v>1715.057913656427</v>
      </c>
      <c r="Z27" s="107">
        <f>Model!AF61</f>
        <v>1793.8051535944298</v>
      </c>
      <c r="AA27" s="107">
        <f>Model!AG61</f>
        <v>1706.858399126327</v>
      </c>
      <c r="AB27" s="8"/>
      <c r="AC27" s="110" t="str">
        <f>IFERROR((V27/T27)^(1/(V$4-T$4))-1,"N/A")</f>
        <v>N/A</v>
      </c>
      <c r="AD27" s="75"/>
      <c r="AE27" s="110">
        <f>IFERROR((AA27/V27)^(1/(AA$4-V$4))-1,"N/A")</f>
        <v>0.11124362896129325</v>
      </c>
    </row>
    <row r="28" ht="15.75" customHeight="1" spans="1:31" x14ac:dyDescent="0.25">
      <c r="A28" s="9"/>
      <c r="B28" s="8"/>
      <c r="C28" s="111" t="s">
        <v>106</v>
      </c>
      <c r="D28" s="8"/>
      <c r="E28" s="8"/>
      <c r="F28" s="8"/>
      <c r="G28" s="112" t="e">
        <f t="shared" ref="G28:R28" si="16">G27/G$8</f>
        <v>#DIV/0!</v>
      </c>
      <c r="H28" s="112" t="e">
        <f t="shared" si="16"/>
        <v>#DIV/0!</v>
      </c>
      <c r="I28" s="112" t="e">
        <f t="shared" si="16"/>
        <v>#DIV/0!</v>
      </c>
      <c r="J28" s="113" t="e">
        <f t="shared" si="16"/>
        <v>#DIV/0!</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t="e">
        <f t="shared" ref="T28:AA28" si="17">T27/T$8</f>
        <v>#DIV/0!</v>
      </c>
      <c r="U28" s="112" t="e">
        <f t="shared" si="17"/>
        <v>#DIV/0!</v>
      </c>
      <c r="V28" s="113" t="e">
        <f t="shared" si="17"/>
        <v>#DIV/0!</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t="e">
        <f t="shared" ref="U29:AA29" si="19">U27/T27-1</f>
        <v>#DIV/0!</v>
      </c>
      <c r="V29" s="113" t="e">
        <f t="shared" si="19"/>
        <v>#DIV/0!</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0</v>
      </c>
      <c r="L35" s="128">
        <f>Model!V121</f>
        <v>0</v>
      </c>
      <c r="M35" s="128">
        <f>Model!W121</f>
        <v>0</v>
      </c>
      <c r="N35" s="130">
        <f>Model!X121</f>
        <v>0</v>
      </c>
      <c r="O35" s="128">
        <f>Model!Z121</f>
        <v>0</v>
      </c>
      <c r="P35" s="128">
        <f>Model!AA121</f>
        <v>0</v>
      </c>
      <c r="Q35" s="128">
        <f>Model!AB121</f>
        <v>0</v>
      </c>
      <c r="R35" s="128">
        <f>Model!AC121</f>
        <v>0</v>
      </c>
      <c r="S35" s="8"/>
      <c r="T35" s="128">
        <f>Model!J121</f>
        <v>0</v>
      </c>
      <c r="U35" s="128">
        <f>Model!O121</f>
        <v>0</v>
      </c>
      <c r="V35" s="129">
        <f>Model!T121</f>
        <v>0</v>
      </c>
      <c r="W35" s="128">
        <f>Model!Y121</f>
        <v>0</v>
      </c>
      <c r="X35" s="128">
        <f>Model!AD121</f>
        <v>0</v>
      </c>
      <c r="Y35" s="128">
        <f>Model!AE121</f>
        <v>0</v>
      </c>
      <c r="Z35" s="128">
        <f>Model!AF121</f>
        <v>0</v>
      </c>
      <c r="AA35" s="128">
        <f>Model!AG121</f>
        <v>0</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0</v>
      </c>
      <c r="L40" s="107">
        <f>Model!V126</f>
        <v>0</v>
      </c>
      <c r="M40" s="107">
        <f>Model!W126</f>
        <v>0</v>
      </c>
      <c r="N40" s="109">
        <f>Model!X126</f>
        <v>0</v>
      </c>
      <c r="O40" s="107">
        <f>Model!Z126</f>
        <v>0</v>
      </c>
      <c r="P40" s="107">
        <f>Model!AA126</f>
        <v>0</v>
      </c>
      <c r="Q40" s="107">
        <f>Model!AB126</f>
        <v>0</v>
      </c>
      <c r="R40" s="107">
        <f>Model!AC126</f>
        <v>0</v>
      </c>
      <c r="S40" s="8"/>
      <c r="T40" s="107">
        <f>Model!J126</f>
        <v>0</v>
      </c>
      <c r="U40" s="107">
        <f>Model!O126</f>
        <v>0</v>
      </c>
      <c r="V40" s="108">
        <f>Model!T126</f>
        <v>0</v>
      </c>
      <c r="W40" s="107">
        <f>Model!Y126</f>
        <v>0</v>
      </c>
      <c r="X40" s="107">
        <f>Model!AD126</f>
        <v>0</v>
      </c>
      <c r="Y40" s="107">
        <f>Model!AE126</f>
        <v>0</v>
      </c>
      <c r="Z40" s="107">
        <f>Model!AF126</f>
        <v>0</v>
      </c>
      <c r="AA40" s="107">
        <f>Model!AG126</f>
        <v>0</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0</v>
      </c>
      <c r="L44" s="132">
        <f t="shared" si="24"/>
        <v>0</v>
      </c>
      <c r="M44" s="132">
        <f t="shared" si="24"/>
        <v>0</v>
      </c>
      <c r="N44" s="134">
        <f t="shared" si="24"/>
        <v>0</v>
      </c>
      <c r="O44" s="132">
        <f t="shared" si="24"/>
        <v>0</v>
      </c>
      <c r="P44" s="132">
        <f t="shared" si="24"/>
        <v>0</v>
      </c>
      <c r="Q44" s="132">
        <f t="shared" si="24"/>
        <v>0</v>
      </c>
      <c r="R44" s="132">
        <f t="shared" si="24"/>
        <v>0</v>
      </c>
      <c r="S44" s="8"/>
      <c r="T44" s="132">
        <f t="shared" ref="T44:AA44" si="25">SUM(T40:T43)</f>
        <v>0</v>
      </c>
      <c r="U44" s="132">
        <f t="shared" si="25"/>
        <v>0</v>
      </c>
      <c r="V44" s="133">
        <f t="shared" si="25"/>
        <v>0</v>
      </c>
      <c r="W44" s="132">
        <f t="shared" si="25"/>
        <v>0</v>
      </c>
      <c r="X44" s="132">
        <f t="shared" si="25"/>
        <v>0</v>
      </c>
      <c r="Y44" s="132">
        <f t="shared" si="25"/>
        <v>0</v>
      </c>
      <c r="Z44" s="132">
        <f t="shared" si="25"/>
        <v>0</v>
      </c>
      <c r="AA44" s="132">
        <f t="shared" si="25"/>
        <v>0</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0</v>
      </c>
      <c r="L49" s="128">
        <f>Model!V135</f>
        <v>0</v>
      </c>
      <c r="M49" s="128">
        <f>Model!W135</f>
        <v>0</v>
      </c>
      <c r="N49" s="130">
        <f>Model!X135</f>
        <v>0</v>
      </c>
      <c r="O49" s="128">
        <f>Model!Z135</f>
        <v>0</v>
      </c>
      <c r="P49" s="128">
        <f>Model!AA135</f>
        <v>0</v>
      </c>
      <c r="Q49" s="128">
        <f>Model!AB135</f>
        <v>0</v>
      </c>
      <c r="R49" s="128">
        <f>Model!AC135</f>
        <v>0</v>
      </c>
      <c r="S49" s="8"/>
      <c r="T49" s="128">
        <f>Model!J135</f>
        <v>0</v>
      </c>
      <c r="U49" s="128">
        <f>Model!O135</f>
        <v>0</v>
      </c>
      <c r="V49" s="129">
        <f>Model!T135</f>
        <v>0</v>
      </c>
      <c r="W49" s="128">
        <f>Model!Y135</f>
        <v>0</v>
      </c>
      <c r="X49" s="128">
        <f>Model!AD135</f>
        <v>0</v>
      </c>
      <c r="Y49" s="128">
        <f>Model!AE135</f>
        <v>0</v>
      </c>
      <c r="Z49" s="128">
        <f>Model!AF135</f>
        <v>0</v>
      </c>
      <c r="AA49" s="128">
        <f>Model!AG135</f>
        <v>0</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0</v>
      </c>
      <c r="L50" s="128">
        <f>Model!V136</f>
        <v>0</v>
      </c>
      <c r="M50" s="128">
        <f>Model!W136</f>
        <v>0</v>
      </c>
      <c r="N50" s="130">
        <f>Model!X136</f>
        <v>0</v>
      </c>
      <c r="O50" s="128">
        <f>Model!Z136</f>
        <v>0</v>
      </c>
      <c r="P50" s="128">
        <f>Model!AA136</f>
        <v>0</v>
      </c>
      <c r="Q50" s="128">
        <f>Model!AB136</f>
        <v>0</v>
      </c>
      <c r="R50" s="128">
        <f>Model!AC136</f>
        <v>0</v>
      </c>
      <c r="S50" s="8"/>
      <c r="T50" s="128">
        <f>Model!J136</f>
        <v>0</v>
      </c>
      <c r="U50" s="128">
        <f>Model!O136</f>
        <v>0</v>
      </c>
      <c r="V50" s="129">
        <f>Model!T136</f>
        <v>0</v>
      </c>
      <c r="W50" s="128">
        <f>Model!Y136</f>
        <v>0</v>
      </c>
      <c r="X50" s="128">
        <f>Model!AD136</f>
        <v>0</v>
      </c>
      <c r="Y50" s="128">
        <f>Model!AE136</f>
        <v>0</v>
      </c>
      <c r="Z50" s="128">
        <f>Model!AF136</f>
        <v>0</v>
      </c>
      <c r="AA50" s="128">
        <f>Model!AG136</f>
        <v>0</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0</v>
      </c>
      <c r="L51" s="128">
        <f>Model!V137</f>
        <v>0</v>
      </c>
      <c r="M51" s="128">
        <f>Model!W137</f>
        <v>0</v>
      </c>
      <c r="N51" s="130">
        <f>Model!X137</f>
        <v>0</v>
      </c>
      <c r="O51" s="128">
        <f>Model!Z137</f>
        <v>0</v>
      </c>
      <c r="P51" s="128">
        <f>Model!AA137</f>
        <v>0</v>
      </c>
      <c r="Q51" s="128">
        <f>Model!AB137</f>
        <v>0</v>
      </c>
      <c r="R51" s="128">
        <f>Model!AC137</f>
        <v>0</v>
      </c>
      <c r="S51" s="8"/>
      <c r="T51" s="128">
        <f>Model!J137</f>
        <v>0</v>
      </c>
      <c r="U51" s="128">
        <f>Model!O137</f>
        <v>0</v>
      </c>
      <c r="V51" s="129">
        <f>Model!T137</f>
        <v>0</v>
      </c>
      <c r="W51" s="128">
        <f>Model!Y137</f>
        <v>0</v>
      </c>
      <c r="X51" s="128">
        <f>Model!AD137</f>
        <v>0</v>
      </c>
      <c r="Y51" s="128">
        <f>Model!AE137</f>
        <v>0</v>
      </c>
      <c r="Z51" s="128">
        <f>Model!AF137</f>
        <v>0</v>
      </c>
      <c r="AA51" s="128">
        <f>Model!AG137</f>
        <v>0</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0</v>
      </c>
      <c r="L52" s="132">
        <f t="shared" si="28"/>
        <v>0</v>
      </c>
      <c r="M52" s="132">
        <f t="shared" si="28"/>
        <v>0</v>
      </c>
      <c r="N52" s="134">
        <f t="shared" si="28"/>
        <v>0</v>
      </c>
      <c r="O52" s="132">
        <f t="shared" si="28"/>
        <v>0</v>
      </c>
      <c r="P52" s="132">
        <f t="shared" si="28"/>
        <v>0</v>
      </c>
      <c r="Q52" s="132">
        <f t="shared" si="28"/>
        <v>0</v>
      </c>
      <c r="R52" s="132">
        <f t="shared" si="28"/>
        <v>0</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t="e">
        <f>Model!U148</f>
        <v>#DIV/0!</v>
      </c>
      <c r="L62" s="107" t="e">
        <f>Model!V148</f>
        <v>#DIV/0!</v>
      </c>
      <c r="M62" s="107" t="e">
        <f>Model!W148</f>
        <v>#DIV/0!</v>
      </c>
      <c r="N62" s="109" t="e">
        <f>Model!X148</f>
        <v>#DIV/0!</v>
      </c>
      <c r="O62" s="107" t="e">
        <f>Model!Z148</f>
        <v>#DIV/0!</v>
      </c>
      <c r="P62" s="107" t="e">
        <f>Model!AA148</f>
        <v>#DIV/0!</v>
      </c>
      <c r="Q62" s="107" t="e">
        <f>Model!AB148</f>
        <v>#DIV/0!</v>
      </c>
      <c r="R62" s="107" t="e">
        <f>Model!AC148</f>
        <v>#DIV/0!</v>
      </c>
      <c r="S62" s="8"/>
      <c r="T62" s="107">
        <f>Model!J148</f>
        <v>0</v>
      </c>
      <c r="U62" s="107">
        <f>Model!O148</f>
        <v>0</v>
      </c>
      <c r="V62" s="108">
        <f>Model!T148</f>
        <v>0</v>
      </c>
      <c r="W62" s="107" t="e">
        <f>Model!Y148</f>
        <v>#DIV/0!</v>
      </c>
      <c r="X62" s="107" t="e">
        <f>Model!AD148</f>
        <v>#DIV/0!</v>
      </c>
      <c r="Y62" s="107" t="e">
        <f>Model!AE148</f>
        <v>#DIV/0!</v>
      </c>
      <c r="Z62" s="107" t="e">
        <f>Model!AF148</f>
        <v>#DIV/0!</v>
      </c>
      <c r="AA62" s="107" t="e">
        <f>Model!AG148</f>
        <v>#DIV/0!</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0</v>
      </c>
      <c r="U63" s="128">
        <f>Model!O149</f>
        <v>0</v>
      </c>
      <c r="V63" s="129">
        <f>Model!T149</f>
        <v>0</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t="e">
        <f t="shared" si="32"/>
        <v>#DIV/0!</v>
      </c>
      <c r="L66" s="132" t="e">
        <f t="shared" si="32"/>
        <v>#DIV/0!</v>
      </c>
      <c r="M66" s="132" t="e">
        <f t="shared" si="32"/>
        <v>#DIV/0!</v>
      </c>
      <c r="N66" s="134" t="e">
        <f t="shared" si="32"/>
        <v>#DIV/0!</v>
      </c>
      <c r="O66" s="132" t="e">
        <f t="shared" si="32"/>
        <v>#DIV/0!</v>
      </c>
      <c r="P66" s="132" t="e">
        <f t="shared" si="32"/>
        <v>#DIV/0!</v>
      </c>
      <c r="Q66" s="132" t="e">
        <f t="shared" si="32"/>
        <v>#DIV/0!</v>
      </c>
      <c r="R66" s="132" t="e">
        <f t="shared" si="32"/>
        <v>#DIV/0!</v>
      </c>
      <c r="S66" s="8"/>
      <c r="T66" s="132">
        <f t="shared" ref="T66:AA66" si="33">SUM(T62:T65)</f>
        <v>0</v>
      </c>
      <c r="U66" s="132">
        <f t="shared" si="33"/>
        <v>0</v>
      </c>
      <c r="V66" s="133">
        <f t="shared" si="33"/>
        <v>0</v>
      </c>
      <c r="W66" s="132" t="e">
        <f t="shared" si="33"/>
        <v>#DIV/0!</v>
      </c>
      <c r="X66" s="132" t="e">
        <f t="shared" si="33"/>
        <v>#DIV/0!</v>
      </c>
      <c r="Y66" s="132" t="e">
        <f t="shared" si="33"/>
        <v>#DIV/0!</v>
      </c>
      <c r="Z66" s="132" t="e">
        <f t="shared" si="33"/>
        <v>#DIV/0!</v>
      </c>
      <c r="AA66" s="132" t="e">
        <f t="shared" si="33"/>
        <v>#DIV/0!</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0</v>
      </c>
      <c r="H68" s="128">
        <f>Model!Q154</f>
        <v>0</v>
      </c>
      <c r="I68" s="128">
        <f>Model!R154</f>
        <v>0</v>
      </c>
      <c r="J68" s="129">
        <f>Model!S154</f>
        <v>0</v>
      </c>
      <c r="K68" s="128">
        <f>Model!U154</f>
        <v>0</v>
      </c>
      <c r="L68" s="128">
        <f>Model!V154</f>
        <v>0</v>
      </c>
      <c r="M68" s="128">
        <f>Model!W154</f>
        <v>0</v>
      </c>
      <c r="N68" s="130">
        <f>Model!X154</f>
        <v>0</v>
      </c>
      <c r="O68" s="128">
        <f>Model!Z154</f>
        <v>0</v>
      </c>
      <c r="P68" s="128">
        <f>Model!AA154</f>
        <v>0</v>
      </c>
      <c r="Q68" s="128">
        <f>Model!AB154</f>
        <v>0</v>
      </c>
      <c r="R68" s="128">
        <f>Model!AC154</f>
        <v>0</v>
      </c>
      <c r="S68" s="8"/>
      <c r="T68" s="128">
        <f>Model!J154</f>
        <v>0</v>
      </c>
      <c r="U68" s="128">
        <f>Model!O154</f>
        <v>0</v>
      </c>
      <c r="V68" s="129">
        <f>Model!T154</f>
        <v>0</v>
      </c>
      <c r="W68" s="128">
        <f>Model!Y154</f>
        <v>0</v>
      </c>
      <c r="X68" s="128">
        <f>Model!AD154</f>
        <v>0</v>
      </c>
      <c r="Y68" s="128">
        <f>Model!AE154</f>
        <v>0</v>
      </c>
      <c r="Z68" s="128">
        <f>Model!AF154</f>
        <v>0</v>
      </c>
      <c r="AA68" s="128">
        <f>Model!AG154</f>
        <v>0</v>
      </c>
      <c r="AB68" s="8"/>
      <c r="AC68" s="8"/>
      <c r="AD68" s="8"/>
      <c r="AE68" s="8"/>
    </row>
    <row r="69" ht="15.75" customHeight="1" spans="1:31" x14ac:dyDescent="0.25">
      <c r="A69" s="9"/>
      <c r="B69" s="8"/>
      <c r="C69" s="131" t="str">
        <f>Model!C155</f>
        <v>Total Equity</v>
      </c>
      <c r="D69" s="8"/>
      <c r="E69" s="8"/>
      <c r="F69" s="8"/>
      <c r="G69" s="132">
        <f t="shared" ref="G69:R69" si="34">SUM(G66,G68)</f>
        <v>0</v>
      </c>
      <c r="H69" s="132">
        <f t="shared" si="34"/>
        <v>0</v>
      </c>
      <c r="I69" s="132">
        <f t="shared" si="34"/>
        <v>0</v>
      </c>
      <c r="J69" s="133">
        <f t="shared" si="34"/>
        <v>0</v>
      </c>
      <c r="K69" s="132" t="e">
        <f t="shared" si="34"/>
        <v>#DIV/0!</v>
      </c>
      <c r="L69" s="132" t="e">
        <f t="shared" si="34"/>
        <v>#DIV/0!</v>
      </c>
      <c r="M69" s="132" t="e">
        <f t="shared" si="34"/>
        <v>#DIV/0!</v>
      </c>
      <c r="N69" s="134" t="e">
        <f t="shared" si="34"/>
        <v>#DIV/0!</v>
      </c>
      <c r="O69" s="132" t="e">
        <f t="shared" si="34"/>
        <v>#DIV/0!</v>
      </c>
      <c r="P69" s="132" t="e">
        <f t="shared" si="34"/>
        <v>#DIV/0!</v>
      </c>
      <c r="Q69" s="132" t="e">
        <f t="shared" si="34"/>
        <v>#DIV/0!</v>
      </c>
      <c r="R69" s="132" t="e">
        <f t="shared" si="34"/>
        <v>#DIV/0!</v>
      </c>
      <c r="S69" s="8"/>
      <c r="T69" s="132">
        <f t="shared" ref="T69:AA69" si="35">SUM(T66,T68)</f>
        <v>0</v>
      </c>
      <c r="U69" s="132">
        <f t="shared" si="35"/>
        <v>0</v>
      </c>
      <c r="V69" s="133">
        <f t="shared" si="35"/>
        <v>0</v>
      </c>
      <c r="W69" s="132" t="e">
        <f t="shared" si="35"/>
        <v>#DIV/0!</v>
      </c>
      <c r="X69" s="132" t="e">
        <f t="shared" si="35"/>
        <v>#DIV/0!</v>
      </c>
      <c r="Y69" s="132" t="e">
        <f t="shared" si="35"/>
        <v>#DIV/0!</v>
      </c>
      <c r="Z69" s="132" t="e">
        <f t="shared" si="35"/>
        <v>#DIV/0!</v>
      </c>
      <c r="AA69" s="132" t="e">
        <f t="shared" si="35"/>
        <v>#DIV/0!</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0</v>
      </c>
      <c r="H71" s="138">
        <f t="shared" si="36"/>
        <v>0</v>
      </c>
      <c r="I71" s="138">
        <f t="shared" si="36"/>
        <v>0</v>
      </c>
      <c r="J71" s="139">
        <f t="shared" si="36"/>
        <v>0</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0</v>
      </c>
      <c r="U71" s="138">
        <f t="shared" si="37"/>
        <v>0</v>
      </c>
      <c r="V71" s="139">
        <f t="shared" si="37"/>
        <v>0</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t="e">
        <f t="shared" ref="G77:R77" si="40">G12</f>
        <v>#DIV/0!</v>
      </c>
      <c r="H77" s="149" t="e">
        <f t="shared" si="40"/>
        <v>#DIV/0!</v>
      </c>
      <c r="I77" s="149" t="e">
        <f t="shared" si="40"/>
        <v>#DIV/0!</v>
      </c>
      <c r="J77" s="150" t="e">
        <f t="shared" si="40"/>
        <v>#DIV/0!</v>
      </c>
      <c r="K77" s="149" t="e">
        <f t="shared" si="40"/>
        <v>#DIV/0!</v>
      </c>
      <c r="L77" s="149" t="e">
        <f t="shared" si="40"/>
        <v>#DIV/0!</v>
      </c>
      <c r="M77" s="149" t="e">
        <f t="shared" si="40"/>
        <v>#DIV/0!</v>
      </c>
      <c r="N77" s="151" t="e">
        <f t="shared" si="40"/>
        <v>#DIV/0!</v>
      </c>
      <c r="O77" s="149" t="e">
        <f t="shared" si="40"/>
        <v>#DIV/0!</v>
      </c>
      <c r="P77" s="149" t="e">
        <f t="shared" si="40"/>
        <v>#DIV/0!</v>
      </c>
      <c r="Q77" s="149" t="e">
        <f t="shared" si="40"/>
        <v>#DIV/0!</v>
      </c>
      <c r="R77" s="149" t="e">
        <f t="shared" si="40"/>
        <v>#DIV/0!</v>
      </c>
      <c r="S77" s="8"/>
      <c r="T77" s="149" t="e">
        <f t="shared" ref="T77:AA77" si="41">T12</f>
        <v>#DIV/0!</v>
      </c>
      <c r="U77" s="149" t="e">
        <f t="shared" si="41"/>
        <v>#DIV/0!</v>
      </c>
      <c r="V77" s="150" t="e">
        <f t="shared" si="41"/>
        <v>#DIV/0!</v>
      </c>
      <c r="W77" s="149" t="e">
        <f t="shared" si="41"/>
        <v>#DIV/0!</v>
      </c>
      <c r="X77" s="149" t="e">
        <f t="shared" si="41"/>
        <v>#DIV/0!</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t="e">
        <f t="shared" ref="G78:R78" si="42">G28</f>
        <v>#DIV/0!</v>
      </c>
      <c r="H78" s="149" t="e">
        <f t="shared" si="42"/>
        <v>#DIV/0!</v>
      </c>
      <c r="I78" s="149" t="e">
        <f t="shared" si="42"/>
        <v>#DIV/0!</v>
      </c>
      <c r="J78" s="150" t="e">
        <f t="shared" si="42"/>
        <v>#DIV/0!</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t="e">
        <f t="shared" ref="T78:AA78" si="43">T28</f>
        <v>#DIV/0!</v>
      </c>
      <c r="U78" s="149" t="e">
        <f t="shared" si="43"/>
        <v>#DIV/0!</v>
      </c>
      <c r="V78" s="150" t="e">
        <f t="shared" si="43"/>
        <v>#DIV/0!</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t="e">
        <f t="shared" ref="G79:R79" si="44">G16</f>
        <v>#DIV/0!</v>
      </c>
      <c r="H79" s="149" t="e">
        <f t="shared" si="44"/>
        <v>#DIV/0!</v>
      </c>
      <c r="I79" s="149" t="e">
        <f t="shared" si="44"/>
        <v>#DIV/0!</v>
      </c>
      <c r="J79" s="150" t="e">
        <f t="shared" si="44"/>
        <v>#DIV/0!</v>
      </c>
      <c r="K79" s="149" t="e">
        <f t="shared" si="44"/>
        <v>#DIV/0!</v>
      </c>
      <c r="L79" s="149" t="e">
        <f t="shared" si="44"/>
        <v>#DIV/0!</v>
      </c>
      <c r="M79" s="149" t="e">
        <f t="shared" si="44"/>
        <v>#DIV/0!</v>
      </c>
      <c r="N79" s="151" t="e">
        <f t="shared" si="44"/>
        <v>#DIV/0!</v>
      </c>
      <c r="O79" s="149" t="e">
        <f t="shared" si="44"/>
        <v>#DIV/0!</v>
      </c>
      <c r="P79" s="149" t="e">
        <f t="shared" si="44"/>
        <v>#DIV/0!</v>
      </c>
      <c r="Q79" s="149" t="e">
        <f t="shared" si="44"/>
        <v>#DIV/0!</v>
      </c>
      <c r="R79" s="149" t="e">
        <f t="shared" si="44"/>
        <v>#DIV/0!</v>
      </c>
      <c r="S79" s="8"/>
      <c r="T79" s="149" t="e">
        <f t="shared" ref="T79:AA79" si="45">T16</f>
        <v>#DIV/0!</v>
      </c>
      <c r="U79" s="149" t="e">
        <f t="shared" si="45"/>
        <v>#DIV/0!</v>
      </c>
      <c r="V79" s="150" t="e">
        <f t="shared" si="45"/>
        <v>#DIV/0!</v>
      </c>
      <c r="W79" s="149" t="e">
        <f t="shared" si="45"/>
        <v>#DIV/0!</v>
      </c>
      <c r="X79" s="149" t="e">
        <f t="shared" si="45"/>
        <v>#DIV/0!</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t="e">
        <f t="shared" ref="G80:R80" si="46">G20</f>
        <v>#DIV/0!</v>
      </c>
      <c r="H80" s="149" t="e">
        <f t="shared" si="46"/>
        <v>#DIV/0!</v>
      </c>
      <c r="I80" s="149" t="e">
        <f t="shared" si="46"/>
        <v>#DIV/0!</v>
      </c>
      <c r="J80" s="150" t="e">
        <f t="shared" si="46"/>
        <v>#DIV/0!</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t="e">
        <f t="shared" ref="T80:AA80" si="47">T20</f>
        <v>#DIV/0!</v>
      </c>
      <c r="U80" s="149" t="e">
        <f t="shared" si="47"/>
        <v>#DIV/0!</v>
      </c>
      <c r="V80" s="150" t="e">
        <f t="shared" si="47"/>
        <v>#DIV/0!</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t="e">
        <f t="shared" ref="G82:R82" si="50">G19*4/G69</f>
        <v>#DIV/0!</v>
      </c>
      <c r="H82" s="149" t="e">
        <f t="shared" si="50"/>
        <v>#DIV/0!</v>
      </c>
      <c r="I82" s="149" t="e">
        <f t="shared" si="50"/>
        <v>#DIV/0!</v>
      </c>
      <c r="J82" s="150" t="e">
        <f t="shared" si="50"/>
        <v>#DIV/0!</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t="e">
        <f t="shared" ref="T82:AA82" si="51">T19/T69</f>
        <v>#DIV/0!</v>
      </c>
      <c r="U82" s="149" t="e">
        <f t="shared" si="51"/>
        <v>#DIV/0!</v>
      </c>
      <c r="V82" s="150" t="e">
        <f t="shared" si="51"/>
        <v>#DIV/0!</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t="e">
        <f t="shared" ref="G83:S83" si="52">G19*4/(G54+G55+G69)</f>
        <v>#DIV/0!</v>
      </c>
      <c r="H83" s="149" t="e">
        <f t="shared" si="52"/>
        <v>#DIV/0!</v>
      </c>
      <c r="I83" s="149" t="e">
        <f t="shared" si="52"/>
        <v>#DIV/0!</v>
      </c>
      <c r="J83" s="150" t="e">
        <f t="shared" si="52"/>
        <v>#DIV/0!</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t="e">
        <f t="shared" ref="T83:AA83" si="53">T19/(T54+T55+T69)</f>
        <v>#DIV/0!</v>
      </c>
      <c r="U83" s="149" t="e">
        <f t="shared" si="53"/>
        <v>#DIV/0!</v>
      </c>
      <c r="V83" s="150" t="e">
        <f t="shared" si="53"/>
        <v>#DIV/0!</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0</v>
      </c>
      <c r="L87" s="128">
        <f>Model!V196</f>
        <v>0</v>
      </c>
      <c r="M87" s="128">
        <f>Model!W196</f>
        <v>0</v>
      </c>
      <c r="N87" s="130">
        <f>Model!X196</f>
        <v>0</v>
      </c>
      <c r="O87" s="128">
        <f>Model!Z196</f>
        <v>0</v>
      </c>
      <c r="P87" s="128">
        <f>Model!AA196</f>
        <v>0</v>
      </c>
      <c r="Q87" s="128">
        <f>Model!AB196</f>
        <v>0</v>
      </c>
      <c r="R87" s="128">
        <f>Model!AC196</f>
        <v>0</v>
      </c>
      <c r="S87" s="8"/>
      <c r="T87" s="128">
        <f>Model!J196</f>
        <v>-91</v>
      </c>
      <c r="U87" s="128">
        <f>Model!O196</f>
        <v>-173</v>
      </c>
      <c r="V87" s="129">
        <f>Model!T196</f>
        <v>-173</v>
      </c>
      <c r="W87" s="128">
        <f>Model!Y196</f>
        <v>0</v>
      </c>
      <c r="X87" s="128">
        <f>Model!AD196</f>
        <v>0</v>
      </c>
      <c r="Y87" s="128">
        <f>Model!AE196</f>
        <v>0</v>
      </c>
      <c r="Z87" s="128">
        <f>Model!AF196</f>
        <v>0</v>
      </c>
      <c r="AA87" s="128">
        <f>Model!AG196</f>
        <v>0</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t="str">
        <f t="shared" ref="T93:AA93" si="61">IF(ISERROR((T54+T55)/T27),"NA",((T54+T55)/T27))</f>
        <v>NA</v>
      </c>
      <c r="U93" s="152" t="str">
        <f t="shared" si="61"/>
        <v>NA</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t="str">
        <f t="shared" ref="G94:R94" si="62">IF(ISERROR((G54+G55)/G69),"NA",((G54+G55)/G69))</f>
        <v>NA</v>
      </c>
      <c r="H94" s="152" t="str">
        <f t="shared" si="62"/>
        <v>NA</v>
      </c>
      <c r="I94" s="152" t="str">
        <f t="shared" si="62"/>
        <v>NA</v>
      </c>
      <c r="J94" s="153" t="str">
        <f t="shared" si="62"/>
        <v>NA</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t="str">
        <f t="shared" ref="T94:AA94" si="63">IF(ISERROR((T54+T55)/T69),"NA",((T54+T55)/T69))</f>
        <v>NA</v>
      </c>
      <c r="U94" s="152" t="str">
        <f t="shared" si="63"/>
        <v>NA</v>
      </c>
      <c r="V94" s="153" t="str">
        <f t="shared" si="63"/>
        <v>NA</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t="e">
        <f>Model!P184</f>
        <v>#DIV/0!</v>
      </c>
      <c r="H99" s="158" t="e">
        <f>Model!Q184</f>
        <v>#DIV/0!</v>
      </c>
      <c r="I99" s="158" t="e">
        <f>Model!R184</f>
        <v>#DIV/0!</v>
      </c>
      <c r="J99" s="159" t="e">
        <f>Model!S184</f>
        <v>#DIV/0!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t="e">
        <f>Model!J184</f>
        <v>#DIV/0!</v>
      </c>
      <c r="U99" s="145" t="e">
        <f>Model!O184</f>
        <v>#DIV/0!</v>
      </c>
      <c r="V99" s="161" t="e">
        <f>Model!T184</f>
        <v>#DIV/0!</v>
      </c>
      <c r="W99" s="145" t="e">
        <f>Model!Y184</f>
        <v>#DIV/0!</v>
      </c>
      <c r="X99" s="145" t="e">
        <f>Model!AD184</f>
        <v>#DIV/0!</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14641.241475384675</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14641.241475384675</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65.73065947484882</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0.72838967853928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0</v>
      </c>
      <c r="E21" s="107">
        <f>Summary!U8</f>
        <v>0</v>
      </c>
      <c r="F21" s="108">
        <f>Summary!V8</f>
        <v>0</v>
      </c>
      <c r="G21" s="107">
        <f>Summary!W8</f>
        <v>0</v>
      </c>
      <c r="H21" s="107">
        <f>Summary!X8</f>
        <v>0</v>
      </c>
      <c r="I21" s="107">
        <f>Summary!Y8</f>
        <v>0</v>
      </c>
      <c r="J21" s="107">
        <f>Summary!Z8</f>
        <v>0</v>
      </c>
      <c r="K21" s="108">
        <f>Summary!AA8</f>
        <v>0</v>
      </c>
      <c r="L21" s="107"/>
      <c r="M21" s="204" t="str">
        <f>Summary!AC8</f>
        <v>N/A</v>
      </c>
      <c r="N21" s="205"/>
      <c r="O21" s="204" t="str">
        <f>Summary!AE8</f>
        <v>N/A</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t="str">
        <f>Summary!U9</f>
        <v>NA</v>
      </c>
      <c r="F22" s="113" t="str">
        <f>Summary!V9</f>
        <v>NA</v>
      </c>
      <c r="G22" s="112" t="str">
        <f>Summary!W9</f>
        <v>NA</v>
      </c>
      <c r="H22" s="112" t="str">
        <f>Summary!X9</f>
        <v>NA</v>
      </c>
      <c r="I22" s="112" t="str">
        <f>Summary!Y9</f>
        <v>NA</v>
      </c>
      <c r="J22" s="112" t="str">
        <f>Summary!Z9</f>
        <v>NA</v>
      </c>
      <c r="K22" s="113" t="str">
        <f>Summary!AA9</f>
        <v>NA</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0</v>
      </c>
      <c r="E24" s="107">
        <f>Summary!U11</f>
        <v>0</v>
      </c>
      <c r="F24" s="108">
        <f>Summary!V11</f>
        <v>0</v>
      </c>
      <c r="G24" s="107">
        <f>Summary!W11</f>
        <v>-111.25</v>
      </c>
      <c r="H24" s="107">
        <f>Summary!X11</f>
        <v>-310.8</v>
      </c>
      <c r="I24" s="107">
        <f>Summary!Y11</f>
        <v>9979.353693084002</v>
      </c>
      <c r="J24" s="107">
        <f>Summary!Z11</f>
        <v>10320.27945634524</v>
      </c>
      <c r="K24" s="108">
        <f>Summary!AA11</f>
        <v>10431.488485263211</v>
      </c>
      <c r="L24" s="107"/>
      <c r="M24" s="110" t="str">
        <f>Summary!AC11</f>
        <v>N/A</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t="e">
        <f>Summary!U12</f>
        <v>#DIV/0!</v>
      </c>
      <c r="F25" s="113" t="e">
        <f>Summary!V12</f>
        <v>#DIV/0!</v>
      </c>
      <c r="G25" s="112" t="e">
        <f>Summary!W12</f>
        <v>#DIV/0!</v>
      </c>
      <c r="H25" s="112" t="e">
        <f>Summary!X12</f>
        <v>#DIV/0!</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t="e">
        <f>Summary!U13</f>
        <v>#DIV/0!</v>
      </c>
      <c r="F26" s="113" t="e">
        <f>Summary!V13</f>
        <v>#DIV/0!</v>
      </c>
      <c r="G26" s="112" t="e">
        <f>Summary!W13</f>
        <v>#DIV/0!</v>
      </c>
      <c r="H26" s="112">
        <f>Summary!X13</f>
        <v>1.7937078651685394</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0</v>
      </c>
      <c r="E28" s="107">
        <f>Summary!U27</f>
        <v>0</v>
      </c>
      <c r="F28" s="108">
        <f>Summary!V27</f>
        <v>-6280.481000000001</v>
      </c>
      <c r="G28" s="107">
        <f>Summary!W27</f>
        <v>1396.9103816687498</v>
      </c>
      <c r="H28" s="107">
        <f>Summary!X27</f>
        <v>1788.3136970537507</v>
      </c>
      <c r="I28" s="107">
        <f>Summary!Y27</f>
        <v>1715.057913656427</v>
      </c>
      <c r="J28" s="107">
        <f>Summary!Z27</f>
        <v>1793.8051535944298</v>
      </c>
      <c r="K28" s="108">
        <f>Summary!AA27</f>
        <v>1706.858399126327</v>
      </c>
      <c r="L28" s="107"/>
      <c r="M28" s="110" t="str">
        <f>Summary!AC15</f>
        <v>N/A</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t="e">
        <f>Summary!U28</f>
        <v>#DIV/0!</v>
      </c>
      <c r="F29" s="113" t="e">
        <f>Summary!V28</f>
        <v>#DIV/0!</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t="e">
        <f>Summary!U17</f>
        <v>#DIV/0!</v>
      </c>
      <c r="F30" s="113" t="e">
        <f>Summary!V17</f>
        <v>#DIV/0!</v>
      </c>
      <c r="G30" s="112">
        <f>Summary!W17</f>
        <v>-0.9959533551905663</v>
      </c>
      <c r="H30" s="112">
        <f>Summary!X17</f>
        <v>2.1092051182628913</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0</v>
      </c>
      <c r="E32" s="107">
        <f>Summary!U19</f>
        <v>0</v>
      </c>
      <c r="F32" s="108">
        <f>Summary!V19</f>
        <v>-6472.762000000001</v>
      </c>
      <c r="G32" s="107">
        <f>Summary!W19</f>
        <v>987.0502804884766</v>
      </c>
      <c r="H32" s="107">
        <f>Summary!X19</f>
        <v>1255.4869697302902</v>
      </c>
      <c r="I32" s="107">
        <f>Summary!Y19</f>
        <v>1224.74047614944</v>
      </c>
      <c r="J32" s="107">
        <f>Summary!Z19</f>
        <v>1286.7064621568888</v>
      </c>
      <c r="K32" s="108">
        <f>Summary!AA19</f>
        <v>1227.672037528152</v>
      </c>
      <c r="L32" s="107"/>
      <c r="M32" s="110" t="str">
        <f>Summary!AC19</f>
        <v>N/A</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t="e">
        <f>Summary!U20</f>
        <v>#DIV/0!</v>
      </c>
      <c r="F33" s="113" t="e">
        <f>Summary!V20</f>
        <v>#DIV/0!</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t="e">
        <f>Summary!U21</f>
        <v>#DIV/0!</v>
      </c>
      <c r="F34" s="113" t="e">
        <f>Summary!V21</f>
        <v>#DIV/0!</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0</v>
      </c>
      <c r="E36" s="107">
        <f>Summary!U23</f>
        <v>0</v>
      </c>
      <c r="F36" s="108">
        <f>Summary!V23</f>
        <v>-29.09812718592378</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-91</v>
      </c>
      <c r="E39" s="107">
        <f>Model!O112</f>
        <v>-173</v>
      </c>
      <c r="F39" s="108">
        <f>Model!T112</f>
        <v>-6453.481000000001</v>
      </c>
      <c r="G39" s="107">
        <f>Model!Y112</f>
        <v>-2187.6888352519063</v>
      </c>
      <c r="H39" s="107">
        <f>Model!AD112</f>
        <v>940.7559884294857</v>
      </c>
      <c r="I39" s="107">
        <f>Model!AE112</f>
        <v>938.4621106952198</v>
      </c>
      <c r="J39" s="107">
        <f>Model!AF112</f>
        <v>1227.1793110316562</v>
      </c>
      <c r="K39" s="108">
        <f>Model!AG112</f>
        <v>946.2972450893485</v>
      </c>
      <c r="L39" s="4"/>
      <c r="M39" s="110">
        <f>IFERROR((F39/D39)^(1/2)-1,"N/A")</f>
        <v>7.421245372649679</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0.901098901098901</v>
      </c>
      <c r="F40" s="113">
        <f t="shared" si="1"/>
        <v>36.303358381502896</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t="str">
        <f>Summary!T93</f>
        <v>NA</v>
      </c>
      <c r="E45" s="152" t="str">
        <f>Summary!U93</f>
        <v>NA</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t="str">
        <f>Summary!T94</f>
        <v>NA</v>
      </c>
      <c r="E46" s="152" t="str">
        <f>Summary!U94</f>
        <v>NA</v>
      </c>
      <c r="F46" s="153" t="str">
        <f>Summary!V94</f>
        <v>NA</v>
      </c>
      <c r="G46" s="152">
        <f>Summary!W94</f>
        <v>1.4323887201962844</v>
      </c>
      <c r="H46" s="152">
        <f>Summary!X94</f>
        <v>1.4289298078308525</v>
      </c>
      <c r="I46" s="152">
        <f>Summary!Y94</f>
        <v>1.4869740943812608</v>
      </c>
      <c r="J46" s="152">
        <f>Summary!Z94</f>
        <v>1.5439446109824184</v>
      </c>
      <c r="K46" s="153">
        <f>Summary!AA94</f>
        <v>1.6118516075395808</v>
      </c>
      <c r="L46" s="4"/>
      <c r="M46" s="216" t="e">
        <f t="shared" si="3"/>
        <v>#DIV/0!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t="e">
        <f>Summary!T82</f>
        <v>#DIV/0!</v>
      </c>
      <c r="E56" s="149" t="e">
        <f>Summary!U82</f>
        <v>#DIV/0!</v>
      </c>
      <c r="F56" s="150" t="e">
        <f>Summary!V82</f>
        <v>#DIV/0!</v>
      </c>
      <c r="G56" s="149">
        <f>Summary!W82</f>
        <v>0.08367949864486415</v>
      </c>
      <c r="H56" s="149">
        <f>Summary!X82</f>
        <v>0.10024662948555303</v>
      </c>
      <c r="I56" s="149">
        <f>Summary!Y82</f>
        <v>0.0938939778726529</v>
      </c>
      <c r="J56" s="149">
        <f>Summary!Z82</f>
        <v>0.09507149076167089</v>
      </c>
      <c r="K56" s="150">
        <f>Summary!AA82</f>
        <v>0.08835661627488474</v>
      </c>
      <c r="L56" s="4"/>
      <c r="M56" s="110" t="e">
        <f t="shared" si="7"/>
        <v>#DIV/0!</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t="e">
        <f>Summary!T83</f>
        <v>#DIV/0!</v>
      </c>
      <c r="E57" s="149" t="e">
        <f>Summary!U83</f>
        <v>#DIV/0!</v>
      </c>
      <c r="F57" s="150" t="e">
        <f>Summary!V83</f>
        <v>#DIV/0!</v>
      </c>
      <c r="G57" s="149">
        <f>Summary!W83</f>
        <v>0.03440218989262191</v>
      </c>
      <c r="H57" s="149">
        <f>Summary!X83</f>
        <v>0.04127193349200895</v>
      </c>
      <c r="I57" s="149">
        <f>Summary!Y83</f>
        <v>0.03775430475322782</v>
      </c>
      <c r="J57" s="149">
        <f>Summary!Z83</f>
        <v>0.03737168268178459</v>
      </c>
      <c r="K57" s="150">
        <f>Summary!AA83</f>
        <v>0.03382911035980276</v>
      </c>
      <c r="L57" s="4"/>
      <c r="M57" s="110" t="e">
        <f t="shared" si="7"/>
        <v>#DIV/0!</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0</v>
      </c>
      <c r="H61" s="128">
        <f>Summary!X87</f>
        <v>0</v>
      </c>
      <c r="I61" s="128">
        <f>Summary!Y87</f>
        <v>0</v>
      </c>
      <c r="J61" s="128">
        <f>Summary!Z87</f>
        <v>0</v>
      </c>
      <c r="K61" s="129">
        <f>Summary!AA87</f>
        <v>0</v>
      </c>
      <c r="L61" s="4"/>
      <c r="M61" s="218">
        <f t="shared" si="9"/>
        <v>-145.66666666666666</v>
      </c>
      <c r="N61" s="128"/>
      <c r="O61" s="218">
        <f t="shared" si="10"/>
        <v>0</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t="e">
        <f>Summary!T99</f>
        <v>#DIV/0!</v>
      </c>
      <c r="E68" s="158" t="e">
        <f>Summary!U99</f>
        <v>#DIV/0!</v>
      </c>
      <c r="F68" s="159" t="e">
        <f>Summary!V99</f>
        <v>#DIV/0!</v>
      </c>
      <c r="G68" s="158" t="e">
        <f>Summary!W99</f>
        <v>#DIV/0!</v>
      </c>
      <c r="H68" s="158" t="e">
        <f>Summary!X99</f>
        <v>#DIV/0!</v>
      </c>
      <c r="I68" s="158">
        <f>Summary!Y99</f>
        <v>0.66</v>
      </c>
      <c r="J68" s="158">
        <f>Summary!Z99</f>
        <v>0.65</v>
      </c>
      <c r="K68" s="159">
        <f>Summary!AA99</f>
        <v>0.65</v>
      </c>
      <c r="L68" s="4"/>
      <c r="M68" s="219" t="e">
        <f t="shared" si="11"/>
        <v>#DIV/0!</v>
      </c>
      <c r="N68" s="158"/>
      <c r="O68" s="219" t="e">
        <f t="shared" si="12"/>
        <v>#DIV/0!</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6.7% - 7.7%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6.7% - 7.7%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0</v>
      </c>
      <c r="G30" s="281">
        <f>'Segment Analysis'!G7</f>
        <v>0</v>
      </c>
      <c r="H30" s="281">
        <f>'Segment Analysis'!H7</f>
        <v>0</v>
      </c>
      <c r="I30" s="281">
        <f>'Segment Analysis'!I7</f>
        <v>0</v>
      </c>
      <c r="J30" s="282">
        <f>'Segment Analysis'!J7</f>
        <v>0</v>
      </c>
      <c r="K30" s="281">
        <f>'Segment Analysis'!K7</f>
        <v>0</v>
      </c>
      <c r="L30" s="281">
        <f>'Segment Analysis'!L7</f>
        <v>0</v>
      </c>
      <c r="M30" s="281">
        <f>'Segment Analysis'!M7</f>
        <v>0</v>
      </c>
      <c r="N30" s="281">
        <f>'Segment Analysis'!N7</f>
        <v>0</v>
      </c>
      <c r="O30" s="282">
        <f>'Segment Analysis'!O7</f>
        <v>0</v>
      </c>
      <c r="P30" s="281">
        <f>'Segment Analysis'!P7</f>
        <v>0</v>
      </c>
      <c r="Q30" s="281">
        <f>'Segment Analysis'!Q7</f>
        <v>0</v>
      </c>
      <c r="R30" s="281">
        <f>'Segment Analysis'!R7</f>
        <v>0</v>
      </c>
      <c r="S30" s="281">
        <f>'Segment Analysis'!S7</f>
        <v>0</v>
      </c>
      <c r="T30" s="282">
        <f>'Segment Analysis'!T7</f>
        <v>0</v>
      </c>
      <c r="U30" s="283">
        <f t="shared" ref="U30:X30" si="0">SUM(U32,U35,U38,U41,U44,U47,)</f>
        <v>0</v>
      </c>
      <c r="V30" s="283">
        <f t="shared" si="0"/>
        <v>0</v>
      </c>
      <c r="W30" s="283">
        <f t="shared" si="0"/>
        <v>0</v>
      </c>
      <c r="X30" s="283">
        <f t="shared" si="0"/>
        <v>0</v>
      </c>
      <c r="Y30" s="284">
        <f>SUM(U30:X30)</f>
        <v>0</v>
      </c>
      <c r="Z30" s="283">
        <f t="shared" ref="Z30:AC30" si="1">SUM(Z32,Z35,Z38,Z41,Z44,Z47,)</f>
        <v>0</v>
      </c>
      <c r="AA30" s="283">
        <f t="shared" si="1"/>
        <v>0</v>
      </c>
      <c r="AB30" s="283">
        <f t="shared" si="1"/>
        <v>0</v>
      </c>
      <c r="AC30" s="283">
        <f t="shared" si="1"/>
        <v>0</v>
      </c>
      <c r="AD30" s="284">
        <f>SUM(Z30:AC30)</f>
        <v>0</v>
      </c>
      <c r="AE30" s="284">
        <f t="shared" ref="AE30:AG30" si="2">SUM(AE32,AE35,AE38,AE41,AE44,AE47,)</f>
        <v>0</v>
      </c>
      <c r="AF30" s="284">
        <f t="shared" si="2"/>
        <v>0</v>
      </c>
      <c r="AG30" s="284">
        <f t="shared" si="2"/>
        <v>0</v>
      </c>
      <c r="AH30" s="8"/>
      <c r="AI30" s="285" t="str">
        <f>IFERROR((T30/J30)^(1/3)-1,"--")</f>
        <v>--</v>
      </c>
      <c r="AJ30" s="286" t="str">
        <f>IFERROR((AG30/T30)^(1/5)-1,"--")</f>
        <v>--</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t="str">
        <f>IF($C$25="Annual",'Segment Analysis'!K172,'Segment Analysis'!K192)</f>
        <v>N/A</v>
      </c>
      <c r="L31" s="291" t="str">
        <f>IF($C$25="Annual",'Segment Analysis'!L172,'Segment Analysis'!L192)</f>
        <v>N/A</v>
      </c>
      <c r="M31" s="291" t="str">
        <f>IF($C$25="Annual",'Segment Analysis'!M172,'Segment Analysis'!M192)</f>
        <v>N/A</v>
      </c>
      <c r="N31" s="291" t="str">
        <f>IF($C$25="Annual",'Segment Analysis'!N172,'Segment Analysis'!N192)</f>
        <v>N/A</v>
      </c>
      <c r="O31" s="292" t="str">
        <f>IF($C$25="Annual",'Segment Analysis'!O172,'Segment Analysis'!O192)</f>
        <v>N/A</v>
      </c>
      <c r="P31" s="291" t="str">
        <f>IF($C$25="Annual",'Segment Analysis'!P172,'Segment Analysis'!P192)</f>
        <v>N/A</v>
      </c>
      <c r="Q31" s="291" t="str">
        <f>IF($C$25="Annual",'Segment Analysis'!Q172,'Segment Analysis'!Q192)</f>
        <v>N/A</v>
      </c>
      <c r="R31" s="291" t="str">
        <f>IF($C$25="Annual",'Segment Analysis'!R172,'Segment Analysis'!R192)</f>
        <v>N/A</v>
      </c>
      <c r="S31" s="291" t="str">
        <f>IF($C$25="Annual",'Segment Analysis'!S172,'Segment Analysis'!S192)</f>
        <v>N/A</v>
      </c>
      <c r="T31" s="292" t="str">
        <f>IF($C$25="Annual",'Segment Analysis'!T172,'Segment Analysis'!T192)</f>
        <v>N/A</v>
      </c>
      <c r="U31" s="293" t="str">
        <f>IFERROR(U30/S30-1,"--")</f>
        <v>--</v>
      </c>
      <c r="V31" s="293" t="str">
        <f t="shared" ref="V31" si="3">IFERROR(V30/U30-1,"--")</f>
        <v>--</v>
      </c>
      <c r="W31" s="293" t="str">
        <f t="shared" ref="W31" si="4">IFERROR(W30/V30-1,"--")</f>
        <v>--</v>
      </c>
      <c r="X31" s="293" t="str">
        <f t="shared" ref="X31" si="5">IFERROR(X30/W30-1,"--")</f>
        <v>--</v>
      </c>
      <c r="Y31" s="294" t="str">
        <f>IFERROR(Y30/T30-1,"--")</f>
        <v>--</v>
      </c>
      <c r="Z31" s="293" t="str">
        <f>IFERROR(Z30/X30-1,"--")</f>
        <v>--</v>
      </c>
      <c r="AA31" s="293" t="str">
        <f t="shared" ref="AA31:AC31" si="6">IFERROR(AA30/Z30-1,"--")</f>
        <v>--</v>
      </c>
      <c r="AB31" s="293" t="str">
        <f t="shared" si="6"/>
        <v>--</v>
      </c>
      <c r="AC31" s="293" t="str">
        <f t="shared" si="6"/>
        <v>--</v>
      </c>
      <c r="AD31" s="294" t="str">
        <f>IFERROR(AD30/Y30-1,"--")</f>
        <v>--</v>
      </c>
      <c r="AE31" s="294" t="str">
        <f t="shared" ref="AE31:AG31" si="7">IFERROR(AE30/AD30-1,"--")</f>
        <v>--</v>
      </c>
      <c r="AF31" s="294" t="str">
        <f t="shared" si="7"/>
        <v>--</v>
      </c>
      <c r="AG31" s="294" t="str">
        <f t="shared" si="7"/>
        <v>--</v>
      </c>
      <c r="AH31" s="288"/>
      <c r="AI31" s="295"/>
      <c r="AJ31" s="296"/>
    </row>
    <row r="32" ht="12.75" customHeight="1" spans="1:36" x14ac:dyDescent="0.25">
      <c r="A32" s="8"/>
      <c r="B32" s="8"/>
      <c r="C32" s="8" t="str">
        <f>'Segment Analysis'!C8</f>
        <v>Investment Banking &amp; Capital Markets Revenue</v>
      </c>
      <c r="D32" s="8"/>
      <c r="E32" s="8"/>
      <c r="F32" s="281">
        <f>'Segment Analysis'!F8</f>
        <v>0</v>
      </c>
      <c r="G32" s="281">
        <f>'Segment Analysis'!G8</f>
        <v>0</v>
      </c>
      <c r="H32" s="281">
        <f>'Segment Analysis'!H8</f>
        <v>0</v>
      </c>
      <c r="I32" s="281">
        <f>'Segment Analysis'!I8</f>
        <v>0</v>
      </c>
      <c r="J32" s="282">
        <f>'Segment Analysis'!J8</f>
        <v>0</v>
      </c>
      <c r="K32" s="281">
        <f>'Segment Analysis'!K8</f>
        <v>0</v>
      </c>
      <c r="L32" s="281">
        <f>'Segment Analysis'!L8</f>
        <v>0</v>
      </c>
      <c r="M32" s="281">
        <f>'Segment Analysis'!M8</f>
        <v>0</v>
      </c>
      <c r="N32" s="281">
        <f>'Segment Analysis'!N8</f>
        <v>0</v>
      </c>
      <c r="O32" s="282">
        <f>'Segment Analysis'!O8</f>
        <v>0</v>
      </c>
      <c r="P32" s="281">
        <f>'Segment Analysis'!P8</f>
        <v>0</v>
      </c>
      <c r="Q32" s="281">
        <f>'Segment Analysis'!Q8</f>
        <v>0</v>
      </c>
      <c r="R32" s="281">
        <f>'Segment Analysis'!R8</f>
        <v>0</v>
      </c>
      <c r="S32" s="281">
        <f>'Segment Analysis'!S8</f>
        <v>0</v>
      </c>
      <c r="T32" s="282">
        <f>'Segment Analysis'!T8</f>
        <v>0</v>
      </c>
      <c r="U32" s="283">
        <f>IF(Segment1_Rev_Methodology="Segment",U53,IF(Segment1_Rev_Methodology="Activity-Based",U91,IF(Segment1_Rev_Methodology="Backlog",U165,"--")))</f>
        <v>0</v>
      </c>
      <c r="V32" s="283">
        <f>IF(Segment1_Rev_Methodology="Segment",V53,IF(Segment1_Rev_Methodology="Activity-Based",V91,IF(Segment1_Rev_Methodology="Backlog",V165,"--")))</f>
        <v>0</v>
      </c>
      <c r="W32" s="283">
        <f>IF(Segment1_Rev_Methodology="Segment",W53,IF(Segment1_Rev_Methodology="Activity-Based",W91,IF(Segment1_Rev_Methodology="Backlog",W165,"--")))</f>
        <v>0</v>
      </c>
      <c r="X32" s="283">
        <f>IF(Segment1_Rev_Methodology="Segment",X53,IF(Segment1_Rev_Methodology="Activity-Based",X91,IF(Segment1_Rev_Methodology="Backlog",X165,"--")))</f>
        <v>0</v>
      </c>
      <c r="Y32" s="284">
        <f>SUM(U32:X32)</f>
        <v>0</v>
      </c>
      <c r="Z32" s="283">
        <f>IF(Segment1_Rev_Methodology="Segment",Z53,IF(Segment1_Rev_Methodology="Activity-Based",Z91,IF(Segment1_Rev_Methodology="Backlog",Z165,"--")))</f>
        <v>0</v>
      </c>
      <c r="AA32" s="283">
        <f>IF(Segment1_Rev_Methodology="Segment",AA53,IF(Segment1_Rev_Methodology="Activity-Based",AA91,IF(Segment1_Rev_Methodology="Backlog",AA165,"--")))</f>
        <v>0</v>
      </c>
      <c r="AB32" s="283">
        <f>IF(Segment1_Rev_Methodology="Segment",AB53,IF(Segment1_Rev_Methodology="Activity-Based",AB91,IF(Segment1_Rev_Methodology="Backlog",AB165,"--")))</f>
        <v>0</v>
      </c>
      <c r="AC32" s="283">
        <f>IF(Segment1_Rev_Methodology="Segment",AC53,IF(Segment1_Rev_Methodology="Activity-Based",AC91,IF(Segment1_Rev_Methodology="Backlog",AC165,"--")))</f>
        <v>0</v>
      </c>
      <c r="AD32" s="284">
        <f>SUM(Z32:AC32)</f>
        <v>0</v>
      </c>
      <c r="AE32" s="284">
        <f>IF(Segment1_Rev_Methodology="Segment",AE53,IF(Segment1_Rev_Methodology="Activity-Based",AE91,IF(Segment1_Rev_Methodology="Backlog",AE165,"--")))</f>
        <v>0</v>
      </c>
      <c r="AF32" s="284">
        <f>IF(Segment1_Rev_Methodology="Segment",AF53,IF(Segment1_Rev_Methodology="Activity-Based",AF91,IF(Segment1_Rev_Methodology="Backlog",AF165,"--")))</f>
        <v>0</v>
      </c>
      <c r="AG32" s="284">
        <f>IF(Segment1_Rev_Methodology="Segment",AG53,IF(Segment1_Rev_Methodology="Activity-Based",AG91,IF(Segment1_Rev_Methodology="Backlog",AG165,"--")))</f>
        <v>0</v>
      </c>
      <c r="AH32" s="8"/>
      <c r="AI32" s="285" t="str">
        <f>IFERROR((T32/J32)^(1/3)-1,"--")</f>
        <v>--</v>
      </c>
      <c r="AJ32" s="286" t="str">
        <f>IFERROR((AG32/T32)^(1/5)-1,"--")</f>
        <v>--</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t="str">
        <f>IF($C$25="Annual",'Segment Analysis'!K173,'Segment Analysis'!K193)</f>
        <v>N/A</v>
      </c>
      <c r="L33" s="291" t="str">
        <f>IF($C$25="Annual",'Segment Analysis'!L173,'Segment Analysis'!L193)</f>
        <v>N/A</v>
      </c>
      <c r="M33" s="291" t="str">
        <f>IF($C$25="Annual",'Segment Analysis'!M173,'Segment Analysis'!M193)</f>
        <v>N/A</v>
      </c>
      <c r="N33" s="291" t="str">
        <f>IF($C$25="Annual",'Segment Analysis'!N173,'Segment Analysis'!N193)</f>
        <v>N/A</v>
      </c>
      <c r="O33" s="292" t="str">
        <f>IF($C$25="Annual",'Segment Analysis'!O173,'Segment Analysis'!O193)</f>
        <v>N/A</v>
      </c>
      <c r="P33" s="291" t="str">
        <f>IF($C$25="Annual",'Segment Analysis'!P173,'Segment Analysis'!P193)</f>
        <v>N/A</v>
      </c>
      <c r="Q33" s="291" t="str">
        <f>IF($C$25="Annual",'Segment Analysis'!Q173,'Segment Analysis'!Q193)</f>
        <v>N/A</v>
      </c>
      <c r="R33" s="291" t="str">
        <f>IF($C$25="Annual",'Segment Analysis'!R173,'Segment Analysis'!R193)</f>
        <v>N/A</v>
      </c>
      <c r="S33" s="291" t="str">
        <f>IF($C$25="Annual",'Segment Analysis'!S173,'Segment Analysis'!S193)</f>
        <v>N/A</v>
      </c>
      <c r="T33" s="292" t="str">
        <f>IF($C$25="Annual",'Segment Analysis'!T173,'Segment Analysis'!T193)</f>
        <v>N/A</v>
      </c>
      <c r="U33" s="293" t="str">
        <f>IFERROR(U32/S32-1,"--")</f>
        <v>--</v>
      </c>
      <c r="V33" s="293" t="str">
        <f t="shared" ref="V33" si="8">IFERROR(V32/U32-1,"--")</f>
        <v>--</v>
      </c>
      <c r="W33" s="293" t="str">
        <f t="shared" ref="W33" si="9">IFERROR(W32/V32-1,"--")</f>
        <v>--</v>
      </c>
      <c r="X33" s="293" t="str">
        <f t="shared" ref="X33" si="10">IFERROR(X32/W32-1,"--")</f>
        <v>--</v>
      </c>
      <c r="Y33" s="294" t="str">
        <f>IFERROR(Y32/T32-1,"--")</f>
        <v>--</v>
      </c>
      <c r="Z33" s="293" t="str">
        <f>IFERROR(Z32/X32-1,"--")</f>
        <v>--</v>
      </c>
      <c r="AA33" s="293" t="str">
        <f t="shared" ref="AA33:AC33" si="11">IFERROR(AA32/Z32-1,"--")</f>
        <v>--</v>
      </c>
      <c r="AB33" s="293" t="str">
        <f t="shared" si="11"/>
        <v>--</v>
      </c>
      <c r="AC33" s="293" t="str">
        <f t="shared" si="11"/>
        <v>--</v>
      </c>
      <c r="AD33" s="294" t="str">
        <f>IFERROR(AD32/Y32-1,"--")</f>
        <v>--</v>
      </c>
      <c r="AE33" s="294" t="str">
        <f t="shared" ref="AE33:AG33" si="12">IFERROR(AE32/AD32-1,"--")</f>
        <v>--</v>
      </c>
      <c r="AF33" s="294" t="str">
        <f t="shared" si="12"/>
        <v>--</v>
      </c>
      <c r="AG33" s="294" t="str">
        <f t="shared" si="12"/>
        <v>--</v>
      </c>
      <c r="AH33" s="288"/>
      <c r="AI33" s="295"/>
      <c r="AJ33" s="296"/>
    </row>
    <row r="34" ht="12.75" customHeight="1" spans="1:36" x14ac:dyDescent="0.25">
      <c r="A34" s="287"/>
      <c r="B34" s="288"/>
      <c r="C34" s="111" t="s">
        <v>236</v>
      </c>
      <c r="D34" s="288"/>
      <c r="E34" s="288"/>
      <c r="F34" s="291" t="str">
        <f>'Segment Analysis'!F16</f>
        <v>N/A</v>
      </c>
      <c r="G34" s="291" t="str">
        <f>'Segment Analysis'!G16</f>
        <v>N/A</v>
      </c>
      <c r="H34" s="291" t="str">
        <f>'Segment Analysis'!H16</f>
        <v>N/A</v>
      </c>
      <c r="I34" s="291" t="str">
        <f>'Segment Analysis'!I16</f>
        <v>N/A</v>
      </c>
      <c r="J34" s="292" t="str">
        <f>'Segment Analysis'!J16</f>
        <v>N/A</v>
      </c>
      <c r="K34" s="291" t="str">
        <f>'Segment Analysis'!K16</f>
        <v>N/A</v>
      </c>
      <c r="L34" s="291" t="str">
        <f>'Segment Analysis'!L16</f>
        <v>N/A</v>
      </c>
      <c r="M34" s="291" t="str">
        <f>'Segment Analysis'!M16</f>
        <v>N/A</v>
      </c>
      <c r="N34" s="291" t="str">
        <f>'Segment Analysis'!N16</f>
        <v>N/A</v>
      </c>
      <c r="O34" s="292" t="str">
        <f>'Segment Analysis'!O16</f>
        <v>N/A</v>
      </c>
      <c r="P34" s="291" t="str">
        <f>'Segment Analysis'!P16</f>
        <v>N/A</v>
      </c>
      <c r="Q34" s="291" t="str">
        <f>'Segment Analysis'!Q16</f>
        <v>N/A</v>
      </c>
      <c r="R34" s="291" t="str">
        <f>'Segment Analysis'!R16</f>
        <v>N/A</v>
      </c>
      <c r="S34" s="291" t="str">
        <f>'Segment Analysis'!S16</f>
        <v>N/A</v>
      </c>
      <c r="T34" s="292" t="str">
        <f>'Segment Analysis'!T16</f>
        <v>N/A</v>
      </c>
      <c r="U34" s="293" t="e">
        <f t="shared" ref="U34:X34" si="13">U32/U$30</f>
        <v>#DIV/0!</v>
      </c>
      <c r="V34" s="293" t="e">
        <f t="shared" si="13"/>
        <v>#DIV/0!</v>
      </c>
      <c r="W34" s="293" t="e">
        <f t="shared" si="13"/>
        <v>#DIV/0!</v>
      </c>
      <c r="X34" s="293" t="e">
        <f t="shared" si="13"/>
        <v>#DIV/0!</v>
      </c>
      <c r="Y34" s="294" t="e">
        <f t="shared" ref="Y34:AG34" si="14">Y32/Y$30</f>
        <v>#DIV/0!</v>
      </c>
      <c r="Z34" s="293" t="e">
        <f t="shared" si="14"/>
        <v>#DIV/0!</v>
      </c>
      <c r="AA34" s="293" t="e">
        <f t="shared" si="14"/>
        <v>#DIV/0!</v>
      </c>
      <c r="AB34" s="293" t="e">
        <f t="shared" si="14"/>
        <v>#DIV/0!</v>
      </c>
      <c r="AC34" s="293" t="e">
        <f t="shared" si="14"/>
        <v>#DIV/0!</v>
      </c>
      <c r="AD34" s="294" t="e">
        <f t="shared" si="14"/>
        <v>#DIV/0!</v>
      </c>
      <c r="AE34" s="294" t="e">
        <f t="shared" si="14"/>
        <v>#DIV/0!</v>
      </c>
      <c r="AF34" s="294" t="e">
        <f t="shared" si="14"/>
        <v>#DIV/0!</v>
      </c>
      <c r="AG34" s="294" t="e">
        <f t="shared" si="14"/>
        <v>#DIV/0!</v>
      </c>
      <c r="AH34" s="288"/>
      <c r="AI34" s="297"/>
      <c r="AJ34" s="298"/>
    </row>
    <row r="35" ht="12.75" customHeight="1" spans="1:36" x14ac:dyDescent="0.25">
      <c r="A35" s="8"/>
      <c r="B35" s="8"/>
      <c r="C35" s="8" t="str">
        <f>'Segment Analysis'!C9</f>
        <v>Asset Management and Other</v>
      </c>
      <c r="D35" s="8"/>
      <c r="E35" s="8"/>
      <c r="F35" s="281">
        <f>'Segment Analysis'!F9</f>
        <v>0</v>
      </c>
      <c r="G35" s="281">
        <f>'Segment Analysis'!G9</f>
        <v>0</v>
      </c>
      <c r="H35" s="281">
        <f>'Segment Analysis'!H9</f>
        <v>0</v>
      </c>
      <c r="I35" s="281">
        <f>'Segment Analysis'!I9</f>
        <v>0</v>
      </c>
      <c r="J35" s="282">
        <f>'Segment Analysis'!J9</f>
        <v>0</v>
      </c>
      <c r="K35" s="281">
        <f>'Segment Analysis'!K9</f>
        <v>0</v>
      </c>
      <c r="L35" s="281">
        <f>'Segment Analysis'!L9</f>
        <v>0</v>
      </c>
      <c r="M35" s="281">
        <f>'Segment Analysis'!M9</f>
        <v>0</v>
      </c>
      <c r="N35" s="281">
        <f>'Segment Analysis'!N9</f>
        <v>0</v>
      </c>
      <c r="O35" s="282">
        <f>'Segment Analysis'!O9</f>
        <v>0</v>
      </c>
      <c r="P35" s="281">
        <f>'Segment Analysis'!P9</f>
        <v>0</v>
      </c>
      <c r="Q35" s="281">
        <f>'Segment Analysis'!Q9</f>
        <v>0</v>
      </c>
      <c r="R35" s="281">
        <f>'Segment Analysis'!R9</f>
        <v>0</v>
      </c>
      <c r="S35" s="281">
        <f>'Segment Analysis'!S9</f>
        <v>0</v>
      </c>
      <c r="T35" s="282">
        <f>'Segment Analysis'!T9</f>
        <v>0</v>
      </c>
      <c r="U35" s="283">
        <f>IF(Segment2_Rev_Methodology="Segment",U59,IF(Segment2_Rev_Methodology="Activity-Based",U103,IF(Segment2_Rev_Methodology="Backlog",U177,"--")))</f>
        <v>0</v>
      </c>
      <c r="V35" s="283">
        <f>IF(Segment2_Rev_Methodology="Segment",V59,IF(Segment2_Rev_Methodology="Activity-Based",V103,IF(Segment2_Rev_Methodology="Backlog",V177,"--")))</f>
        <v>0</v>
      </c>
      <c r="W35" s="283">
        <f>IF(Segment2_Rev_Methodology="Segment",W59,IF(Segment2_Rev_Methodology="Activity-Based",W103,IF(Segment2_Rev_Methodology="Backlog",W177,"--")))</f>
        <v>0</v>
      </c>
      <c r="X35" s="283">
        <f>IF(Segment2_Rev_Methodology="Segment",X59,IF(Segment2_Rev_Methodology="Activity-Based",X103,IF(Segment2_Rev_Methodology="Backlog",X177,"--")))</f>
        <v>0</v>
      </c>
      <c r="Y35" s="284">
        <f>SUM(U35:X35)</f>
        <v>0</v>
      </c>
      <c r="Z35" s="283">
        <f>IF(Segment2_Rev_Methodology="Segment",Z59,IF(Segment2_Rev_Methodology="Activity-Based",Z103,IF(Segment2_Rev_Methodology="Backlog",Z177,"--")))</f>
        <v>0</v>
      </c>
      <c r="AA35" s="283">
        <f>IF(Segment2_Rev_Methodology="Segment",AA59,IF(Segment2_Rev_Methodology="Activity-Based",AA103,IF(Segment2_Rev_Methodology="Backlog",AA177,"--")))</f>
        <v>0</v>
      </c>
      <c r="AB35" s="283">
        <f>IF(Segment2_Rev_Methodology="Segment",AB59,IF(Segment2_Rev_Methodology="Activity-Based",AB103,IF(Segment2_Rev_Methodology="Backlog",AB177,"--")))</f>
        <v>0</v>
      </c>
      <c r="AC35" s="283">
        <f>IF(Segment2_Rev_Methodology="Segment",AC59,IF(Segment2_Rev_Methodology="Activity-Based",AC103,IF(Segment2_Rev_Methodology="Backlog",AC177,"--")))</f>
        <v>0</v>
      </c>
      <c r="AD35" s="284">
        <f>SUM(Z35:AC35)</f>
        <v>0</v>
      </c>
      <c r="AE35" s="284">
        <f>IF(Segment2_Rev_Methodology="Segment",AE59,IF(Segment2_Rev_Methodology="Activity-Based",AE103,IF(Segment2_Rev_Methodology="Backlog",AE177,"--")))</f>
        <v>0</v>
      </c>
      <c r="AF35" s="284">
        <f>IF(Segment2_Rev_Methodology="Segment",AF59,IF(Segment2_Rev_Methodology="Activity-Based",AF103,IF(Segment2_Rev_Methodology="Backlog",AF177,"--")))</f>
        <v>0</v>
      </c>
      <c r="AG35" s="284">
        <f>IF(Segment2_Rev_Methodology="Segment",AG59,IF(Segment2_Rev_Methodology="Activity-Based",AG103,IF(Segment2_Rev_Methodology="Backlog",AG177,"--")))</f>
        <v>0</v>
      </c>
      <c r="AH35" s="8"/>
      <c r="AI35" s="285" t="str">
        <f>IFERROR((T35/J35)^(1/3)-1,"--")</f>
        <v>--</v>
      </c>
      <c r="AJ35" s="286" t="str">
        <f>IFERROR((AG35/T35)^(1/5)-1,"--")</f>
        <v>--</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t="str">
        <f>IF($C$25="Annual",'Segment Analysis'!K174,'Segment Analysis'!K194)</f>
        <v>N/A</v>
      </c>
      <c r="L36" s="291" t="str">
        <f>IF($C$25="Annual",'Segment Analysis'!L174,'Segment Analysis'!L194)</f>
        <v>N/A</v>
      </c>
      <c r="M36" s="291" t="str">
        <f>IF($C$25="Annual",'Segment Analysis'!M174,'Segment Analysis'!M194)</f>
        <v>N/A</v>
      </c>
      <c r="N36" s="291" t="str">
        <f>IF($C$25="Annual",'Segment Analysis'!N174,'Segment Analysis'!N194)</f>
        <v>N/A</v>
      </c>
      <c r="O36" s="292" t="str">
        <f>'Segment Analysis'!O174</f>
        <v>N/A</v>
      </c>
      <c r="P36" s="291" t="str">
        <f>IF($C$25="Annual",'Segment Analysis'!P174,'Segment Analysis'!P194)</f>
        <v>N/A</v>
      </c>
      <c r="Q36" s="291" t="str">
        <f>IF($C$25="Annual",'Segment Analysis'!Q174,'Segment Analysis'!Q194)</f>
        <v>N/A</v>
      </c>
      <c r="R36" s="291" t="str">
        <f>IF($C$25="Annual",'Segment Analysis'!R174,'Segment Analysis'!R194)</f>
        <v>N/A</v>
      </c>
      <c r="S36" s="291" t="str">
        <f>IF($C$25="Annual",'Segment Analysis'!S174,'Segment Analysis'!S194)</f>
        <v>N/A</v>
      </c>
      <c r="T36" s="292" t="str">
        <f>'Segment Analysis'!T174</f>
        <v>N/A</v>
      </c>
      <c r="U36" s="293" t="str">
        <f>IFERROR(U35/S35-1,"--")</f>
        <v>--</v>
      </c>
      <c r="V36" s="293" t="str">
        <f t="shared" ref="V36" si="15">IFERROR(V35/U35-1,"--")</f>
        <v>--</v>
      </c>
      <c r="W36" s="293" t="str">
        <f t="shared" ref="W36" si="16">IFERROR(W35/V35-1,"--")</f>
        <v>--</v>
      </c>
      <c r="X36" s="293" t="str">
        <f t="shared" ref="X36" si="17">IFERROR(X35/W35-1,"--")</f>
        <v>--</v>
      </c>
      <c r="Y36" s="294" t="str">
        <f>IFERROR(Y35/T35-1,"--")</f>
        <v>--</v>
      </c>
      <c r="Z36" s="293" t="str">
        <f>IFERROR(Z35/X35-1,"--")</f>
        <v>--</v>
      </c>
      <c r="AA36" s="293" t="str">
        <f t="shared" ref="AA36:AC36" si="18">IFERROR(AA35/Z35-1,"--")</f>
        <v>--</v>
      </c>
      <c r="AB36" s="293" t="str">
        <f t="shared" si="18"/>
        <v>--</v>
      </c>
      <c r="AC36" s="293" t="str">
        <f t="shared" si="18"/>
        <v>--</v>
      </c>
      <c r="AD36" s="294" t="str">
        <f>IFERROR(AD35/Y35-1,"--")</f>
        <v>--</v>
      </c>
      <c r="AE36" s="294" t="str">
        <f t="shared" ref="AE36:AG36" si="19">IFERROR(AE35/AD35-1,"--")</f>
        <v>--</v>
      </c>
      <c r="AF36" s="294" t="str">
        <f t="shared" si="19"/>
        <v>--</v>
      </c>
      <c r="AG36" s="294" t="str">
        <f t="shared" si="19"/>
        <v>--</v>
      </c>
      <c r="AH36" s="288"/>
      <c r="AI36" s="295"/>
      <c r="AJ36" s="296"/>
    </row>
    <row r="37" ht="12.75" customHeight="1" spans="1:36" x14ac:dyDescent="0.25">
      <c r="A37" s="287"/>
      <c r="B37" s="288"/>
      <c r="C37" s="111" t="s">
        <v>236</v>
      </c>
      <c r="D37" s="288"/>
      <c r="E37" s="288"/>
      <c r="F37" s="291" t="str">
        <f>'Segment Analysis'!F17</f>
        <v>N/A</v>
      </c>
      <c r="G37" s="291" t="str">
        <f>'Segment Analysis'!G17</f>
        <v>N/A</v>
      </c>
      <c r="H37" s="291" t="str">
        <f>'Segment Analysis'!H17</f>
        <v>N/A</v>
      </c>
      <c r="I37" s="291" t="str">
        <f>'Segment Analysis'!I17</f>
        <v>N/A</v>
      </c>
      <c r="J37" s="292" t="str">
        <f>'Segment Analysis'!J17</f>
        <v>N/A</v>
      </c>
      <c r="K37" s="291" t="str">
        <f>'Segment Analysis'!K17</f>
        <v>N/A</v>
      </c>
      <c r="L37" s="291" t="str">
        <f>'Segment Analysis'!L17</f>
        <v>N/A</v>
      </c>
      <c r="M37" s="291" t="str">
        <f>'Segment Analysis'!M17</f>
        <v>N/A</v>
      </c>
      <c r="N37" s="291" t="str">
        <f>'Segment Analysis'!N17</f>
        <v>N/A</v>
      </c>
      <c r="O37" s="292" t="str">
        <f>'Segment Analysis'!O17</f>
        <v>N/A</v>
      </c>
      <c r="P37" s="291" t="str">
        <f>'Segment Analysis'!P17</f>
        <v>N/A</v>
      </c>
      <c r="Q37" s="291" t="str">
        <f>'Segment Analysis'!Q17</f>
        <v>N/A</v>
      </c>
      <c r="R37" s="291" t="str">
        <f>'Segment Analysis'!R17</f>
        <v>N/A</v>
      </c>
      <c r="S37" s="291" t="str">
        <f>'Segment Analysis'!S17</f>
        <v>N/A</v>
      </c>
      <c r="T37" s="292" t="str">
        <f>'Segment Analysis'!T17</f>
        <v>N/A</v>
      </c>
      <c r="U37" s="293" t="e">
        <f t="shared" ref="U37:X37" si="20">U35/U$30</f>
        <v>#DIV/0!</v>
      </c>
      <c r="V37" s="293" t="e">
        <f t="shared" si="20"/>
        <v>#DIV/0!</v>
      </c>
      <c r="W37" s="293" t="e">
        <f t="shared" si="20"/>
        <v>#DIV/0!</v>
      </c>
      <c r="X37" s="293" t="e">
        <f t="shared" si="20"/>
        <v>#DIV/0!</v>
      </c>
      <c r="Y37" s="294" t="e">
        <f t="shared" ref="Y37:AG37" si="21">Y35/Y$30</f>
        <v>#DIV/0!</v>
      </c>
      <c r="Z37" s="293" t="e">
        <f t="shared" si="21"/>
        <v>#DIV/0!</v>
      </c>
      <c r="AA37" s="293" t="e">
        <f t="shared" si="21"/>
        <v>#DIV/0!</v>
      </c>
      <c r="AB37" s="293" t="e">
        <f t="shared" si="21"/>
        <v>#DIV/0!</v>
      </c>
      <c r="AC37" s="293" t="e">
        <f t="shared" si="21"/>
        <v>#DIV/0!</v>
      </c>
      <c r="AD37" s="294" t="e">
        <f t="shared" si="21"/>
        <v>#DIV/0!</v>
      </c>
      <c r="AE37" s="294" t="e">
        <f t="shared" si="21"/>
        <v>#DIV/0!</v>
      </c>
      <c r="AF37" s="294" t="e">
        <f t="shared" si="21"/>
        <v>#DIV/0!</v>
      </c>
      <c r="AG37" s="294" t="e">
        <f t="shared" si="21"/>
        <v>#DIV/0!</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t="str">
        <f>'Segment Analysis'!F18</f>
        <v>N/A</v>
      </c>
      <c r="G40" s="291" t="str">
        <f>'Segment Analysis'!G18</f>
        <v>N/A</v>
      </c>
      <c r="H40" s="291" t="str">
        <f>'Segment Analysis'!H18</f>
        <v>N/A</v>
      </c>
      <c r="I40" s="291" t="str">
        <f>'Segment Analysis'!I18</f>
        <v>N/A</v>
      </c>
      <c r="J40" s="292" t="str">
        <f>'Segment Analysis'!J18</f>
        <v>N/A</v>
      </c>
      <c r="K40" s="291" t="str">
        <f>'Segment Analysis'!K18</f>
        <v>N/A</v>
      </c>
      <c r="L40" s="291" t="str">
        <f>'Segment Analysis'!L18</f>
        <v>N/A</v>
      </c>
      <c r="M40" s="291" t="str">
        <f>'Segment Analysis'!M18</f>
        <v>N/A</v>
      </c>
      <c r="N40" s="291" t="str">
        <f>'Segment Analysis'!N18</f>
        <v>N/A</v>
      </c>
      <c r="O40" s="292" t="str">
        <f>'Segment Analysis'!O18</f>
        <v>N/A</v>
      </c>
      <c r="P40" s="291" t="str">
        <f>'Segment Analysis'!P18</f>
        <v>N/A</v>
      </c>
      <c r="Q40" s="291" t="str">
        <f>'Segment Analysis'!Q18</f>
        <v>N/A</v>
      </c>
      <c r="R40" s="291" t="str">
        <f>'Segment Analysis'!R18</f>
        <v>N/A</v>
      </c>
      <c r="S40" s="291" t="str">
        <f>'Segment Analysis'!S18</f>
        <v>N/A</v>
      </c>
      <c r="T40" s="292" t="str">
        <f>'Segment Analysis'!T18</f>
        <v>N/A</v>
      </c>
      <c r="U40" s="293" t="e">
        <f t="shared" ref="U40:X40" si="27">U38/U$30</f>
        <v>#DIV/0!</v>
      </c>
      <c r="V40" s="293" t="e">
        <f t="shared" si="27"/>
        <v>#DIV/0!</v>
      </c>
      <c r="W40" s="293" t="e">
        <f t="shared" si="27"/>
        <v>#DIV/0!</v>
      </c>
      <c r="X40" s="293" t="e">
        <f t="shared" si="27"/>
        <v>#DIV/0!</v>
      </c>
      <c r="Y40" s="294" t="e">
        <f t="shared" ref="Y40:AG40" si="28">Y38/Y$30</f>
        <v>#DIV/0!</v>
      </c>
      <c r="Z40" s="293" t="e">
        <f t="shared" si="28"/>
        <v>#DIV/0!</v>
      </c>
      <c r="AA40" s="293" t="e">
        <f t="shared" si="28"/>
        <v>#DIV/0!</v>
      </c>
      <c r="AB40" s="293" t="e">
        <f t="shared" si="28"/>
        <v>#DIV/0!</v>
      </c>
      <c r="AC40" s="293" t="e">
        <f t="shared" si="28"/>
        <v>#DIV/0!</v>
      </c>
      <c r="AD40" s="294" t="e">
        <f t="shared" si="28"/>
        <v>#DIV/0!</v>
      </c>
      <c r="AE40" s="294" t="e">
        <f t="shared" si="28"/>
        <v>#DIV/0!</v>
      </c>
      <c r="AF40" s="294" t="e">
        <f t="shared" si="28"/>
        <v>#DIV/0!</v>
      </c>
      <c r="AG40" s="294" t="e">
        <f t="shared" si="28"/>
        <v>#DIV/0!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t="str">
        <f>'Segment Analysis'!F19</f>
        <v>N/A</v>
      </c>
      <c r="G43" s="291" t="str">
        <f>'Segment Analysis'!G19</f>
        <v>N/A</v>
      </c>
      <c r="H43" s="291" t="str">
        <f>'Segment Analysis'!H19</f>
        <v>N/A</v>
      </c>
      <c r="I43" s="291" t="str">
        <f>'Segment Analysis'!I19</f>
        <v>N/A</v>
      </c>
      <c r="J43" s="292" t="str">
        <f>'Segment Analysis'!J19</f>
        <v>N/A</v>
      </c>
      <c r="K43" s="291" t="str">
        <f>'Segment Analysis'!K19</f>
        <v>N/A</v>
      </c>
      <c r="L43" s="291" t="str">
        <f>'Segment Analysis'!L19</f>
        <v>N/A</v>
      </c>
      <c r="M43" s="291" t="str">
        <f>'Segment Analysis'!M19</f>
        <v>N/A</v>
      </c>
      <c r="N43" s="291" t="str">
        <f>'Segment Analysis'!N19</f>
        <v>N/A</v>
      </c>
      <c r="O43" s="292" t="str">
        <f>'Segment Analysis'!O19</f>
        <v>N/A</v>
      </c>
      <c r="P43" s="291" t="str">
        <f>'Segment Analysis'!P19</f>
        <v>N/A</v>
      </c>
      <c r="Q43" s="291" t="str">
        <f>'Segment Analysis'!Q19</f>
        <v>N/A</v>
      </c>
      <c r="R43" s="291" t="str">
        <f>'Segment Analysis'!R19</f>
        <v>N/A</v>
      </c>
      <c r="S43" s="291" t="str">
        <f>'Segment Analysis'!S19</f>
        <v>N/A</v>
      </c>
      <c r="T43" s="292" t="str">
        <f>'Segment Analysis'!T19</f>
        <v>N/A</v>
      </c>
      <c r="U43" s="293" t="e">
        <f t="shared" ref="U43:X43" si="34">U41/U$30</f>
        <v>#DIV/0!</v>
      </c>
      <c r="V43" s="293" t="e">
        <f t="shared" si="34"/>
        <v>#DIV/0!</v>
      </c>
      <c r="W43" s="293" t="e">
        <f t="shared" si="34"/>
        <v>#DIV/0!</v>
      </c>
      <c r="X43" s="293" t="e">
        <f t="shared" si="34"/>
        <v>#DIV/0!</v>
      </c>
      <c r="Y43" s="294" t="e">
        <f t="shared" ref="Y43:AG43" si="35">Y41/Y$30</f>
        <v>#DIV/0!</v>
      </c>
      <c r="Z43" s="293" t="e">
        <f t="shared" si="35"/>
        <v>#DIV/0!</v>
      </c>
      <c r="AA43" s="293" t="e">
        <f t="shared" si="35"/>
        <v>#DIV/0!</v>
      </c>
      <c r="AB43" s="293" t="e">
        <f t="shared" si="35"/>
        <v>#DIV/0!</v>
      </c>
      <c r="AC43" s="293" t="e">
        <f t="shared" si="35"/>
        <v>#DIV/0!</v>
      </c>
      <c r="AD43" s="294" t="e">
        <f t="shared" si="35"/>
        <v>#DIV/0!</v>
      </c>
      <c r="AE43" s="294" t="e">
        <f t="shared" si="35"/>
        <v>#DIV/0!</v>
      </c>
      <c r="AF43" s="294" t="e">
        <f t="shared" si="35"/>
        <v>#DIV/0!</v>
      </c>
      <c r="AG43" s="294" t="e">
        <f t="shared" si="35"/>
        <v>#DIV/0!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t="str">
        <f>'Segment Analysis'!F20</f>
        <v>N/A</v>
      </c>
      <c r="G46" s="291" t="str">
        <f>'Segment Analysis'!G20</f>
        <v>N/A</v>
      </c>
      <c r="H46" s="291" t="str">
        <f>'Segment Analysis'!H20</f>
        <v>N/A</v>
      </c>
      <c r="I46" s="291" t="str">
        <f>'Segment Analysis'!I20</f>
        <v>N/A</v>
      </c>
      <c r="J46" s="292" t="str">
        <f>'Segment Analysis'!J20</f>
        <v>N/A</v>
      </c>
      <c r="K46" s="291" t="str">
        <f>'Segment Analysis'!K20</f>
        <v>N/A</v>
      </c>
      <c r="L46" s="291" t="str">
        <f>'Segment Analysis'!L20</f>
        <v>N/A</v>
      </c>
      <c r="M46" s="291" t="str">
        <f>'Segment Analysis'!M20</f>
        <v>N/A</v>
      </c>
      <c r="N46" s="291" t="str">
        <f>'Segment Analysis'!N20</f>
        <v>N/A</v>
      </c>
      <c r="O46" s="292" t="str">
        <f>'Segment Analysis'!O20</f>
        <v>N/A</v>
      </c>
      <c r="P46" s="291" t="str">
        <f>'Segment Analysis'!P20</f>
        <v>N/A</v>
      </c>
      <c r="Q46" s="291" t="str">
        <f>'Segment Analysis'!Q20</f>
        <v>N/A</v>
      </c>
      <c r="R46" s="291" t="str">
        <f>'Segment Analysis'!R20</f>
        <v>N/A</v>
      </c>
      <c r="S46" s="291" t="str">
        <f>'Segment Analysis'!S20</f>
        <v>N/A</v>
      </c>
      <c r="T46" s="292" t="str">
        <f>'Segment Analysis'!T20</f>
        <v>N/A</v>
      </c>
      <c r="U46" s="293" t="e">
        <f t="shared" ref="U46:X46" si="41">U44/U$30</f>
        <v>#DIV/0!</v>
      </c>
      <c r="V46" s="293" t="e">
        <f t="shared" si="41"/>
        <v>#DIV/0!</v>
      </c>
      <c r="W46" s="293" t="e">
        <f t="shared" si="41"/>
        <v>#DIV/0!</v>
      </c>
      <c r="X46" s="293" t="e">
        <f t="shared" si="41"/>
        <v>#DIV/0!</v>
      </c>
      <c r="Y46" s="294" t="e">
        <f t="shared" ref="Y46:AG46" si="42">Y44/Y$30</f>
        <v>#DIV/0!</v>
      </c>
      <c r="Z46" s="293" t="e">
        <f t="shared" si="42"/>
        <v>#DIV/0!</v>
      </c>
      <c r="AA46" s="293" t="e">
        <f t="shared" si="42"/>
        <v>#DIV/0!</v>
      </c>
      <c r="AB46" s="293" t="e">
        <f t="shared" si="42"/>
        <v>#DIV/0!</v>
      </c>
      <c r="AC46" s="293" t="e">
        <f t="shared" si="42"/>
        <v>#DIV/0!</v>
      </c>
      <c r="AD46" s="294" t="e">
        <f t="shared" si="42"/>
        <v>#DIV/0!</v>
      </c>
      <c r="AE46" s="294" t="e">
        <f t="shared" si="42"/>
        <v>#DIV/0!</v>
      </c>
      <c r="AF46" s="294" t="e">
        <f t="shared" si="42"/>
        <v>#DIV/0!</v>
      </c>
      <c r="AG46" s="294" t="e">
        <f t="shared" si="42"/>
        <v>#DIV/0!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t="str">
        <f>'Segment Analysis'!F21</f>
        <v>N/A</v>
      </c>
      <c r="G49" s="304" t="str">
        <f>'Segment Analysis'!G21</f>
        <v>N/A</v>
      </c>
      <c r="H49" s="304" t="str">
        <f>'Segment Analysis'!H21</f>
        <v>N/A</v>
      </c>
      <c r="I49" s="304" t="str">
        <f>'Segment Analysis'!I21</f>
        <v>N/A</v>
      </c>
      <c r="J49" s="292" t="str">
        <f>'Segment Analysis'!J21</f>
        <v>N/A</v>
      </c>
      <c r="K49" s="291" t="str">
        <f>'Segment Analysis'!K21</f>
        <v>N/A</v>
      </c>
      <c r="L49" s="291" t="str">
        <f>'Segment Analysis'!L21</f>
        <v>N/A</v>
      </c>
      <c r="M49" s="291" t="str">
        <f>'Segment Analysis'!M21</f>
        <v>N/A</v>
      </c>
      <c r="N49" s="291" t="str">
        <f>'Segment Analysis'!N21</f>
        <v>N/A</v>
      </c>
      <c r="O49" s="292" t="str">
        <f>'Segment Analysis'!O21</f>
        <v>N/A</v>
      </c>
      <c r="P49" s="291" t="str">
        <f>'Segment Analysis'!P21</f>
        <v>N/A</v>
      </c>
      <c r="Q49" s="291" t="str">
        <f>'Segment Analysis'!Q21</f>
        <v>N/A</v>
      </c>
      <c r="R49" s="291" t="str">
        <f>'Segment Analysis'!R21</f>
        <v>N/A</v>
      </c>
      <c r="S49" s="291" t="str">
        <f>'Segment Analysis'!S21</f>
        <v>N/A</v>
      </c>
      <c r="T49" s="292" t="str">
        <f>'Segment Analysis'!T21</f>
        <v>N/A</v>
      </c>
      <c r="U49" s="293" t="e">
        <f t="shared" ref="U49:X49" si="48">U47/U$30</f>
        <v>#DIV/0!</v>
      </c>
      <c r="V49" s="293" t="e">
        <f t="shared" si="48"/>
        <v>#DIV/0!</v>
      </c>
      <c r="W49" s="293" t="e">
        <f t="shared" si="48"/>
        <v>#DIV/0!</v>
      </c>
      <c r="X49" s="293" t="e">
        <f t="shared" si="48"/>
        <v>#DIV/0!</v>
      </c>
      <c r="Y49" s="294" t="e">
        <f t="shared" ref="Y49:AG49" si="49">Y47/Y$30</f>
        <v>#DIV/0!</v>
      </c>
      <c r="Z49" s="293" t="e">
        <f t="shared" si="49"/>
        <v>#DIV/0!</v>
      </c>
      <c r="AA49" s="293" t="e">
        <f t="shared" si="49"/>
        <v>#DIV/0!</v>
      </c>
      <c r="AB49" s="293" t="e">
        <f t="shared" si="49"/>
        <v>#DIV/0!</v>
      </c>
      <c r="AC49" s="293" t="e">
        <f t="shared" si="49"/>
        <v>#DIV/0!</v>
      </c>
      <c r="AD49" s="294" t="e">
        <f t="shared" si="49"/>
        <v>#DIV/0!</v>
      </c>
      <c r="AE49" s="294" t="e">
        <f t="shared" si="49"/>
        <v>#DIV/0!</v>
      </c>
      <c r="AF49" s="294" t="e">
        <f t="shared" si="49"/>
        <v>#DIV/0!</v>
      </c>
      <c r="AG49" s="294" t="e">
        <f t="shared" si="49"/>
        <v>#DIV/0!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0</v>
      </c>
      <c r="G53" s="311">
        <f t="shared" si="51"/>
        <v>0</v>
      </c>
      <c r="H53" s="311">
        <f t="shared" si="51"/>
        <v>0</v>
      </c>
      <c r="I53" s="311">
        <f t="shared" si="51"/>
        <v>0</v>
      </c>
      <c r="J53" s="284">
        <f t="shared" si="51"/>
        <v>0</v>
      </c>
      <c r="K53" s="311">
        <f t="shared" si="51"/>
        <v>0</v>
      </c>
      <c r="L53" s="311">
        <f t="shared" si="51"/>
        <v>0</v>
      </c>
      <c r="M53" s="311">
        <f t="shared" si="51"/>
        <v>0</v>
      </c>
      <c r="N53" s="311">
        <f t="shared" si="51"/>
        <v>0</v>
      </c>
      <c r="O53" s="284">
        <f t="shared" si="51"/>
        <v>0</v>
      </c>
      <c r="P53" s="311">
        <f t="shared" si="51"/>
        <v>0</v>
      </c>
      <c r="Q53" s="311">
        <f t="shared" si="51"/>
        <v>0</v>
      </c>
      <c r="R53" s="311">
        <f t="shared" si="51"/>
        <v>0</v>
      </c>
      <c r="S53" s="311">
        <f t="shared" si="51"/>
        <v>0</v>
      </c>
      <c r="T53" s="284">
        <f t="shared" si="51"/>
        <v>0</v>
      </c>
      <c r="U53" s="283">
        <f>IF($C$25="Quarterly",S53*(1+U54),P53*(1+U54))</f>
        <v>0</v>
      </c>
      <c r="V53" s="283">
        <f t="shared" ref="V53" si="52">IF($C$25="Quarterly",U53*(1+V54),Q53*(1+V54))</f>
        <v>0</v>
      </c>
      <c r="W53" s="283">
        <f t="shared" ref="W53" si="53">IF($C$25="Quarterly",V53*(1+W54),R53*(1+W54))</f>
        <v>0</v>
      </c>
      <c r="X53" s="283">
        <f t="shared" ref="X53" si="54">IF($C$25="Quarterly",W53*(1+X54),S53*(1+X54))</f>
        <v>0</v>
      </c>
      <c r="Y53" s="284">
        <f>SUM(U53:X53)</f>
        <v>0</v>
      </c>
      <c r="Z53" s="283">
        <f>IF($C$25="Quarterly",X53*(1+Z54),U53*(1+Z54))</f>
        <v>0</v>
      </c>
      <c r="AA53" s="283">
        <f t="shared" ref="AA53:AC53" si="55">IF($C$25="Quarterly",Z53*(1+AA54),V53*(1+AA54))</f>
        <v>0</v>
      </c>
      <c r="AB53" s="283">
        <f t="shared" si="55"/>
        <v>0</v>
      </c>
      <c r="AC53" s="283">
        <f t="shared" si="55"/>
        <v>0</v>
      </c>
      <c r="AD53" s="284">
        <f>SUM(Z53:AC53)</f>
        <v>0</v>
      </c>
      <c r="AE53" s="284">
        <f t="shared" ref="AE53:AG53" si="56">AD53*(1+AE54)</f>
        <v>0</v>
      </c>
      <c r="AF53" s="284">
        <f t="shared" si="56"/>
        <v>0</v>
      </c>
      <c r="AG53" s="284">
        <f t="shared" si="56"/>
        <v>0</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t="str">
        <f t="shared" si="57"/>
        <v>N/A</v>
      </c>
      <c r="L54" s="312" t="str">
        <f t="shared" si="57"/>
        <v>N/A</v>
      </c>
      <c r="M54" s="312" t="str">
        <f t="shared" si="57"/>
        <v>N/A</v>
      </c>
      <c r="N54" s="312" t="str">
        <f t="shared" si="57"/>
        <v>N/A</v>
      </c>
      <c r="O54" s="313" t="str">
        <f t="shared" si="57"/>
        <v>N/A</v>
      </c>
      <c r="P54" s="312" t="str">
        <f t="shared" si="57"/>
        <v>N/A</v>
      </c>
      <c r="Q54" s="312" t="str">
        <f t="shared" si="57"/>
        <v>N/A</v>
      </c>
      <c r="R54" s="312" t="str">
        <f t="shared" si="57"/>
        <v>N/A</v>
      </c>
      <c r="S54" s="312" t="str">
        <f t="shared" si="57"/>
        <v>N/A</v>
      </c>
      <c r="T54" s="313" t="str">
        <f t="shared" si="57"/>
        <v>N/A</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t="str">
        <f t="shared" ref="Y54" si="58">Y33</f>
        <v>--</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t="str">
        <f t="shared" ref="AD54" si="59">AD33</f>
        <v>--</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0</v>
      </c>
      <c r="G59" s="311">
        <f t="shared" si="66"/>
        <v>0</v>
      </c>
      <c r="H59" s="311">
        <f t="shared" si="66"/>
        <v>0</v>
      </c>
      <c r="I59" s="311">
        <f t="shared" si="66"/>
        <v>0</v>
      </c>
      <c r="J59" s="284">
        <f t="shared" si="66"/>
        <v>0</v>
      </c>
      <c r="K59" s="311">
        <f t="shared" si="66"/>
        <v>0</v>
      </c>
      <c r="L59" s="311">
        <f t="shared" si="66"/>
        <v>0</v>
      </c>
      <c r="M59" s="311">
        <f t="shared" si="66"/>
        <v>0</v>
      </c>
      <c r="N59" s="311">
        <f t="shared" si="66"/>
        <v>0</v>
      </c>
      <c r="O59" s="284">
        <f t="shared" si="66"/>
        <v>0</v>
      </c>
      <c r="P59" s="311">
        <f t="shared" si="66"/>
        <v>0</v>
      </c>
      <c r="Q59" s="311">
        <f t="shared" si="66"/>
        <v>0</v>
      </c>
      <c r="R59" s="311">
        <f t="shared" si="66"/>
        <v>0</v>
      </c>
      <c r="S59" s="311">
        <f t="shared" si="66"/>
        <v>0</v>
      </c>
      <c r="T59" s="284">
        <f t="shared" si="66"/>
        <v>0</v>
      </c>
      <c r="U59" s="283">
        <f>IF($C$25="Quarterly",S59*(1+U60),P59*(1+U60))</f>
        <v>0</v>
      </c>
      <c r="V59" s="283">
        <f t="shared" ref="V59" si="67">IF($C$25="Quarterly",U59*(1+V60),Q59*(1+V60))</f>
        <v>0</v>
      </c>
      <c r="W59" s="283">
        <f t="shared" ref="W59" si="68">IF($C$25="Quarterly",V59*(1+W60),R59*(1+W60))</f>
        <v>0</v>
      </c>
      <c r="X59" s="283">
        <f t="shared" ref="X59" si="69">IF($C$25="Quarterly",W59*(1+X60),S59*(1+X60))</f>
        <v>0</v>
      </c>
      <c r="Y59" s="284">
        <f>SUM(U59:X59)</f>
        <v>0</v>
      </c>
      <c r="Z59" s="283">
        <f>IF($C$25="Quarterly",X59*(1+Z60),U59*(1+Z60))</f>
        <v>0</v>
      </c>
      <c r="AA59" s="283">
        <f t="shared" ref="AA59:AC59" si="70">IF($C$25="Quarterly",Z59*(1+AA60),V59*(1+AA60))</f>
        <v>0</v>
      </c>
      <c r="AB59" s="283">
        <f t="shared" si="70"/>
        <v>0</v>
      </c>
      <c r="AC59" s="283">
        <f t="shared" si="70"/>
        <v>0</v>
      </c>
      <c r="AD59" s="284">
        <f>SUM(Z59:AC59)</f>
        <v>0</v>
      </c>
      <c r="AE59" s="284">
        <f t="shared" ref="AE59:AG59" si="71">AD59*(1+AE60)</f>
        <v>0</v>
      </c>
      <c r="AF59" s="284">
        <f t="shared" si="71"/>
        <v>0</v>
      </c>
      <c r="AG59" s="284">
        <f t="shared" si="71"/>
        <v>0</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t="str">
        <f t="shared" si="72"/>
        <v>N/A</v>
      </c>
      <c r="L60" s="312" t="str">
        <f t="shared" si="72"/>
        <v>N/A</v>
      </c>
      <c r="M60" s="312" t="str">
        <f t="shared" si="72"/>
        <v>N/A</v>
      </c>
      <c r="N60" s="312" t="str">
        <f t="shared" si="72"/>
        <v>N/A</v>
      </c>
      <c r="O60" s="313" t="str">
        <f t="shared" si="72"/>
        <v>N/A</v>
      </c>
      <c r="P60" s="312" t="str">
        <f t="shared" si="72"/>
        <v>N/A</v>
      </c>
      <c r="Q60" s="312" t="str">
        <f t="shared" si="72"/>
        <v>N/A</v>
      </c>
      <c r="R60" s="312" t="str">
        <f t="shared" si="72"/>
        <v>N/A</v>
      </c>
      <c r="S60" s="312" t="str">
        <f t="shared" si="72"/>
        <v>N/A</v>
      </c>
      <c r="T60" s="313" t="str">
        <f t="shared" si="72"/>
        <v>N/A</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t="str">
        <f t="shared" ref="Y60" si="73">Y36</f>
        <v>--</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t="str">
        <f t="shared" ref="AD60" si="74">AD36</f>
        <v>--</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0</v>
      </c>
      <c r="G91" s="311">
        <f t="shared" si="120"/>
        <v>0</v>
      </c>
      <c r="H91" s="311">
        <f t="shared" si="120"/>
        <v>0</v>
      </c>
      <c r="I91" s="311">
        <f t="shared" si="120"/>
        <v>0</v>
      </c>
      <c r="J91" s="284">
        <f t="shared" si="120"/>
        <v>0</v>
      </c>
      <c r="K91" s="311">
        <f t="shared" si="120"/>
        <v>0</v>
      </c>
      <c r="L91" s="311">
        <f t="shared" si="120"/>
        <v>0</v>
      </c>
      <c r="M91" s="311">
        <f t="shared" si="120"/>
        <v>0</v>
      </c>
      <c r="N91" s="311">
        <f t="shared" si="120"/>
        <v>0</v>
      </c>
      <c r="O91" s="284">
        <f t="shared" si="120"/>
        <v>0</v>
      </c>
      <c r="P91" s="311">
        <f t="shared" si="120"/>
        <v>0</v>
      </c>
      <c r="Q91" s="311">
        <f t="shared" si="120"/>
        <v>0</v>
      </c>
      <c r="R91" s="311">
        <f t="shared" si="120"/>
        <v>0</v>
      </c>
      <c r="S91" s="311">
        <f t="shared" si="120"/>
        <v>0</v>
      </c>
      <c r="T91" s="284">
        <f t="shared" si="120"/>
        <v>0</v>
      </c>
      <c r="U91" s="283">
        <f t="shared" ref="U91:X91" si="121">U92*U97</f>
        <v>0</v>
      </c>
      <c r="V91" s="283">
        <f t="shared" si="121"/>
        <v>0</v>
      </c>
      <c r="W91" s="283">
        <f t="shared" si="121"/>
        <v>0</v>
      </c>
      <c r="X91" s="283">
        <f t="shared" si="121"/>
        <v>0</v>
      </c>
      <c r="Y91" s="284">
        <f t="shared" ref="Y91:Y92" si="122">SUM(U91:X91)</f>
        <v>0</v>
      </c>
      <c r="Z91" s="283">
        <f t="shared" ref="Z91:AC91" si="123">Z92*Z97</f>
        <v>0</v>
      </c>
      <c r="AA91" s="283">
        <f t="shared" si="123"/>
        <v>0</v>
      </c>
      <c r="AB91" s="283">
        <f t="shared" si="123"/>
        <v>0</v>
      </c>
      <c r="AC91" s="283">
        <f t="shared" si="123"/>
        <v>0</v>
      </c>
      <c r="AD91" s="284">
        <f t="shared" ref="AD91:AD92" si="124">SUM(Z91:AC91)</f>
        <v>0</v>
      </c>
      <c r="AE91" s="284">
        <f t="shared" ref="AE91:AG91" si="125">AE92*AE97</f>
        <v>0</v>
      </c>
      <c r="AF91" s="284">
        <f t="shared" si="125"/>
        <v>0</v>
      </c>
      <c r="AG91" s="284">
        <f t="shared" si="125"/>
        <v>0</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0</v>
      </c>
      <c r="G97" s="311">
        <f t="shared" si="134"/>
        <v>0</v>
      </c>
      <c r="H97" s="311">
        <f t="shared" si="134"/>
        <v>0</v>
      </c>
      <c r="I97" s="311">
        <f t="shared" si="134"/>
        <v>0</v>
      </c>
      <c r="J97" s="284">
        <f t="shared" si="134"/>
        <v>0</v>
      </c>
      <c r="K97" s="311">
        <f t="shared" si="134"/>
        <v>0</v>
      </c>
      <c r="L97" s="311">
        <f t="shared" si="134"/>
        <v>0</v>
      </c>
      <c r="M97" s="311">
        <f t="shared" si="134"/>
        <v>0</v>
      </c>
      <c r="N97" s="311">
        <f t="shared" si="134"/>
        <v>0</v>
      </c>
      <c r="O97" s="284">
        <f t="shared" si="134"/>
        <v>0</v>
      </c>
      <c r="P97" s="311">
        <f t="shared" si="134"/>
        <v>0</v>
      </c>
      <c r="Q97" s="311">
        <f t="shared" si="134"/>
        <v>0</v>
      </c>
      <c r="R97" s="311">
        <f t="shared" si="134"/>
        <v>0</v>
      </c>
      <c r="S97" s="311">
        <f t="shared" si="134"/>
        <v>0</v>
      </c>
      <c r="T97" s="284">
        <f t="shared" si="134"/>
        <v>0</v>
      </c>
      <c r="U97" s="283">
        <f>S97*(1+U98)</f>
        <v>0</v>
      </c>
      <c r="V97" s="283">
        <f t="shared" ref="V97" si="135">U97*(1+V98)</f>
        <v>0</v>
      </c>
      <c r="W97" s="283">
        <f t="shared" ref="W97" si="136">V97*(1+W98)</f>
        <v>0</v>
      </c>
      <c r="X97" s="283">
        <f t="shared" ref="X97" si="137">W97*(1+X98)</f>
        <v>0</v>
      </c>
      <c r="Y97" s="284">
        <f>Y91/Y92</f>
        <v>0</v>
      </c>
      <c r="Z97" s="283">
        <f>X97*(1+Z98)</f>
        <v>0</v>
      </c>
      <c r="AA97" s="283">
        <f t="shared" ref="AA97:AC97" si="138">Z97*(1+AA98)</f>
        <v>0</v>
      </c>
      <c r="AB97" s="283">
        <f t="shared" si="138"/>
        <v>0</v>
      </c>
      <c r="AC97" s="283">
        <f t="shared" si="138"/>
        <v>0</v>
      </c>
      <c r="AD97" s="284">
        <f>AD91/AD92</f>
        <v>0</v>
      </c>
      <c r="AE97" s="284">
        <f t="shared" ref="AE97:AG97" si="139">AD97*(1+AE98)</f>
        <v>0</v>
      </c>
      <c r="AF97" s="284">
        <f t="shared" si="139"/>
        <v>0</v>
      </c>
      <c r="AG97" s="284">
        <f t="shared" si="139"/>
        <v>0</v>
      </c>
      <c r="AH97" s="8"/>
      <c r="AI97" s="8"/>
      <c r="AJ97" s="8"/>
    </row>
    <row r="98" ht="12.75" customHeight="1" hidden="1" spans="1:36" x14ac:dyDescent="0.25" outlineLevel="1" collapsed="1">
      <c r="A98" s="8"/>
      <c r="B98" s="8"/>
      <c r="C98" s="111" t="s">
        <v>245</v>
      </c>
      <c r="D98" s="8"/>
      <c r="E98" s="166"/>
      <c r="F98" s="315"/>
      <c r="G98" s="312" t="str">
        <f t="shared" ref="G98:I98" si="140">IFERROR(G97/F97-1,"--")</f>
        <v>--</v>
      </c>
      <c r="H98" s="312" t="str">
        <f t="shared" si="140"/>
        <v>--</v>
      </c>
      <c r="I98" s="312" t="str">
        <f t="shared" si="140"/>
        <v>--</v>
      </c>
      <c r="J98" s="166"/>
      <c r="K98" s="312" t="str">
        <f>IFERROR(K97/I97-1,"--")</f>
        <v>--</v>
      </c>
      <c r="L98" s="312" t="str">
        <f t="shared" ref="L98:N98" si="141">IFERROR(L97/K97-1,"--")</f>
        <v>--</v>
      </c>
      <c r="M98" s="312" t="str">
        <f t="shared" si="141"/>
        <v>--</v>
      </c>
      <c r="N98" s="312" t="str">
        <f t="shared" si="141"/>
        <v>--</v>
      </c>
      <c r="O98" s="313" t="str">
        <f>IFERROR(O97/J97-1,"--")</f>
        <v>--</v>
      </c>
      <c r="P98" s="312" t="str">
        <f>IFERROR(P97/N97-1,"--")</f>
        <v>--</v>
      </c>
      <c r="Q98" s="312" t="str">
        <f t="shared" ref="Q98:S98" si="142">IFERROR(Q97/P97-1,"--")</f>
        <v>--</v>
      </c>
      <c r="R98" s="312" t="str">
        <f t="shared" si="142"/>
        <v>--</v>
      </c>
      <c r="S98" s="312" t="str">
        <f t="shared" si="142"/>
        <v>--</v>
      </c>
      <c r="T98" s="313" t="str">
        <f>IFERROR(T97/O97-1,"--")</f>
        <v>--</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0</v>
      </c>
      <c r="G103" s="311">
        <f t="shared" si="143"/>
        <v>0</v>
      </c>
      <c r="H103" s="311">
        <f t="shared" si="143"/>
        <v>0</v>
      </c>
      <c r="I103" s="311">
        <f t="shared" si="143"/>
        <v>0</v>
      </c>
      <c r="J103" s="284">
        <f t="shared" si="143"/>
        <v>0</v>
      </c>
      <c r="K103" s="311">
        <f t="shared" si="143"/>
        <v>0</v>
      </c>
      <c r="L103" s="311">
        <f t="shared" si="143"/>
        <v>0</v>
      </c>
      <c r="M103" s="311">
        <f t="shared" si="143"/>
        <v>0</v>
      </c>
      <c r="N103" s="311">
        <f t="shared" si="143"/>
        <v>0</v>
      </c>
      <c r="O103" s="284">
        <f t="shared" si="143"/>
        <v>0</v>
      </c>
      <c r="P103" s="311">
        <f t="shared" si="143"/>
        <v>0</v>
      </c>
      <c r="Q103" s="311">
        <f t="shared" si="143"/>
        <v>0</v>
      </c>
      <c r="R103" s="311">
        <f t="shared" si="143"/>
        <v>0</v>
      </c>
      <c r="S103" s="311">
        <f t="shared" si="143"/>
        <v>0</v>
      </c>
      <c r="T103" s="284">
        <f t="shared" si="143"/>
        <v>0</v>
      </c>
      <c r="U103" s="283">
        <f t="shared" ref="U103:X103" si="144">U104*U109</f>
        <v>0</v>
      </c>
      <c r="V103" s="283">
        <f t="shared" si="144"/>
        <v>0</v>
      </c>
      <c r="W103" s="283">
        <f t="shared" si="144"/>
        <v>0</v>
      </c>
      <c r="X103" s="283">
        <f t="shared" si="144"/>
        <v>0</v>
      </c>
      <c r="Y103" s="284">
        <f t="shared" ref="Y103:Y104" si="145">SUM(U103:X103)</f>
        <v>0</v>
      </c>
      <c r="Z103" s="283">
        <f t="shared" ref="Z103:AC103" si="146">Z104*Z109</f>
        <v>0</v>
      </c>
      <c r="AA103" s="283">
        <f t="shared" si="146"/>
        <v>0</v>
      </c>
      <c r="AB103" s="283">
        <f t="shared" si="146"/>
        <v>0</v>
      </c>
      <c r="AC103" s="283">
        <f t="shared" si="146"/>
        <v>0</v>
      </c>
      <c r="AD103" s="284">
        <f t="shared" ref="AD103:AD104" si="147">SUM(Z103:AC103)</f>
        <v>0</v>
      </c>
      <c r="AE103" s="284">
        <f t="shared" ref="AE103:AG103" si="148">AE104*AE109</f>
        <v>0</v>
      </c>
      <c r="AF103" s="284">
        <f t="shared" si="148"/>
        <v>0</v>
      </c>
      <c r="AG103" s="284">
        <f t="shared" si="148"/>
        <v>0</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v>
      </c>
      <c r="G109" s="311">
        <f t="shared" si="157"/>
        <v>0</v>
      </c>
      <c r="H109" s="311">
        <f t="shared" si="157"/>
        <v>0</v>
      </c>
      <c r="I109" s="311">
        <f t="shared" si="157"/>
        <v>0</v>
      </c>
      <c r="J109" s="284">
        <f t="shared" si="157"/>
        <v>0</v>
      </c>
      <c r="K109" s="311">
        <f t="shared" si="157"/>
        <v>0</v>
      </c>
      <c r="L109" s="311">
        <f t="shared" si="157"/>
        <v>0</v>
      </c>
      <c r="M109" s="311">
        <f t="shared" si="157"/>
        <v>0</v>
      </c>
      <c r="N109" s="311">
        <f t="shared" si="157"/>
        <v>0</v>
      </c>
      <c r="O109" s="284">
        <f t="shared" si="157"/>
        <v>0</v>
      </c>
      <c r="P109" s="311">
        <f t="shared" si="157"/>
        <v>0</v>
      </c>
      <c r="Q109" s="311">
        <f t="shared" si="157"/>
        <v>0</v>
      </c>
      <c r="R109" s="311">
        <f t="shared" si="157"/>
        <v>0</v>
      </c>
      <c r="S109" s="311">
        <f t="shared" si="157"/>
        <v>0</v>
      </c>
      <c r="T109" s="284">
        <f t="shared" si="157"/>
        <v>0</v>
      </c>
      <c r="U109" s="283">
        <f>S109*(1+U110)</f>
        <v>0</v>
      </c>
      <c r="V109" s="283">
        <f t="shared" ref="V109" si="158">U109*(1+V110)</f>
        <v>0</v>
      </c>
      <c r="W109" s="283">
        <f t="shared" ref="W109" si="159">V109*(1+W110)</f>
        <v>0</v>
      </c>
      <c r="X109" s="283">
        <f t="shared" ref="X109" si="160">W109*(1+X110)</f>
        <v>0</v>
      </c>
      <c r="Y109" s="284">
        <f>Y103/Y104</f>
        <v>0</v>
      </c>
      <c r="Z109" s="283">
        <f>X109*(1+Z110)</f>
        <v>0</v>
      </c>
      <c r="AA109" s="283">
        <f t="shared" ref="AA109:AC109" si="161">Z109*(1+AA110)</f>
        <v>0</v>
      </c>
      <c r="AB109" s="283">
        <f t="shared" si="161"/>
        <v>0</v>
      </c>
      <c r="AC109" s="283">
        <f t="shared" si="161"/>
        <v>0</v>
      </c>
      <c r="AD109" s="284">
        <f>AD103/AD104</f>
        <v>0</v>
      </c>
      <c r="AE109" s="284">
        <f t="shared" ref="AE109:AG109" si="162">AD109*(1+AE110)</f>
        <v>0</v>
      </c>
      <c r="AF109" s="284">
        <f t="shared" si="162"/>
        <v>0</v>
      </c>
      <c r="AG109" s="284">
        <f t="shared" si="162"/>
        <v>0</v>
      </c>
      <c r="AH109" s="8"/>
      <c r="AI109" s="8"/>
      <c r="AJ109" s="8"/>
    </row>
    <row r="110" ht="12.75" customHeight="1" hidden="1" spans="1:36" x14ac:dyDescent="0.25" outlineLevel="1" collapsed="1">
      <c r="A110" s="8"/>
      <c r="B110" s="8"/>
      <c r="C110" s="111" t="s">
        <v>245</v>
      </c>
      <c r="D110" s="8"/>
      <c r="E110" s="166"/>
      <c r="F110" s="315"/>
      <c r="G110" s="312" t="str">
        <f t="shared" ref="G110:I110" si="163">IFERROR(G109/F109-1,"--")</f>
        <v>--</v>
      </c>
      <c r="H110" s="312" t="str">
        <f t="shared" si="163"/>
        <v>--</v>
      </c>
      <c r="I110" s="312" t="str">
        <f t="shared" si="163"/>
        <v>--</v>
      </c>
      <c r="J110" s="166"/>
      <c r="K110" s="312" t="str">
        <f>IFERROR(K109/I109-1,"--")</f>
        <v>--</v>
      </c>
      <c r="L110" s="312" t="str">
        <f t="shared" ref="L110:N110" si="164">IFERROR(L109/K109-1,"--")</f>
        <v>--</v>
      </c>
      <c r="M110" s="312" t="str">
        <f t="shared" si="164"/>
        <v>--</v>
      </c>
      <c r="N110" s="312" t="str">
        <f t="shared" si="164"/>
        <v>--</v>
      </c>
      <c r="O110" s="313" t="str">
        <f>IFERROR(O109/J109-1,"--")</f>
        <v>--</v>
      </c>
      <c r="P110" s="312" t="str">
        <f>IFERROR(P109/N109-1,"--")</f>
        <v>--</v>
      </c>
      <c r="Q110" s="312" t="str">
        <f t="shared" ref="Q110:S110" si="165">IFERROR(Q109/P109-1,"--")</f>
        <v>--</v>
      </c>
      <c r="R110" s="312" t="str">
        <f t="shared" si="165"/>
        <v>--</v>
      </c>
      <c r="S110" s="312" t="str">
        <f t="shared" si="165"/>
        <v>--</v>
      </c>
      <c r="T110" s="313" t="str">
        <f>IFERROR(T109/O109-1,"--")</f>
        <v>--</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0</v>
      </c>
      <c r="G165" s="311">
        <f t="shared" si="258"/>
        <v>0</v>
      </c>
      <c r="H165" s="311">
        <f t="shared" si="258"/>
        <v>0</v>
      </c>
      <c r="I165" s="311">
        <f t="shared" si="258"/>
        <v>0</v>
      </c>
      <c r="J165" s="284">
        <f t="shared" si="258"/>
        <v>0</v>
      </c>
      <c r="K165" s="311">
        <f t="shared" si="258"/>
        <v>0</v>
      </c>
      <c r="L165" s="311">
        <f t="shared" si="258"/>
        <v>0</v>
      </c>
      <c r="M165" s="311">
        <f t="shared" si="258"/>
        <v>0</v>
      </c>
      <c r="N165" s="311">
        <f t="shared" si="258"/>
        <v>0</v>
      </c>
      <c r="O165" s="284">
        <f t="shared" si="258"/>
        <v>0</v>
      </c>
      <c r="P165" s="311">
        <f t="shared" si="258"/>
        <v>0</v>
      </c>
      <c r="Q165" s="311">
        <f t="shared" si="258"/>
        <v>0</v>
      </c>
      <c r="R165" s="311">
        <f t="shared" si="258"/>
        <v>0</v>
      </c>
      <c r="S165" s="311">
        <f t="shared" si="258"/>
        <v>0</v>
      </c>
      <c r="T165" s="284">
        <f t="shared" si="258"/>
        <v>0</v>
      </c>
      <c r="U165" s="283">
        <f t="shared" ref="U165:X165" si="259">U167/U172</f>
        <v>-992.6</v>
      </c>
      <c r="V165" s="283">
        <f t="shared" si="259"/>
        <v>-1042.2300000000002</v>
      </c>
      <c r="W165" s="283">
        <f t="shared" si="259"/>
        <v>-1094.3415000000002</v>
      </c>
      <c r="X165" s="283">
        <f t="shared" si="259"/>
        <v>-1149.0585750000002</v>
      </c>
      <c r="Y165" s="284">
        <f>SUM(U165:X165)</f>
        <v>-4278.230075</v>
      </c>
      <c r="Z165" s="283">
        <f t="shared" ref="Z165:AC165" si="260">Z167/Z172</f>
        <v>-1206.5115037500004</v>
      </c>
      <c r="AA165" s="283">
        <f t="shared" si="260"/>
        <v>-1266.8370789375006</v>
      </c>
      <c r="AB165" s="283">
        <f t="shared" si="260"/>
        <v>-1330.1789328843756</v>
      </c>
      <c r="AC165" s="283">
        <f t="shared" si="260"/>
        <v>-1396.6878795285945</v>
      </c>
      <c r="AD165" s="284">
        <f>SUM(Z165:AC165)</f>
        <v>-5200.215395100471</v>
      </c>
      <c r="AE165" s="284">
        <f t="shared" ref="AE165:AG165" si="261">AE167/AE172</f>
        <v>-5460.226164855495</v>
      </c>
      <c r="AF165" s="284">
        <f t="shared" si="261"/>
        <v>-5733.23747309827</v>
      </c>
      <c r="AG165" s="284">
        <f t="shared" si="261"/>
        <v>-6019.899346753184</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v>
      </c>
      <c r="U166" s="323">
        <f>S166+U167-U165</f>
        <v>57414.15</v>
      </c>
      <c r="V166" s="323">
        <f t="shared" ref="V166" si="262">U166+V167-V165</f>
        <v>57674.707500000004</v>
      </c>
      <c r="W166" s="323">
        <f t="shared" ref="W166" si="263">V166+W167-W165</f>
        <v>57948.29287500001</v>
      </c>
      <c r="X166" s="323">
        <f t="shared" ref="X166" si="264">W166+X167-X165</f>
        <v>58235.55751875001</v>
      </c>
      <c r="Y166" s="322">
        <f>T166+Y167-Y165</f>
        <v>58235.55751875</v>
      </c>
      <c r="Z166" s="323">
        <f>X166+Z167-Z165</f>
        <v>58537.185394687505</v>
      </c>
      <c r="AA166" s="323">
        <f t="shared" ref="AA166:AC166" si="265">Z166+AA167-AA165</f>
        <v>58853.89466442188</v>
      </c>
      <c r="AB166" s="323">
        <f t="shared" si="265"/>
        <v>59186.43939764297</v>
      </c>
      <c r="AC166" s="323">
        <f t="shared" si="265"/>
        <v>59535.61136752512</v>
      </c>
      <c r="AD166" s="322">
        <f>Y166+AD167-AD165</f>
        <v>59535.61136752512</v>
      </c>
      <c r="AE166" s="322">
        <f t="shared" ref="AE166:AG166" si="266">AD166+AE167-AE165</f>
        <v>60900.667908738986</v>
      </c>
      <c r="AF166" s="322">
        <f t="shared" si="266"/>
        <v>62333.97727701355</v>
      </c>
      <c r="AG166" s="322">
        <f t="shared" si="266"/>
        <v>63838.952113701846</v>
      </c>
      <c r="AH166" s="8"/>
      <c r="AI166" s="8"/>
      <c r="AJ166" s="8"/>
    </row>
    <row r="167" ht="12.75" customHeight="1" hidden="1" spans="1:36" x14ac:dyDescent="0.25" outlineLevel="1" collapsed="1">
      <c r="A167" s="8"/>
      <c r="B167" s="8"/>
      <c r="C167" s="131" t="s">
        <v>247</v>
      </c>
      <c r="D167" s="8"/>
      <c r="E167" s="8"/>
      <c r="F167" s="327">
        <f>F166+F165-(45187+12488)</f>
        <v>-1362</v>
      </c>
      <c r="G167" s="327">
        <f t="shared" ref="G167:I167" si="267">G166+G165-F166</f>
        <v>-957</v>
      </c>
      <c r="H167" s="327">
        <f t="shared" si="267"/>
        <v>-2333</v>
      </c>
      <c r="I167" s="327">
        <f t="shared" si="267"/>
        <v>4111</v>
      </c>
      <c r="J167" s="322">
        <f>SUM(F167:I167)</f>
        <v>-541</v>
      </c>
      <c r="K167" s="327">
        <f t="shared" ref="K167:N167" si="268">K166+K165-J166</f>
        <v>5474</v>
      </c>
      <c r="L167" s="327">
        <f t="shared" si="268"/>
        <v>-4268</v>
      </c>
      <c r="M167" s="327">
        <f t="shared" si="268"/>
        <v>-12488</v>
      </c>
      <c r="N167" s="327">
        <f t="shared" si="268"/>
        <v>3725</v>
      </c>
      <c r="O167" s="322">
        <f>SUM(K167:N167)</f>
        <v>-7557</v>
      </c>
      <c r="P167" s="327">
        <f t="shared" ref="P167:S167" si="269">P166+P165-O166</f>
        <v>827</v>
      </c>
      <c r="Q167" s="327">
        <f t="shared" si="269"/>
        <v>1521</v>
      </c>
      <c r="R167" s="327">
        <f t="shared" si="269"/>
        <v>5950</v>
      </c>
      <c r="S167" s="327">
        <f t="shared" si="269"/>
        <v>-709</v>
      </c>
      <c r="T167" s="322">
        <f>SUM(P167:S167)</f>
        <v>7589</v>
      </c>
      <c r="U167" s="323">
        <f>S167*(1+U168)</f>
        <v>-744.45</v>
      </c>
      <c r="V167" s="323">
        <f t="shared" ref="V167" si="270">U167*(1+V168)</f>
        <v>-781.6725000000001</v>
      </c>
      <c r="W167" s="323">
        <f t="shared" ref="W167" si="271">V167*(1+W168)</f>
        <v>-820.7561250000002</v>
      </c>
      <c r="X167" s="323">
        <f t="shared" ref="X167" si="272">W167*(1+X168)</f>
        <v>-861.7939312500002</v>
      </c>
      <c r="Y167" s="322">
        <f>SUM(U167:X167)</f>
        <v>-3208.6725562500005</v>
      </c>
      <c r="Z167" s="323">
        <f>X167*(1+Z168)</f>
        <v>-904.8836278125003</v>
      </c>
      <c r="AA167" s="323">
        <f t="shared" ref="AA167:AC167" si="273">Z167*(1+AA168)</f>
        <v>-950.1278092031254</v>
      </c>
      <c r="AB167" s="323">
        <f t="shared" si="273"/>
        <v>-997.6341996632817</v>
      </c>
      <c r="AC167" s="323">
        <f t="shared" si="273"/>
        <v>-1047.5159096464458</v>
      </c>
      <c r="AD167" s="322">
        <f>SUM(Z167:AC167)</f>
        <v>-3900.1615463253534</v>
      </c>
      <c r="AE167" s="322">
        <f t="shared" ref="AE167:AG167" si="274">AD167*(1+AE168)</f>
        <v>-4095.169623641621</v>
      </c>
      <c r="AF167" s="322">
        <f t="shared" si="274"/>
        <v>-4299.928104823703</v>
      </c>
      <c r="AG167" s="322">
        <f t="shared" si="274"/>
        <v>-4514.924510064888</v>
      </c>
      <c r="AH167" s="8"/>
      <c r="AI167" s="8"/>
      <c r="AJ167" s="8"/>
    </row>
    <row r="168" ht="12.75" customHeight="1" hidden="1" spans="1:36" x14ac:dyDescent="0.25" outlineLevel="1" collapsed="1">
      <c r="A168" s="8"/>
      <c r="B168" s="8"/>
      <c r="C168" s="111" t="s">
        <v>248</v>
      </c>
      <c r="D168" s="8"/>
      <c r="E168" s="8"/>
      <c r="F168" s="315"/>
      <c r="G168" s="312">
        <f t="shared" ref="G168:I168" si="275">IFERROR(G167/F167-1,"--")</f>
        <v>-0.2973568281938326</v>
      </c>
      <c r="H168" s="312">
        <f t="shared" si="275"/>
        <v>1.4378265412748172</v>
      </c>
      <c r="I168" s="312">
        <f t="shared" si="275"/>
        <v>-2.7621088726960994</v>
      </c>
      <c r="J168" s="166"/>
      <c r="K168" s="312">
        <f>IFERROR(K167/I167-1,"--")</f>
        <v>0.331549501337874</v>
      </c>
      <c r="L168" s="312">
        <f t="shared" ref="L168:N168" si="276">IFERROR(L167/K167-1,"--")</f>
        <v>-1.7796857873584218</v>
      </c>
      <c r="M168" s="312">
        <f t="shared" si="276"/>
        <v>1.9259606373008435</v>
      </c>
      <c r="N168" s="312">
        <f t="shared" si="276"/>
        <v>-1.2982863549007047</v>
      </c>
      <c r="O168" s="313">
        <f>IFERROR(O167/J167-1,"--")</f>
        <v>12.968576709796674</v>
      </c>
      <c r="P168" s="312">
        <f>IFERROR(P167/N167-1,"--")</f>
        <v>-0.777986577181208</v>
      </c>
      <c r="Q168" s="312">
        <f t="shared" ref="Q168:S168" si="277">IFERROR(Q167/P167-1,"--")</f>
        <v>0.8391777509068923</v>
      </c>
      <c r="R168" s="312">
        <f t="shared" si="277"/>
        <v>2.9119000657462197</v>
      </c>
      <c r="S168" s="312">
        <f t="shared" si="277"/>
        <v>-1.1191596638655463</v>
      </c>
      <c r="T168" s="313">
        <f>IFERROR(T167/O167-1,"--")</f>
        <v>-2.0042344845838294</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t="e">
        <f t="shared" ref="F172:T172" si="278">F167/F165</f>
        <v>#DIV/0!</v>
      </c>
      <c r="G172" s="328" t="e">
        <f t="shared" si="278"/>
        <v>#DIV/0!</v>
      </c>
      <c r="H172" s="328" t="e">
        <f t="shared" si="278"/>
        <v>#DIV/0!</v>
      </c>
      <c r="I172" s="328" t="e">
        <f t="shared" si="278"/>
        <v>#DIV/0!</v>
      </c>
      <c r="J172" s="329" t="e">
        <f t="shared" si="278"/>
        <v>#DIV/0!</v>
      </c>
      <c r="K172" s="328" t="e">
        <f t="shared" si="278"/>
        <v>#DIV/0!</v>
      </c>
      <c r="L172" s="328" t="e">
        <f t="shared" si="278"/>
        <v>#DIV/0!</v>
      </c>
      <c r="M172" s="328" t="e">
        <f t="shared" si="278"/>
        <v>#DIV/0!</v>
      </c>
      <c r="N172" s="328" t="e">
        <f t="shared" si="278"/>
        <v>#DIV/0!</v>
      </c>
      <c r="O172" s="329" t="e">
        <f t="shared" si="278"/>
        <v>#DIV/0!</v>
      </c>
      <c r="P172" s="328" t="e">
        <f t="shared" si="278"/>
        <v>#DIV/0!</v>
      </c>
      <c r="Q172" s="328" t="e">
        <f t="shared" si="278"/>
        <v>#DIV/0!</v>
      </c>
      <c r="R172" s="328" t="e">
        <f t="shared" si="278"/>
        <v>#DIV/0!</v>
      </c>
      <c r="S172" s="328" t="e">
        <f t="shared" si="278"/>
        <v>#DIV/0!</v>
      </c>
      <c r="T172" s="329" t="e">
        <f t="shared" si="278"/>
        <v>#DIV/0!</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0</v>
      </c>
      <c r="G177" s="311">
        <f t="shared" si="279"/>
        <v>0</v>
      </c>
      <c r="H177" s="311">
        <f t="shared" si="279"/>
        <v>0</v>
      </c>
      <c r="I177" s="311">
        <f t="shared" si="279"/>
        <v>0</v>
      </c>
      <c r="J177" s="284">
        <f t="shared" si="279"/>
        <v>0</v>
      </c>
      <c r="K177" s="311">
        <f t="shared" si="279"/>
        <v>0</v>
      </c>
      <c r="L177" s="311">
        <f t="shared" si="279"/>
        <v>0</v>
      </c>
      <c r="M177" s="311">
        <f t="shared" si="279"/>
        <v>0</v>
      </c>
      <c r="N177" s="311">
        <f t="shared" si="279"/>
        <v>0</v>
      </c>
      <c r="O177" s="284">
        <f t="shared" si="279"/>
        <v>0</v>
      </c>
      <c r="P177" s="311">
        <f t="shared" si="279"/>
        <v>0</v>
      </c>
      <c r="Q177" s="311">
        <f t="shared" si="279"/>
        <v>0</v>
      </c>
      <c r="R177" s="311">
        <f t="shared" si="279"/>
        <v>0</v>
      </c>
      <c r="S177" s="311">
        <f t="shared" si="279"/>
        <v>0</v>
      </c>
      <c r="T177" s="284">
        <f t="shared" si="279"/>
        <v>0</v>
      </c>
      <c r="U177" s="283">
        <f t="shared" ref="U177:X177" si="280">U179/U184</f>
        <v>-635.88</v>
      </c>
      <c r="V177" s="283">
        <f t="shared" si="280"/>
        <v>-667.6740000000001</v>
      </c>
      <c r="W177" s="283">
        <f t="shared" si="280"/>
        <v>-701.0577000000001</v>
      </c>
      <c r="X177" s="283">
        <f t="shared" si="280"/>
        <v>-736.1105850000001</v>
      </c>
      <c r="Y177" s="284">
        <f>SUM(U177:X177)</f>
        <v>-2740.7222850000003</v>
      </c>
      <c r="Z177" s="283">
        <f t="shared" ref="Z177:AC177" si="281">Z179/Z184</f>
        <v>-772.9161142500002</v>
      </c>
      <c r="AA177" s="283">
        <f t="shared" si="281"/>
        <v>-811.5619199625003</v>
      </c>
      <c r="AB177" s="283">
        <f t="shared" si="281"/>
        <v>-852.1400159606253</v>
      </c>
      <c r="AC177" s="283">
        <f t="shared" si="281"/>
        <v>-894.7470167586567</v>
      </c>
      <c r="AD177" s="284">
        <f>SUM(Z177:AC177)</f>
        <v>-3331.3650669317826</v>
      </c>
      <c r="AE177" s="284">
        <f t="shared" ref="AE177:AG177" si="282">AE179/AE184</f>
        <v>-3497.933320278372</v>
      </c>
      <c r="AF177" s="284">
        <f t="shared" si="282"/>
        <v>-3672.8299862922904</v>
      </c>
      <c r="AG177" s="284">
        <f t="shared" si="282"/>
        <v>-3856.471485606905</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412148.03</v>
      </c>
      <c r="V178" s="323">
        <f t="shared" ref="V178" si="283">U178+V179-V177</f>
        <v>411981.1115</v>
      </c>
      <c r="W178" s="323">
        <f t="shared" ref="W178" si="284">V178+W179-W177</f>
        <v>411805.847075</v>
      </c>
      <c r="X178" s="323">
        <f t="shared" ref="X178" si="285">W178+X179-X177</f>
        <v>411621.81942875</v>
      </c>
      <c r="Y178" s="322">
        <f>T178+Y179-Y177</f>
        <v>411621.81942875</v>
      </c>
      <c r="Z178" s="323">
        <f>X178+Z179-Z177</f>
        <v>411428.59040018753</v>
      </c>
      <c r="AA178" s="323">
        <f t="shared" ref="AA178:AC178" si="286">Z178+AA179-AA177</f>
        <v>411225.6999201969</v>
      </c>
      <c r="AB178" s="323">
        <f t="shared" si="286"/>
        <v>411012.66491620673</v>
      </c>
      <c r="AC178" s="323">
        <f t="shared" si="286"/>
        <v>410788.97816201707</v>
      </c>
      <c r="AD178" s="322">
        <f>Y178+AD179-AD177</f>
        <v>410788.97816201707</v>
      </c>
      <c r="AE178" s="322">
        <f t="shared" ref="AE178:AG178" si="287">AD178+AE179-AE177</f>
        <v>409914.49483194744</v>
      </c>
      <c r="AF178" s="322">
        <f t="shared" si="287"/>
        <v>408996.28733537433</v>
      </c>
      <c r="AG178" s="322">
        <f t="shared" si="287"/>
        <v>408032.1694639726</v>
      </c>
      <c r="AH178" s="8"/>
      <c r="AI178" s="8"/>
      <c r="AJ178" s="8"/>
    </row>
    <row r="179" ht="12.75" customHeight="1" hidden="1" spans="1:36" x14ac:dyDescent="0.25" outlineLevel="1" collapsed="1">
      <c r="A179" s="8"/>
      <c r="B179" s="8"/>
      <c r="C179" s="131" t="s">
        <v>247</v>
      </c>
      <c r="D179" s="8"/>
      <c r="E179" s="8"/>
      <c r="F179" s="321">
        <f>F178+F177-(431408+216)</f>
        <v>-8010</v>
      </c>
      <c r="G179" s="321">
        <f t="shared" ref="G179:I179" si="288">G178+G177-F178</f>
        <v>-6756</v>
      </c>
      <c r="H179" s="321">
        <f t="shared" si="288"/>
        <v>-7883</v>
      </c>
      <c r="I179" s="321">
        <f t="shared" si="288"/>
        <v>7383</v>
      </c>
      <c r="J179" s="322">
        <f>SUM(F179:I179)</f>
        <v>-15266</v>
      </c>
      <c r="K179" s="321">
        <f t="shared" ref="K179:N179" si="289">K178+K177-J178</f>
        <v>538</v>
      </c>
      <c r="L179" s="321">
        <f t="shared" si="289"/>
        <v>6926</v>
      </c>
      <c r="M179" s="321">
        <f t="shared" si="289"/>
        <v>-11637</v>
      </c>
      <c r="N179" s="321">
        <f t="shared" si="289"/>
        <v>9160</v>
      </c>
      <c r="O179" s="322">
        <f>SUM(K179:N179)</f>
        <v>4987</v>
      </c>
      <c r="P179" s="321">
        <f t="shared" ref="P179:S179" si="290">P178+P177-O178</f>
        <v>-5968</v>
      </c>
      <c r="Q179" s="321">
        <f t="shared" si="290"/>
        <v>346</v>
      </c>
      <c r="R179" s="321">
        <f t="shared" si="290"/>
        <v>-2659</v>
      </c>
      <c r="S179" s="321">
        <f t="shared" si="290"/>
        <v>-757</v>
      </c>
      <c r="T179" s="322">
        <f>SUM(P179:S179)</f>
        <v>-9038</v>
      </c>
      <c r="U179" s="323">
        <f>S179*(1+U180)</f>
        <v>-794.85</v>
      </c>
      <c r="V179" s="323">
        <f t="shared" ref="V179" si="291">U179*(1+V180)</f>
        <v>-834.5925000000001</v>
      </c>
      <c r="W179" s="323">
        <f t="shared" ref="W179" si="292">V179*(1+W180)</f>
        <v>-876.3221250000001</v>
      </c>
      <c r="X179" s="323">
        <f t="shared" ref="X179" si="293">W179*(1+X180)</f>
        <v>-920.1382312500002</v>
      </c>
      <c r="Y179" s="322">
        <f>SUM(U179:X179)</f>
        <v>-3425.9028562500007</v>
      </c>
      <c r="Z179" s="323">
        <f>X179*(1+Z180)</f>
        <v>-966.1451428125002</v>
      </c>
      <c r="AA179" s="323">
        <f t="shared" ref="AA179:AC179" si="294">Z179*(1+AA180)</f>
        <v>-1014.4523999531253</v>
      </c>
      <c r="AB179" s="323">
        <f t="shared" si="294"/>
        <v>-1065.1750199507817</v>
      </c>
      <c r="AC179" s="323">
        <f t="shared" si="294"/>
        <v>-1118.433770948321</v>
      </c>
      <c r="AD179" s="322">
        <f>SUM(Z179:AC179)</f>
        <v>-4164.206333664728</v>
      </c>
      <c r="AE179" s="322">
        <f t="shared" ref="AE179:AG179" si="295">AD179*(1+AE180)</f>
        <v>-4372.416650347965</v>
      </c>
      <c r="AF179" s="322">
        <f t="shared" si="295"/>
        <v>-4591.037482865363</v>
      </c>
      <c r="AG179" s="322">
        <f t="shared" si="295"/>
        <v>-4820.589357008631</v>
      </c>
      <c r="AH179" s="8"/>
      <c r="AI179" s="8"/>
      <c r="AJ179" s="8"/>
    </row>
    <row r="180" ht="12.75" customHeight="1" hidden="1" spans="1:36" x14ac:dyDescent="0.25" outlineLevel="1" collapsed="1">
      <c r="A180" s="8"/>
      <c r="B180" s="8"/>
      <c r="C180" s="111" t="s">
        <v>248</v>
      </c>
      <c r="D180" s="8"/>
      <c r="E180" s="8"/>
      <c r="F180" s="315"/>
      <c r="G180" s="312">
        <f t="shared" ref="G180:I180" si="296">IFERROR(G179/F179-1,"--")</f>
        <v>-0.15655430711610485</v>
      </c>
      <c r="H180" s="312">
        <f t="shared" si="296"/>
        <v>0.16681468324452342</v>
      </c>
      <c r="I180" s="312">
        <f t="shared" si="296"/>
        <v>-1.9365723709247749</v>
      </c>
      <c r="J180" s="166"/>
      <c r="K180" s="312">
        <f>IFERROR(K179/I179-1,"--")</f>
        <v>-0.9271298929974265</v>
      </c>
      <c r="L180" s="312">
        <f t="shared" ref="L180:N180" si="297">IFERROR(L179/K179-1,"--")</f>
        <v>11.87360594795539</v>
      </c>
      <c r="M180" s="312">
        <f t="shared" si="297"/>
        <v>-2.680190586196939</v>
      </c>
      <c r="N180" s="312">
        <f t="shared" si="297"/>
        <v>-1.7871444530377245</v>
      </c>
      <c r="O180" s="313">
        <f>IFERROR(O179/J179-1,"--")</f>
        <v>-1.3266736538713482</v>
      </c>
      <c r="P180" s="312">
        <f>IFERROR(P179/N179-1,"--")</f>
        <v>-1.6515283842794761</v>
      </c>
      <c r="Q180" s="312">
        <f t="shared" ref="Q180:S180" si="298">IFERROR(Q179/P179-1,"--")</f>
        <v>-1.0579758713136729</v>
      </c>
      <c r="R180" s="312">
        <f t="shared" si="298"/>
        <v>-8.684971098265896</v>
      </c>
      <c r="S180" s="312">
        <f t="shared" si="298"/>
        <v>-0.7153065062053403</v>
      </c>
      <c r="T180" s="313">
        <f>IFERROR(T179/O179-1,"--")</f>
        <v>-2.8123120112291957</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t="e">
        <f t="shared" ref="F184:T184" si="299">F179/F177</f>
        <v>#DIV/0!</v>
      </c>
      <c r="G184" s="335" t="e">
        <f t="shared" si="299"/>
        <v>#DIV/0!</v>
      </c>
      <c r="H184" s="335" t="e">
        <f t="shared" si="299"/>
        <v>#DIV/0!</v>
      </c>
      <c r="I184" s="335" t="e">
        <f t="shared" si="299"/>
        <v>#DIV/0!</v>
      </c>
      <c r="J184" s="336" t="e">
        <f t="shared" si="299"/>
        <v>#DIV/0!</v>
      </c>
      <c r="K184" s="335" t="e">
        <f t="shared" si="299"/>
        <v>#DIV/0!</v>
      </c>
      <c r="L184" s="335" t="e">
        <f t="shared" si="299"/>
        <v>#DIV/0!</v>
      </c>
      <c r="M184" s="335" t="e">
        <f t="shared" si="299"/>
        <v>#DIV/0!</v>
      </c>
      <c r="N184" s="335" t="e">
        <f t="shared" si="299"/>
        <v>#DIV/0!</v>
      </c>
      <c r="O184" s="336" t="e">
        <f t="shared" si="299"/>
        <v>#DIV/0!</v>
      </c>
      <c r="P184" s="335" t="e">
        <f t="shared" si="299"/>
        <v>#DIV/0!</v>
      </c>
      <c r="Q184" s="335" t="e">
        <f t="shared" si="299"/>
        <v>#DIV/0!</v>
      </c>
      <c r="R184" s="335" t="e">
        <f t="shared" si="299"/>
        <v>#DIV/0!</v>
      </c>
      <c r="S184" s="335" t="e">
        <f t="shared" si="299"/>
        <v>#DIV/0!</v>
      </c>
      <c r="T184" s="336" t="e">
        <f t="shared" si="299"/>
        <v>#DIV/0!</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L194" sqref="L194"/>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1780.864</v>
      </c>
      <c r="G28" s="349">
        <f>'Segment Analysis'!G7</f>
        <v>1650.582</v>
      </c>
      <c r="H28" s="349">
        <f>'Segment Analysis'!H7</f>
        <v>2041.6149999999998</v>
      </c>
      <c r="I28" s="349">
        <f>'Segment Analysis'!I7</f>
        <v>1968.238</v>
      </c>
      <c r="J28" s="279">
        <f t="shared" ref="J28:J30" si="7">SUM(F28:I28)</f>
        <v>0</v>
      </c>
      <c r="K28" s="349">
        <f>'Segment Analysis'!K7</f>
        <v>2551.942</v>
      </c>
      <c r="L28" s="349">
        <f>'Segment Analysis'!L7</f>
        <v>2516.296</v>
      </c>
      <c r="M28" s="349">
        <f>'Segment Analysis'!M7</f>
        <v>2595.589</v>
      </c>
      <c r="N28" s="349">
        <f>'Segment Analysis'!N7</f>
        <v>2851.242</v>
      </c>
      <c r="O28" s="279">
        <f t="shared" ref="O28:O30" si="8">SUM(K28:N28)</f>
        <v>0</v>
      </c>
      <c r="P28" s="349">
        <f>'Segment Analysis'!P7</f>
        <v>2472.8639999999996</v>
      </c>
      <c r="Q28" s="349">
        <f>'Segment Analysis'!Q7</f>
        <v>2494.315</v>
      </c>
      <c r="R28" s="349">
        <f>'Segment Analysis'!R7</f>
        <v>2907.674</v>
      </c>
      <c r="S28" s="349">
        <f>'Segment Analysis'!S7</f>
        <v>2948.824</v>
      </c>
      <c r="T28" s="279">
        <f t="shared" ref="T28:T30" si="9">SUM(P28:S28)</f>
        <v>0</v>
      </c>
      <c r="U28" s="278">
        <f>'Segment Analysis'!U7</f>
        <v>0</v>
      </c>
      <c r="V28" s="278">
        <f>'Segment Analysis'!V7</f>
        <v>0</v>
      </c>
      <c r="W28" s="278">
        <f>'Segment Analysis'!W7</f>
        <v>0</v>
      </c>
      <c r="X28" s="278">
        <f>'Segment Analysis'!X7</f>
        <v>0</v>
      </c>
      <c r="Y28" s="279">
        <f t="shared" ref="Y28:Y30" si="10">SUM(U28:X28)</f>
        <v>0</v>
      </c>
      <c r="Z28" s="278">
        <f>'Segment Analysis'!Z7</f>
        <v>0</v>
      </c>
      <c r="AA28" s="278">
        <f>'Segment Analysis'!AA7</f>
        <v>0</v>
      </c>
      <c r="AB28" s="278">
        <f>'Segment Analysis'!AB7</f>
        <v>0</v>
      </c>
      <c r="AC28" s="278">
        <f>'Segment Analysis'!AC7</f>
        <v>0</v>
      </c>
      <c r="AD28" s="279">
        <f t="shared" ref="AD28:AD30" si="11">SUM(Z28:AC28)</f>
        <v>0</v>
      </c>
      <c r="AE28" s="279">
        <f>'Segment Analysis'!AE7</f>
        <v>0</v>
      </c>
      <c r="AF28" s="279">
        <f>'Segment Analysis'!AF7</f>
        <v>0</v>
      </c>
      <c r="AG28" s="279">
        <f>'Segment Analysis'!AG7</f>
        <v>0</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1283.792</v>
      </c>
      <c r="G30" s="349">
        <f t="shared" si="15"/>
        <v>1037.0100000000002</v>
      </c>
      <c r="H30" s="349">
        <f t="shared" si="15"/>
        <v>1182.8089999999997</v>
      </c>
      <c r="I30" s="349">
        <f t="shared" si="15"/>
        <v>1196.7060000000001</v>
      </c>
      <c r="J30" s="279">
        <f t="shared" si="7"/>
        <v>0</v>
      </c>
      <c r="K30" s="349">
        <f t="shared" ref="K30:N30" si="16">SUM(K28:K29)</f>
        <v>1738.203</v>
      </c>
      <c r="L30" s="349">
        <f t="shared" si="16"/>
        <v>1656.4449999999997</v>
      </c>
      <c r="M30" s="349">
        <f t="shared" si="16"/>
        <v>1683.552</v>
      </c>
      <c r="N30" s="349">
        <f t="shared" si="16"/>
        <v>1956.603</v>
      </c>
      <c r="O30" s="279">
        <f t="shared" si="8"/>
        <v>0</v>
      </c>
      <c r="P30" s="349">
        <f t="shared" ref="P30:S30" si="17">SUM(P28:P29)</f>
        <v>1593.0189999999996</v>
      </c>
      <c r="Q30" s="349">
        <f t="shared" si="17"/>
        <v>1634.4470000000001</v>
      </c>
      <c r="R30" s="349">
        <f t="shared" si="17"/>
        <v>2047.432</v>
      </c>
      <c r="S30" s="349">
        <f t="shared" si="17"/>
        <v>2068.853</v>
      </c>
      <c r="T30" s="279">
        <f t="shared" si="9"/>
        <v>0</v>
      </c>
      <c r="U30" s="278">
        <f>IF(Cover!$F$37="Bottom Up",(U36-SUM(U32:U33,U35)),U28+U29)</f>
        <v>-6.5625</v>
      </c>
      <c r="V30" s="278">
        <f>IF(Cover!$F$37="Bottom Up",(V36-SUM(V32:V33,V35)),V28+V29)</f>
        <v>-20.625</v>
      </c>
      <c r="W30" s="278">
        <f>IF(Cover!$F$37="Bottom Up",(W36-SUM(W32:W33,W35)),W28+W29)</f>
        <v>-35.9375</v>
      </c>
      <c r="X30" s="278">
        <f>IF(Cover!$F$37="Bottom Up",(X36-SUM(X32:X33,X35)),X28+X29)</f>
        <v>-48.125</v>
      </c>
      <c r="Y30" s="279">
        <f t="shared" si="10"/>
        <v>-111.25</v>
      </c>
      <c r="Z30" s="278">
        <f>IF(Cover!$F$37="Bottom Up",(Z36-SUM(Z32:Z33,Z35)),Z28+Z29)</f>
        <v>-58.275</v>
      </c>
      <c r="AA30" s="278">
        <f>IF(Cover!$F$37="Bottom Up",(AA36-SUM(AA32:AA33,AA35)),AA28+AA29)</f>
        <v>-71.225</v>
      </c>
      <c r="AB30" s="278">
        <f>IF(Cover!$F$37="Bottom Up",(AB36-SUM(AB32:AB33,AB35)),AB28+AB29)</f>
        <v>-84.175</v>
      </c>
      <c r="AC30" s="278">
        <f>IF(Cover!$F$37="Bottom Up",(AC36-SUM(AC32:AC33,AC35)),AC28+AC29)</f>
        <v>-97.125</v>
      </c>
      <c r="AD30" s="279">
        <f t="shared" si="11"/>
        <v>-310.8</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f>-3860.255-SUM(P32:R32)</f>
        <v>-1080.7790000000005</v>
      </c>
      <c r="T32" s="158">
        <f t="shared" ref="T32:T36" si="20">SUM(P32:S32)</f>
        <v>-3860.255</v>
      </c>
      <c r="U32" s="356">
        <f>U67*U$30</f>
        <v>3.4125</v>
      </c>
      <c r="V32" s="356">
        <f t="shared" ref="V32:X32" si="21">V67*V$30</f>
        <v>10.828125</v>
      </c>
      <c r="W32" s="356">
        <f t="shared" si="21"/>
        <v>18.8671875</v>
      </c>
      <c r="X32" s="356">
        <f t="shared" si="21"/>
        <v>24.784375</v>
      </c>
      <c r="Y32" s="158">
        <f t="shared" ref="Y32:Y36" si="22">SUM(U32:X32)</f>
        <v>57.892187500000006</v>
      </c>
      <c r="Z32" s="356">
        <f>Z67*Z$30</f>
        <v>30.157312499999996</v>
      </c>
      <c r="AA32" s="356">
        <f t="shared" ref="AA32:AC32" si="23">AA67*AA$30</f>
        <v>36.680875</v>
      </c>
      <c r="AB32" s="356">
        <f t="shared" si="23"/>
        <v>42.508375</v>
      </c>
      <c r="AC32" s="356">
        <f t="shared" si="23"/>
        <v>48.076875</v>
      </c>
      <c r="AD32" s="158">
        <f t="shared" ref="AD32:AD36" si="24">SUM(Z32:AC32)</f>
        <v>157.4234375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f>-489.203-85.838-598.187-126.414-335.683-313.821-SUM(P33:R33)</f>
        <v>-544.5130000000001</v>
      </c>
      <c r="T33" s="158">
        <f t="shared" si="20"/>
        <v>-1949.1460000000002</v>
      </c>
      <c r="U33" s="356">
        <f>U68*U$30</f>
        <v>1.55859375</v>
      </c>
      <c r="V33" s="356">
        <f>V68*V$30</f>
        <v>4.95</v>
      </c>
      <c r="W33" s="356">
        <f>W68*W$30</f>
        <v>8.625</v>
      </c>
      <c r="X33" s="356">
        <f>X68*X$30</f>
        <v>12.03125</v>
      </c>
      <c r="Y33" s="158">
        <f t="shared" si="22"/>
        <v>27.16484375</v>
      </c>
      <c r="Z33" s="356">
        <f>Z68*Z$30</f>
        <v>13.985999999999999</v>
      </c>
      <c r="AA33" s="356">
        <f>AA68*AA$30</f>
        <v>16.737875</v>
      </c>
      <c r="AB33" s="356">
        <f>AB68*AB$30</f>
        <v>19.36025</v>
      </c>
      <c r="AC33" s="356">
        <f>AC68*AC$30</f>
        <v>21.853125000000002</v>
      </c>
      <c r="AD33" s="158">
        <f>SUM(Z33:AC33)</f>
        <v>71.93725</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f>-192.281-SUM(P34:R34)</f>
        <v>-55.81</v>
      </c>
      <c r="T34" s="158">
        <f t="shared" si="20"/>
        <v>-192.281</v>
      </c>
      <c r="U34" s="356">
        <f>U76</f>
        <v>0</v>
      </c>
      <c r="V34" s="356">
        <f t="shared" ref="V34:X34" si="26">V76</f>
        <v>0</v>
      </c>
      <c r="W34" s="356">
        <f t="shared" si="26"/>
        <v>0</v>
      </c>
      <c r="X34" s="356">
        <f t="shared" si="26"/>
        <v>0</v>
      </c>
      <c r="Y34" s="158">
        <f t="shared" si="22"/>
        <v>0</v>
      </c>
      <c r="Z34" s="356">
        <f>Z76</f>
        <v>0</v>
      </c>
      <c r="AA34" s="356">
        <f t="shared" ref="AA34:AC34" si="27">AA76</f>
        <v>0</v>
      </c>
      <c r="AB34" s="356">
        <f t="shared" si="27"/>
        <v>0</v>
      </c>
      <c r="AC34" s="356">
        <f t="shared" si="27"/>
        <v>0</v>
      </c>
      <c r="AD34" s="158">
        <f t="shared" si="24"/>
        <v>0</v>
      </c>
      <c r="AE34" s="158">
        <f t="shared" ref="AE34:AG34" si="28">AE76</f>
        <v>0</v>
      </c>
      <c r="AF34" s="158">
        <f t="shared" si="28"/>
        <v>0</v>
      </c>
      <c r="AG34" s="158">
        <f t="shared" si="28"/>
        <v>0</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f>-190.934-280.146-SUM(P35:R35)</f>
        <v>-134.54300000000006</v>
      </c>
      <c r="T35" s="351">
        <f t="shared" si="20"/>
        <v>-471.08000000000004</v>
      </c>
      <c r="U35" s="352">
        <f t="shared" ref="U35:X35" si="29">U69*U$28</f>
        <v>0</v>
      </c>
      <c r="V35" s="352">
        <f t="shared" si="29"/>
        <v>0</v>
      </c>
      <c r="W35" s="352">
        <f t="shared" si="29"/>
        <v>0</v>
      </c>
      <c r="X35" s="352">
        <f t="shared" si="29"/>
        <v>0</v>
      </c>
      <c r="Y35" s="351">
        <f t="shared" si="22"/>
        <v>0</v>
      </c>
      <c r="Z35" s="352">
        <f t="shared" ref="Z35:AC35" si="30">Z69*Z$28</f>
        <v>0</v>
      </c>
      <c r="AA35" s="352">
        <f t="shared" si="30"/>
        <v>0</v>
      </c>
      <c r="AB35" s="352">
        <f t="shared" si="30"/>
        <v>0</v>
      </c>
      <c r="AC35" s="352">
        <f t="shared" si="30"/>
        <v>0</v>
      </c>
      <c r="AD35" s="351">
        <f t="shared" si="24"/>
        <v>0</v>
      </c>
      <c r="AE35" s="351">
        <f t="shared" ref="AE35:AG35" si="31">AE69*AE$28</f>
        <v>0</v>
      </c>
      <c r="AF35" s="351">
        <f t="shared" si="31"/>
        <v>0</v>
      </c>
      <c r="AG35" s="351">
        <f t="shared" si="31"/>
        <v>0</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158.31799999999998</v>
      </c>
      <c r="G36" s="349">
        <f t="shared" si="32"/>
        <v>17.319000000000187</v>
      </c>
      <c r="H36" s="349">
        <f t="shared" si="32"/>
        <v>91.77099999999973</v>
      </c>
      <c r="I36" s="349">
        <f t="shared" si="32"/>
        <v>86.7610000000002</v>
      </c>
      <c r="J36" s="279">
        <f>SUM(F36:I36)</f>
        <v>354.1690000000001</v>
      </c>
      <c r="K36" s="349">
        <f t="shared" ref="K36:N36" si="33">IF($C$34="Depreciation &amp; Amortization (incl. in SG&amp;A)",K30+SUM(K32:K33,K35),K30+SUM(K32:K35))</f>
        <v>220.24199999999996</v>
      </c>
      <c r="L36" s="349">
        <f t="shared" si="33"/>
        <v>227.7539999999999</v>
      </c>
      <c r="M36" s="349">
        <f t="shared" si="33"/>
        <v>252.6869999999999</v>
      </c>
      <c r="N36" s="349">
        <f t="shared" si="33"/>
        <v>304.86300000000006</v>
      </c>
      <c r="O36" s="279">
        <f t="shared" si="19"/>
        <v>1005.5459999999998</v>
      </c>
      <c r="P36" s="349">
        <f t="shared" ref="P36:S36" si="34">IF($C$34="Depreciation &amp; Amortization (incl. in SG&amp;A)",P30+SUM(P32:P33,P35),P30+SUM(P32:P35))</f>
        <v>151.0649999999996</v>
      </c>
      <c r="Q36" s="349">
        <f t="shared" si="34"/>
        <v>134.9010000000003</v>
      </c>
      <c r="R36" s="349">
        <f t="shared" si="34"/>
        <v>331.81500000000005</v>
      </c>
      <c r="S36" s="349">
        <f t="shared" si="34"/>
        <v>253.2079999999994</v>
      </c>
      <c r="T36" s="279">
        <f t="shared" si="20"/>
        <v>-6472.762000000001</v>
      </c>
      <c r="U36" s="278">
        <f>IF(Cover!$F$37="Bottom Up",'Segment Analysis'!U33,IF($C$34="Depreciation &amp; Amortization (incl. in SG&amp;A)",U30+SUM(U32:U33,U35),U30+SUM(U32:U35)))</f>
        <v>-1.5914062500000004</v>
      </c>
      <c r="V36" s="278">
        <f>IF(Cover!$F$37="Bottom Up",'Segment Analysis'!V33,IF($C$34="Depreciation &amp; Amortization (incl. in SG&amp;A)",V30+SUM(V32:V33,V35),V30+SUM(V32:V35)))</f>
        <v>-4.846875000000001</v>
      </c>
      <c r="W36" s="278">
        <f>IF(Cover!$F$37="Bottom Up",'Segment Analysis'!W33,IF($C$34="Depreciation &amp; Amortization (incl. in SG&amp;A)",W30+SUM(W32:W33,W35),W30+SUM(W32:W35)))</f>
        <v>-8.4453125</v>
      </c>
      <c r="X36" s="278">
        <f>IF(Cover!$F$37="Bottom Up",'Segment Analysis'!X33,IF($C$34="Depreciation &amp; Amortization (incl. in SG&amp;A)",X30+SUM(X32:X33,X35),X30+SUM(X32:X35)))</f>
        <v>-11.309375000000003</v>
      </c>
      <c r="Y36" s="279">
        <f t="shared" si="22"/>
        <v>-26.192968750000006</v>
      </c>
      <c r="Z36" s="278">
        <f>IF(Cover!$F$37="Bottom Up",'Segment Analysis'!Z33,IF($C$34="Depreciation &amp; Amortization (incl. in SG&amp;A)",Z30+SUM(Z32:Z33,Z35),Z30+SUM(Z32:Z35)))</f>
        <v>-14.131687500000005</v>
      </c>
      <c r="AA36" s="278">
        <f>IF(Cover!$F$37="Bottom Up",'Segment Analysis'!AA33,IF($C$34="Depreciation &amp; Amortization (incl. in SG&amp;A)",AA30+SUM(AA32:AA33,AA35),AA30+SUM(AA32:AA35)))</f>
        <v>-17.80624999999999</v>
      </c>
      <c r="AB36" s="278">
        <f>IF(Cover!$F$37="Bottom Up",'Segment Analysis'!AB33,IF($C$34="Depreciation &amp; Amortization (incl. in SG&amp;A)",AB30+SUM(AB32:AB33,AB35),AB30+SUM(AB32:AB35)))</f>
        <v>-22.306374999999996</v>
      </c>
      <c r="AC36" s="278">
        <f>IF(Cover!$F$37="Bottom Up",'Segment Analysis'!AC33,IF($C$34="Depreciation &amp; Amortization (incl. in SG&amp;A)",AC30+SUM(AC32:AC33,AC35),AC30+SUM(AC32:AC35)))</f>
        <v>-27.194999999999993</v>
      </c>
      <c r="AD36" s="279">
        <f t="shared" si="24"/>
        <v>-81.43931249999999</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c r="G38" s="360"/>
      <c r="H38" s="360"/>
      <c r="I38" s="360"/>
      <c r="J38" s="158">
        <f t="shared" ref="J38:J42" si="35">SUM(F38:I38)</f>
        <v>0</v>
      </c>
      <c r="K38" s="360"/>
      <c r="L38" s="360"/>
      <c r="M38" s="360"/>
      <c r="N38" s="360"/>
      <c r="O38" s="158">
        <f t="shared" ref="O38:O42" si="36">SUM(K38:N38)</f>
        <v>0</v>
      </c>
      <c r="P38" s="360"/>
      <c r="Q38" s="360"/>
      <c r="R38" s="360"/>
      <c r="S38" s="360"/>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c r="G39" s="365"/>
      <c r="H39" s="365"/>
      <c r="I39" s="365"/>
      <c r="J39" s="366">
        <f t="shared" si="35"/>
        <v>0</v>
      </c>
      <c r="K39" s="365"/>
      <c r="L39" s="365"/>
      <c r="M39" s="365"/>
      <c r="N39" s="365"/>
      <c r="O39" s="366">
        <f t="shared" si="36"/>
        <v>0</v>
      </c>
      <c r="P39" s="365"/>
      <c r="Q39" s="365"/>
      <c r="R39" s="365"/>
      <c r="S39" s="365"/>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c r="G40" s="360"/>
      <c r="H40" s="360"/>
      <c r="I40" s="360"/>
      <c r="J40" s="158">
        <f t="shared" si="35"/>
        <v>0</v>
      </c>
      <c r="K40" s="360"/>
      <c r="L40" s="360"/>
      <c r="M40" s="360"/>
      <c r="N40" s="360"/>
      <c r="O40" s="158">
        <f t="shared" si="36"/>
        <v>0</v>
      </c>
      <c r="P40" s="360"/>
      <c r="Q40" s="360"/>
      <c r="R40" s="360"/>
      <c r="S40" s="360"/>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c r="G41" s="350"/>
      <c r="H41" s="350"/>
      <c r="I41" s="350"/>
      <c r="J41" s="351">
        <f t="shared" si="35"/>
        <v>0</v>
      </c>
      <c r="K41" s="350"/>
      <c r="L41" s="350"/>
      <c r="M41" s="350"/>
      <c r="N41" s="350"/>
      <c r="O41" s="351">
        <f t="shared" si="36"/>
        <v>0</v>
      </c>
      <c r="P41" s="350"/>
      <c r="Q41" s="350"/>
      <c r="R41" s="350"/>
      <c r="S41" s="350"/>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158.31799999999998</v>
      </c>
      <c r="G42" s="349">
        <f t="shared" si="46"/>
        <v>17.319000000000187</v>
      </c>
      <c r="H42" s="349">
        <f t="shared" si="46"/>
        <v>91.77099999999973</v>
      </c>
      <c r="I42" s="349">
        <f>I36+SUM(I38:I41)</f>
        <v>86.7610000000002</v>
      </c>
      <c r="J42" s="279">
        <f t="shared" si="35"/>
        <v>0</v>
      </c>
      <c r="K42" s="349">
        <f t="shared" ref="K42:L42" si="47">K36+SUM(K38:K41)</f>
        <v>220.24199999999996</v>
      </c>
      <c r="L42" s="349">
        <f t="shared" si="47"/>
        <v>227.7539999999999</v>
      </c>
      <c r="M42" s="349">
        <f t="shared" ref="M42:N42" si="48">IF($C$8="On",M36+SUM(M38:M41),IF($C$8="off",M36+SUM(M40:M41),"N/A"))</f>
        <v>252.6869999999999</v>
      </c>
      <c r="N42" s="349">
        <f t="shared" si="48"/>
        <v>304.86300000000006</v>
      </c>
      <c r="O42" s="279">
        <f t="shared" si="36"/>
        <v>0</v>
      </c>
      <c r="P42" s="349">
        <f t="shared" ref="P42:Q42" si="49">P36+SUM(P38:P41)</f>
        <v>151.0649999999996</v>
      </c>
      <c r="Q42" s="349">
        <f t="shared" si="49"/>
        <v>134.9010000000003</v>
      </c>
      <c r="R42" s="349">
        <f t="shared" ref="R42" si="50">IF($C$8="On",R36+SUM(R38:R41),IF($C$8="off",R36+SUM(R40:R41),"N/A"))</f>
        <v>331.81500000000005</v>
      </c>
      <c r="S42" s="349">
        <f t="shared" ref="S42" si="51">IF($C$8="On",S36+SUM(S38:S41),IF($C$8="off",S36+SUM(S40:S41),"N/A"))</f>
        <v>253.2079999999994</v>
      </c>
      <c r="T42" s="279">
        <f t="shared" si="37"/>
        <v>-6472.762000000001</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129.624</v>
      </c>
      <c r="G45" s="349">
        <f t="shared" si="63"/>
        <v>8.084000000000188</v>
      </c>
      <c r="H45" s="349">
        <f t="shared" si="63"/>
        <v>54.64699999999973</v>
      </c>
      <c r="I45" s="349">
        <f>I42+I44</f>
        <v>69.93300000000019</v>
      </c>
      <c r="J45" s="279">
        <f t="shared" si="55"/>
        <v>0</v>
      </c>
      <c r="K45" s="349">
        <f t="shared" ref="K45:N45" si="64">K42+K44</f>
        <v>164.28299999999996</v>
      </c>
      <c r="L45" s="349">
        <f t="shared" si="64"/>
        <v>154.6469999999999</v>
      </c>
      <c r="M45" s="349">
        <f t="shared" si="64"/>
        <v>174.6759999999999</v>
      </c>
      <c r="N45" s="349">
        <f t="shared" si="64"/>
        <v>218.74600000000004</v>
      </c>
      <c r="O45" s="279">
        <f t="shared" si="56"/>
        <v>0</v>
      </c>
      <c r="P45" s="349">
        <f t="shared" ref="P45:S45" si="65">P42+P44</f>
        <v>136.8489999999996</v>
      </c>
      <c r="Q45" s="349">
        <f t="shared" si="65"/>
        <v>91.3950000000003</v>
      </c>
      <c r="R45" s="349">
        <f t="shared" si="65"/>
        <v>242.50400000000005</v>
      </c>
      <c r="S45" s="349">
        <f t="shared" si="65"/>
        <v>215.6709999999994</v>
      </c>
      <c r="T45" s="127">
        <f t="shared" si="57"/>
        <v>-6472.762000000001</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133.91899999999998</v>
      </c>
      <c r="G51" s="349">
        <f t="shared" si="74"/>
        <v>11.795000000000188</v>
      </c>
      <c r="H51" s="349">
        <f t="shared" si="74"/>
        <v>52.11899999999973</v>
      </c>
      <c r="I51" s="349">
        <f t="shared" si="74"/>
        <v>65.1390000000002</v>
      </c>
      <c r="J51" s="279">
        <f>SUM(F51:I51)</f>
        <v>0</v>
      </c>
      <c r="K51" s="349">
        <f t="shared" ref="K51:N51" si="75">SUM(K45:K50)</f>
        <v>149.64099999999996</v>
      </c>
      <c r="L51" s="349">
        <f t="shared" si="75"/>
        <v>145.7359999999999</v>
      </c>
      <c r="M51" s="349">
        <f t="shared" si="75"/>
        <v>167.1279999999999</v>
      </c>
      <c r="N51" s="349">
        <f t="shared" si="75"/>
        <v>206.55400000000003</v>
      </c>
      <c r="O51" s="279">
        <f t="shared" si="70"/>
        <v>0</v>
      </c>
      <c r="P51" s="349">
        <f t="shared" ref="P51:S51" si="76">SUM(P45:P50)</f>
        <v>127.7929999999996</v>
      </c>
      <c r="Q51" s="349">
        <f t="shared" si="76"/>
        <v>88.01700000000031</v>
      </c>
      <c r="R51" s="349">
        <f t="shared" si="76"/>
        <v>223.98600000000005</v>
      </c>
      <c r="S51" s="349">
        <f t="shared" si="76"/>
        <v>190.51899999999938</v>
      </c>
      <c r="T51" s="376">
        <f t="shared" si="71"/>
        <v>-6472.762000000001</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0.5697758241758242</v>
      </c>
      <c r="G53" s="377">
        <f>(G45)/G285</f>
        <v>0.03472508591065373</v>
      </c>
      <c r="H53" s="377">
        <f>(H45)/H285</f>
        <v>0.2502152014652002</v>
      </c>
      <c r="I53" s="377">
        <f>(I45)/I285</f>
        <v>0.2968293718166392</v>
      </c>
      <c r="J53" s="118">
        <f>J45/J285</f>
        <v>0</v>
      </c>
      <c r="K53" s="377">
        <f>(K45)/K285</f>
        <v>0.7292068001242841</v>
      </c>
      <c r="L53" s="377">
        <f>(L45)/L285</f>
        <v>0.6838369902629271</v>
      </c>
      <c r="M53" s="377">
        <f>(M45)/M285</f>
        <v>0.787929090170959</v>
      </c>
      <c r="N53" s="377">
        <f>(N45)/N285</f>
        <v>0.9780728817348537</v>
      </c>
      <c r="O53" s="118">
        <f>O45/O285</f>
        <v>0</v>
      </c>
      <c r="P53" s="377">
        <f>(P45)/P285</f>
        <v>0.6151954614112044</v>
      </c>
      <c r="Q53" s="377">
        <f>(Q45)/Q285</f>
        <v>0.4118932804542805</v>
      </c>
      <c r="R53" s="377">
        <f>(R45)/R285</f>
        <v>1.0889268073641674</v>
      </c>
      <c r="S53" s="377">
        <f>(S45)/S285</f>
        <v>1.0026732249786114</v>
      </c>
      <c r="T53" s="118">
        <f t="shared" ref="T53:X53" si="80">T45/T285</f>
        <v>-29.35047056342914</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0.5697758241758242</v>
      </c>
      <c r="G54" s="377">
        <f>(G45)/G287</f>
        <v>0.03472508591065373</v>
      </c>
      <c r="H54" s="377">
        <f>(H45)/H287</f>
        <v>0.2502152014652002</v>
      </c>
      <c r="I54" s="377">
        <f>(I45)/I287</f>
        <v>0.2968293718166392</v>
      </c>
      <c r="J54" s="118">
        <f>J45/J287</f>
        <v>0</v>
      </c>
      <c r="K54" s="377">
        <f>(K45)/K287</f>
        <v>0.7292068001242841</v>
      </c>
      <c r="L54" s="377">
        <f>(L45)/L287</f>
        <v>0.6838369902629271</v>
      </c>
      <c r="M54" s="377">
        <f>(M45)/M287</f>
        <v>0.787929090170959</v>
      </c>
      <c r="N54" s="377">
        <f>(N45)/N287</f>
        <v>0.9780728817348537</v>
      </c>
      <c r="O54" s="118">
        <f>O45/O287</f>
        <v>0</v>
      </c>
      <c r="P54" s="377">
        <f>(P45)/P287</f>
        <v>0.6151954614112044</v>
      </c>
      <c r="Q54" s="377">
        <f>(Q45)/Q287</f>
        <v>0.4118932804542805</v>
      </c>
      <c r="R54" s="377">
        <f>(R45)/R287</f>
        <v>1.0889268073641674</v>
      </c>
      <c r="S54" s="377">
        <f>(S45)/S287</f>
        <v>0.9682373645317958</v>
      </c>
      <c r="T54" s="118">
        <f t="shared" ref="T54:X54" si="82">T45/T287</f>
        <v>-29.09812718592378</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0.588654945054945</v>
      </c>
      <c r="G56" s="377">
        <f t="shared" si="84"/>
        <v>0.05066580756013826</v>
      </c>
      <c r="H56" s="377">
        <f t="shared" si="84"/>
        <v>0.23864010989010864</v>
      </c>
      <c r="I56" s="377">
        <f t="shared" si="84"/>
        <v>0.27648132427843886</v>
      </c>
      <c r="J56" s="118">
        <f t="shared" si="84"/>
        <v>0</v>
      </c>
      <c r="K56" s="377">
        <f t="shared" si="84"/>
        <v>0.6642150117626169</v>
      </c>
      <c r="L56" s="377">
        <f t="shared" si="84"/>
        <v>0.6444332422417373</v>
      </c>
      <c r="M56" s="377">
        <f t="shared" si="84"/>
        <v>0.7538815463033962</v>
      </c>
      <c r="N56" s="377">
        <f t="shared" si="84"/>
        <v>0.9235591325732172</v>
      </c>
      <c r="O56" s="118">
        <f t="shared" si="84"/>
        <v>0</v>
      </c>
      <c r="P56" s="377">
        <f t="shared" si="84"/>
        <v>0.574484823419404</v>
      </c>
      <c r="Q56" s="377">
        <f t="shared" si="84"/>
        <v>0.3966695209337974</v>
      </c>
      <c r="R56" s="377">
        <f t="shared" si="84"/>
        <v>1.0057745846430177</v>
      </c>
      <c r="S56" s="377">
        <f t="shared" ref="S56" si="85">S51/S285</f>
        <v>0.8857393907836472</v>
      </c>
      <c r="T56" s="118">
        <f t="shared" si="84"/>
        <v>-29.35047056342914</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0.588654945054945</v>
      </c>
      <c r="G57" s="377">
        <f t="shared" si="87"/>
        <v>0.05066580756013826</v>
      </c>
      <c r="H57" s="377">
        <f t="shared" si="87"/>
        <v>0.23864010989010864</v>
      </c>
      <c r="I57" s="377">
        <f t="shared" si="87"/>
        <v>0.27648132427843886</v>
      </c>
      <c r="J57" s="118">
        <f t="shared" si="87"/>
        <v>0</v>
      </c>
      <c r="K57" s="377">
        <f t="shared" si="87"/>
        <v>0.6642150117626169</v>
      </c>
      <c r="L57" s="377">
        <f t="shared" si="87"/>
        <v>0.6444332422417373</v>
      </c>
      <c r="M57" s="377">
        <f t="shared" si="87"/>
        <v>0.7538815463033962</v>
      </c>
      <c r="N57" s="377">
        <f t="shared" si="87"/>
        <v>0.9235591325732172</v>
      </c>
      <c r="O57" s="118">
        <f t="shared" si="87"/>
        <v>0</v>
      </c>
      <c r="P57" s="377">
        <f t="shared" si="87"/>
        <v>0.574484823419404</v>
      </c>
      <c r="Q57" s="377">
        <f t="shared" si="87"/>
        <v>0.3966695209337974</v>
      </c>
      <c r="R57" s="377">
        <f t="shared" si="87"/>
        <v>1.0057745846430177</v>
      </c>
      <c r="S57" s="377">
        <f t="shared" ref="S57" si="88">S51/S287</f>
        <v>0.8553195119104243</v>
      </c>
      <c r="T57" s="118">
        <f t="shared" si="87"/>
        <v>-29.09812718592378</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0</v>
      </c>
      <c r="G59" s="349">
        <f t="shared" si="90"/>
        <v>0</v>
      </c>
      <c r="H59" s="349">
        <f t="shared" si="90"/>
        <v>0</v>
      </c>
      <c r="I59" s="349">
        <f t="shared" si="90"/>
        <v>0</v>
      </c>
      <c r="J59" s="279">
        <f t="shared" ref="J59:J61" si="91">SUM(F59:I59)</f>
        <v>0</v>
      </c>
      <c r="K59" s="349">
        <f t="shared" ref="K59:N59" si="92">K51-K44-K41-K40-K39-K38</f>
        <v>0</v>
      </c>
      <c r="L59" s="349">
        <f t="shared" si="92"/>
        <v>0</v>
      </c>
      <c r="M59" s="349">
        <f t="shared" si="92"/>
        <v>0</v>
      </c>
      <c r="N59" s="349">
        <f t="shared" si="92"/>
        <v>0</v>
      </c>
      <c r="O59" s="279">
        <f t="shared" ref="O59:O61" si="93">SUM(K59:N59)</f>
        <v>0</v>
      </c>
      <c r="P59" s="349">
        <f t="shared" ref="P59:S59" si="94">P51-P44-P41-P40-P39-P38</f>
        <v>-1441.954</v>
      </c>
      <c r="Q59" s="349">
        <f t="shared" si="94"/>
        <v>-1499.5459999999998</v>
      </c>
      <c r="R59" s="349">
        <f t="shared" si="94"/>
        <v>-1715.617</v>
      </c>
      <c r="S59" s="349">
        <f t="shared" si="94"/>
        <v>-1815.6450000000007</v>
      </c>
      <c r="T59" s="279">
        <f t="shared" ref="T59:T61" si="95">SUM(P59:S59)</f>
        <v>-6472.762000000001</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30.988</v>
      </c>
      <c r="Q60" s="379">
        <f t="shared" si="103"/>
        <v>52.253</v>
      </c>
      <c r="R60" s="379">
        <f t="shared" si="103"/>
        <v>53.23</v>
      </c>
      <c r="S60" s="379">
        <f t="shared" si="103"/>
        <v>55.81</v>
      </c>
      <c r="T60" s="351">
        <f t="shared" si="95"/>
        <v>192.281</v>
      </c>
      <c r="U60" s="352">
        <f t="shared" ref="U60:X60" si="104">-U34</f>
        <v>0</v>
      </c>
      <c r="V60" s="352">
        <f t="shared" si="104"/>
        <v>0</v>
      </c>
      <c r="W60" s="352">
        <f t="shared" si="104"/>
        <v>0</v>
      </c>
      <c r="X60" s="352">
        <f t="shared" si="104"/>
        <v>0</v>
      </c>
      <c r="Y60" s="351">
        <f t="shared" si="97"/>
        <v>0</v>
      </c>
      <c r="Z60" s="352">
        <f t="shared" ref="Z60:AC60" si="105">-Z34</f>
        <v>0</v>
      </c>
      <c r="AA60" s="352">
        <f t="shared" si="105"/>
        <v>0</v>
      </c>
      <c r="AB60" s="352">
        <f t="shared" si="105"/>
        <v>0</v>
      </c>
      <c r="AC60" s="352">
        <f t="shared" si="105"/>
        <v>0</v>
      </c>
      <c r="AD60" s="351">
        <f t="shared" si="99"/>
        <v>0</v>
      </c>
      <c r="AE60" s="351">
        <f t="shared" ref="AE60:AG60" si="106">-AE34</f>
        <v>0</v>
      </c>
      <c r="AF60" s="351">
        <f t="shared" si="106"/>
        <v>0</v>
      </c>
      <c r="AG60" s="351">
        <f t="shared" si="106"/>
        <v>0</v>
      </c>
      <c r="AH60" s="8"/>
      <c r="AI60" s="8"/>
      <c r="AJ60" s="8"/>
      <c r="AK60" s="8"/>
    </row>
    <row r="61" ht="15.75" customHeight="1" spans="1:37" x14ac:dyDescent="0.25">
      <c r="A61" s="261"/>
      <c r="B61" s="8"/>
      <c r="C61" s="131" t="s">
        <v>279</v>
      </c>
      <c r="D61" s="8"/>
      <c r="E61" s="8"/>
      <c r="F61" s="349">
        <f t="shared" ref="F61:I61" si="107">SUM(F59:F60)</f>
        <v>0</v>
      </c>
      <c r="G61" s="349">
        <f t="shared" si="107"/>
        <v>0</v>
      </c>
      <c r="H61" s="349">
        <f t="shared" si="107"/>
        <v>0</v>
      </c>
      <c r="I61" s="349">
        <f t="shared" si="107"/>
        <v>0</v>
      </c>
      <c r="J61" s="279">
        <f t="shared" si="91"/>
        <v>0</v>
      </c>
      <c r="K61" s="349">
        <f t="shared" ref="K61:N61" si="108">SUM(K59:K60)</f>
        <v>0</v>
      </c>
      <c r="L61" s="349">
        <f t="shared" si="108"/>
        <v>0</v>
      </c>
      <c r="M61" s="349">
        <f t="shared" si="108"/>
        <v>0</v>
      </c>
      <c r="N61" s="349">
        <f t="shared" si="108"/>
        <v>0</v>
      </c>
      <c r="O61" s="279">
        <f t="shared" si="93"/>
        <v>0</v>
      </c>
      <c r="P61" s="349">
        <f t="shared" ref="P61:S61" si="109">SUM(P59:P60)</f>
        <v>-1410.966</v>
      </c>
      <c r="Q61" s="349">
        <f t="shared" si="109"/>
        <v>-1447.293</v>
      </c>
      <c r="R61" s="349">
        <f t="shared" si="109"/>
        <v>-1662.387</v>
      </c>
      <c r="S61" s="349">
        <f t="shared" si="109"/>
        <v>-1759.8350000000007</v>
      </c>
      <c r="T61" s="279">
        <f t="shared" si="95"/>
        <v>-6280.481000000001</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f t="shared" ref="F63:AG63" si="113">F$25</f>
        <v>0</v>
      </c>
      <c r="G63" s="192">
        <f t="shared" si="113"/>
        <v>0</v>
      </c>
      <c r="H63" s="192">
        <f t="shared" si="113"/>
        <v>0</v>
      </c>
      <c r="I63" s="192">
        <f t="shared" si="113"/>
        <v>0</v>
      </c>
      <c r="J63" s="192">
        <f t="shared" si="113"/>
        <v>2023</v>
      </c>
      <c r="K63" s="192">
        <f t="shared" si="113"/>
        <v>0</v>
      </c>
      <c r="L63" s="192">
        <f t="shared" si="113"/>
        <v>0</v>
      </c>
      <c r="M63" s="192">
        <f t="shared" si="113"/>
        <v>0</v>
      </c>
      <c r="N63" s="192">
        <f t="shared" si="113"/>
        <v>0</v>
      </c>
      <c r="O63" s="192">
        <f t="shared" si="113"/>
        <v>2024</v>
      </c>
      <c r="P63" s="192">
        <f t="shared" si="113"/>
        <v>0</v>
      </c>
      <c r="Q63" s="192">
        <f t="shared" si="113"/>
        <v>0</v>
      </c>
      <c r="R63" s="192">
        <f t="shared" si="113"/>
        <v>0</v>
      </c>
      <c r="S63" s="192">
        <f t="shared" si="113"/>
        <v>0</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0.7208815496298425</v>
      </c>
      <c r="G66" s="384">
        <f t="shared" si="114"/>
        <v>0.6282693013736974</v>
      </c>
      <c r="H66" s="384">
        <f t="shared" si="114"/>
        <v>0.579349681502144</v>
      </c>
      <c r="I66" s="384">
        <f t="shared" si="114"/>
        <v>0.6080087875551636</v>
      </c>
      <c r="J66" s="385" t="e">
        <f t="shared" si="114"/>
        <v>#DIV/0!</v>
      </c>
      <c r="K66" s="384">
        <f t="shared" si="114"/>
        <v>0.6811295084292668</v>
      </c>
      <c r="L66" s="384">
        <f t="shared" si="114"/>
        <v>0.6582870218765995</v>
      </c>
      <c r="M66" s="384">
        <f t="shared" si="114"/>
        <v>0.6486204094716074</v>
      </c>
      <c r="N66" s="384">
        <f t="shared" si="114"/>
        <v>0.6862283173438102</v>
      </c>
      <c r="O66" s="385" t="e">
        <f t="shared" si="114"/>
        <v>#DIV/0!</v>
      </c>
      <c r="P66" s="384">
        <f t="shared" si="114"/>
        <v>0.6442000045291613</v>
      </c>
      <c r="Q66" s="384">
        <f t="shared" si="114"/>
        <v>0.6552688814363864</v>
      </c>
      <c r="R66" s="384">
        <f t="shared" si="114"/>
        <v>0.7041477139459238</v>
      </c>
      <c r="S66" s="384">
        <f t="shared" ref="S66" si="115">S30/S28</f>
        <v>0.7015857847060387</v>
      </c>
      <c r="T66" s="385" t="e">
        <f>T30/T28</f>
        <v>#DIV/0!</v>
      </c>
      <c r="U66" s="386">
        <f>IF(Cover!$F$37="Bottom Up",(U30/U28),Drivers!U7)</f>
        <v>1</v>
      </c>
      <c r="V66" s="386">
        <f>IF(Cover!$F$37="Bottom Up",(V30/V28),Drivers!V7)</f>
        <v>1</v>
      </c>
      <c r="W66" s="386">
        <f>IF(Cover!$F$37="Bottom Up",(W30/W28),Drivers!W7)</f>
        <v>1</v>
      </c>
      <c r="X66" s="386">
        <f>IF(Cover!$F$37="Bottom Up",(X30/X28),Drivers!X7)</f>
        <v>1</v>
      </c>
      <c r="Y66" s="385" t="e">
        <f>Y30/Y28</f>
        <v>#DIV/0!</v>
      </c>
      <c r="Z66" s="386">
        <f>IF(Cover!$F$37="Bottom Up",(Z30/Z28),Drivers!Z7)</f>
        <v>1</v>
      </c>
      <c r="AA66" s="386">
        <f>IF(Cover!$F$37="Bottom Up",(AA30/AA28),Drivers!AA7)</f>
        <v>1</v>
      </c>
      <c r="AB66" s="386">
        <f>IF(Cover!$F$37="Bottom Up",(AB30/AB28),Drivers!AB7)</f>
        <v>1</v>
      </c>
      <c r="AC66" s="386">
        <f>IF(Cover!$F$37="Bottom Up",(AC30/AC28),Drivers!AC7)</f>
        <v>1</v>
      </c>
      <c r="AD66" s="385" t="e">
        <f>AD30/AD28</f>
        <v>#DIV/0!</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-0.5476416740406546</v>
      </c>
      <c r="G67" s="384">
        <f t="shared" ref="G67:I67" si="116">G32/G30</f>
        <v>-0.5553157635895507</v>
      </c>
      <c r="H67" s="384">
        <f t="shared" si="116"/>
        <v>-0.5445164857555194</v>
      </c>
      <c r="I67" s="384">
        <f t="shared" si="116"/>
        <v>-0.511643628426698</v>
      </c>
      <c r="J67" s="385" t="e">
        <f>J32/J30</f>
        <v>#DIV/0!</v>
      </c>
      <c r="K67" s="384">
        <f>K32/K30</f>
        <v>-0.5332351859938108</v>
      </c>
      <c r="L67" s="384">
        <f t="shared" ref="L67:N67" si="117">L32/L30</f>
        <v>-0.5203873355287982</v>
      </c>
      <c r="M67" s="384">
        <f t="shared" si="117"/>
        <v>-0.5281084278953071</v>
      </c>
      <c r="N67" s="384">
        <f t="shared" si="117"/>
        <v>-0.5016991183188414</v>
      </c>
      <c r="O67" s="385" t="e">
        <f>O32/O30</f>
        <v>#DIV/0!</v>
      </c>
      <c r="P67" s="384">
        <f>P32/P30</f>
        <v>-0.5280081405180982</v>
      </c>
      <c r="Q67" s="384">
        <f t="shared" ref="Q67:S67" si="118">Q32/Q30</f>
        <v>-0.5230142060280939</v>
      </c>
      <c r="R67" s="384">
        <f t="shared" si="118"/>
        <v>-0.5292043887171832</v>
      </c>
      <c r="S67" s="384">
        <f t="shared" si="118"/>
        <v>-0.5224049267879354</v>
      </c>
      <c r="T67" s="385" t="e">
        <f>T32/T30</f>
        <v>#DIV/0!</v>
      </c>
      <c r="U67" s="387">
        <f>Drivers!U40</f>
        <v>-0.52</v>
      </c>
      <c r="V67" s="387">
        <f>Drivers!V40</f>
        <v>-0.525</v>
      </c>
      <c r="W67" s="387">
        <f>Drivers!W40</f>
        <v>-0.525</v>
      </c>
      <c r="X67" s="387">
        <f>Drivers!X40</f>
        <v>-0.515</v>
      </c>
      <c r="Y67" s="385">
        <f>Y32/Y30</f>
        <v>-0.5203792134831461</v>
      </c>
      <c r="Z67" s="387">
        <f>Drivers!Z40</f>
        <v>-0.5175</v>
      </c>
      <c r="AA67" s="387">
        <f>Drivers!AA40</f>
        <v>-0.515</v>
      </c>
      <c r="AB67" s="387">
        <f>Drivers!AB40</f>
        <v>-0.505</v>
      </c>
      <c r="AC67" s="387">
        <f>Drivers!AC40</f>
        <v>-0.495</v>
      </c>
      <c r="AD67" s="385">
        <f>AD32/AD30</f>
        <v>-0.5065104166666666</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-0.2596838117078156</v>
      </c>
      <c r="G68" s="384">
        <f t="shared" ref="G68:I68" si="119">G33/G30</f>
        <v>-0.3521595741603262</v>
      </c>
      <c r="H68" s="384">
        <f t="shared" si="119"/>
        <v>-0.30669110566456637</v>
      </c>
      <c r="I68" s="384">
        <f t="shared" si="119"/>
        <v>-0.3288368237478545</v>
      </c>
      <c r="J68" s="385" t="e">
        <f>J33/J30</f>
        <v>#DIV/0!</v>
      </c>
      <c r="K68" s="384">
        <f>K33/K30</f>
        <v>-0.24698726213221356</v>
      </c>
      <c r="L68" s="384">
        <f t="shared" ref="L68:N68" si="120">L33/L30</f>
        <v>-0.26428646891384866</v>
      </c>
      <c r="M68" s="384">
        <f t="shared" si="120"/>
        <v>-0.246472339434719</v>
      </c>
      <c r="N68" s="384">
        <f t="shared" si="120"/>
        <v>-0.23719834836193138</v>
      </c>
      <c r="O68" s="385" t="e">
        <f>O33/O30</f>
        <v>#DIV/0!</v>
      </c>
      <c r="P68" s="384">
        <f>P33/P30</f>
        <v>-0.2772804341944447</v>
      </c>
      <c r="Q68" s="384">
        <f t="shared" ref="Q68:S68" si="121">Q33/Q30</f>
        <v>-0.2930758843816899</v>
      </c>
      <c r="R68" s="384">
        <f t="shared" si="121"/>
        <v>-0.23634631089091115</v>
      </c>
      <c r="S68" s="384">
        <f t="shared" si="121"/>
        <v>-0.26319559678720533</v>
      </c>
      <c r="T68" s="385" t="e">
        <f>T33/T30</f>
        <v>#DIV/0!</v>
      </c>
      <c r="U68" s="387">
        <f>Drivers!U45</f>
        <v>-0.2375</v>
      </c>
      <c r="V68" s="387">
        <f>Drivers!V45</f>
        <v>-0.24</v>
      </c>
      <c r="W68" s="387">
        <f>Drivers!W45</f>
        <v>-0.24</v>
      </c>
      <c r="X68" s="387">
        <f>Drivers!X45</f>
        <v>-0.25</v>
      </c>
      <c r="Y68" s="385">
        <f>Y33/Y30</f>
        <v>-0.24417837078651686</v>
      </c>
      <c r="Z68" s="387">
        <f>Drivers!Z45</f>
        <v>-0.24</v>
      </c>
      <c r="AA68" s="387">
        <f>Drivers!AA45</f>
        <v>-0.235</v>
      </c>
      <c r="AB68" s="387">
        <f>Drivers!AB45</f>
        <v>-0.23</v>
      </c>
      <c r="AC68" s="387">
        <f>Drivers!AC45</f>
        <v>-0.225</v>
      </c>
      <c r="AD68" s="385">
        <f>AD33/AD30</f>
        <v>-0.23145833333333335</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-0.03130166031768849</v>
      </c>
      <c r="G69" s="384">
        <f t="shared" si="122"/>
        <v>-0.032303757099011135</v>
      </c>
      <c r="H69" s="384">
        <f t="shared" si="122"/>
        <v>-0.028866363148781726</v>
      </c>
      <c r="I69" s="384">
        <f t="shared" si="122"/>
        <v>-0.03852481254807599</v>
      </c>
      <c r="J69" s="385" t="e">
        <f t="shared" si="122"/>
        <v>#DIV/0!</v>
      </c>
      <c r="K69" s="384">
        <f t="shared" si="122"/>
        <v>-0.04646422214924947</v>
      </c>
      <c r="L69" s="384">
        <f t="shared" si="122"/>
        <v>-0.03138581470542417</v>
      </c>
      <c r="M69" s="384">
        <f t="shared" si="122"/>
        <v>-0.03114553190046652</v>
      </c>
      <c r="N69" s="384">
        <f t="shared" si="122"/>
        <v>-0.05429563677863892</v>
      </c>
      <c r="O69" s="385" t="e">
        <f t="shared" si="122"/>
        <v>#DIV/0!</v>
      </c>
      <c r="P69" s="384">
        <f t="shared" si="122"/>
        <v>-0.051812796821822805</v>
      </c>
      <c r="Q69" s="384">
        <f t="shared" si="122"/>
        <v>-0.04547821746651886</v>
      </c>
      <c r="R69" s="384">
        <f t="shared" si="122"/>
        <v>-0.03266322153033662</v>
      </c>
      <c r="S69" s="384">
        <f t="shared" ref="S69" si="123">S35/S28</f>
        <v>-0.045625985138482344</v>
      </c>
      <c r="T69" s="385" t="e">
        <f>T35/T28</f>
        <v>#DIV/0!</v>
      </c>
      <c r="U69" s="387">
        <f>Drivers!U50</f>
        <v>-0.045</v>
      </c>
      <c r="V69" s="387">
        <f>Drivers!V50</f>
        <v>-0.035</v>
      </c>
      <c r="W69" s="387">
        <f>Drivers!W50</f>
        <v>-0.04</v>
      </c>
      <c r="X69" s="387">
        <f>Drivers!X50</f>
        <v>-0.0425</v>
      </c>
      <c r="Y69" s="385" t="e">
        <f>Y35/Y28</f>
        <v>#DIV/0!</v>
      </c>
      <c r="Z69" s="387">
        <f>Drivers!Z50</f>
        <v>-0.045</v>
      </c>
      <c r="AA69" s="387">
        <f>Drivers!AA50</f>
        <v>-0.045</v>
      </c>
      <c r="AB69" s="387">
        <f>Drivers!AB50</f>
        <v>-0.045</v>
      </c>
      <c r="AC69" s="387">
        <f>Drivers!AC50</f>
        <v>-0.045</v>
      </c>
      <c r="AD69" s="385" t="e">
        <f>AD35/AD28</f>
        <v>#DIV/0!</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t="e">
        <f t="shared" si="124"/>
        <v>#DIV/0!</v>
      </c>
      <c r="K70" s="384">
        <f t="shared" si="124"/>
        <v>0</v>
      </c>
      <c r="L70" s="384">
        <f t="shared" si="124"/>
        <v>0</v>
      </c>
      <c r="M70" s="384">
        <f t="shared" si="124"/>
        <v>0</v>
      </c>
      <c r="N70" s="384">
        <f t="shared" si="124"/>
        <v>0</v>
      </c>
      <c r="O70" s="385" t="e">
        <f t="shared" si="124"/>
        <v>#DIV/0!</v>
      </c>
      <c r="P70" s="384">
        <f t="shared" si="124"/>
        <v>0</v>
      </c>
      <c r="Q70" s="384">
        <f t="shared" si="124"/>
        <v>0</v>
      </c>
      <c r="R70" s="384">
        <f t="shared" si="124"/>
        <v>0</v>
      </c>
      <c r="S70" s="384">
        <f t="shared" ref="S70" si="125">S41/S28</f>
        <v>0</v>
      </c>
      <c r="T70" s="385" t="e">
        <f>T41/T28</f>
        <v>#DIV/0!</v>
      </c>
      <c r="U70" s="387">
        <f>Drivers!U57</f>
        <v>0</v>
      </c>
      <c r="V70" s="387">
        <f>Drivers!V57</f>
        <v>0</v>
      </c>
      <c r="W70" s="387">
        <f>Drivers!W57</f>
        <v>0</v>
      </c>
      <c r="X70" s="387">
        <f>Drivers!X57</f>
        <v>0</v>
      </c>
      <c r="Y70" s="385" t="e">
        <f>Y41/Y28</f>
        <v>#DIV/0!</v>
      </c>
      <c r="Z70" s="387">
        <f>Drivers!Z57</f>
        <v>0</v>
      </c>
      <c r="AA70" s="387">
        <f>Drivers!AA57</f>
        <v>0</v>
      </c>
      <c r="AB70" s="387">
        <f>Drivers!AB57</f>
        <v>0</v>
      </c>
      <c r="AC70" s="387">
        <f>Drivers!AC57</f>
        <v>0</v>
      </c>
      <c r="AD70" s="385" t="e">
        <f>AD41/AD28</f>
        <v>#DIV/0!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t="e">
        <f t="shared" ref="F71:R71" si="126">-F44/F42</f>
        <v>#DIV/0!</v>
      </c>
      <c r="G71" s="384" t="e">
        <f t="shared" si="126"/>
        <v>#DIV/0!</v>
      </c>
      <c r="H71" s="384" t="e">
        <f t="shared" si="126"/>
        <v>#DIV/0!</v>
      </c>
      <c r="I71" s="384" t="e">
        <f t="shared" si="126"/>
        <v>#DIV/0!</v>
      </c>
      <c r="J71" s="385" t="e">
        <f t="shared" si="126"/>
        <v>#DIV/0!</v>
      </c>
      <c r="K71" s="384" t="e">
        <f t="shared" si="126"/>
        <v>#DIV/0!</v>
      </c>
      <c r="L71" s="384" t="e">
        <f t="shared" si="126"/>
        <v>#DIV/0!</v>
      </c>
      <c r="M71" s="384" t="e">
        <f t="shared" si="126"/>
        <v>#DIV/0!</v>
      </c>
      <c r="N71" s="384" t="e">
        <f t="shared" si="126"/>
        <v>#DIV/0!</v>
      </c>
      <c r="O71" s="385" t="e">
        <f t="shared" si="126"/>
        <v>#DIV/0!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f>F$25</f>
        <v>0</v>
      </c>
      <c r="G73" s="54">
        <f t="shared" ref="G73:X73" si="128">G$63</f>
        <v>0</v>
      </c>
      <c r="H73" s="54">
        <f t="shared" si="128"/>
        <v>0</v>
      </c>
      <c r="I73" s="54">
        <f t="shared" si="128"/>
        <v>0</v>
      </c>
      <c r="J73" s="54">
        <f t="shared" si="128"/>
        <v>2023</v>
      </c>
      <c r="K73" s="54">
        <f t="shared" si="128"/>
        <v>0</v>
      </c>
      <c r="L73" s="54">
        <f t="shared" si="128"/>
        <v>0</v>
      </c>
      <c r="M73" s="54">
        <f t="shared" si="128"/>
        <v>0</v>
      </c>
      <c r="N73" s="54">
        <f t="shared" si="128"/>
        <v>0</v>
      </c>
      <c r="O73" s="54">
        <f t="shared" si="128"/>
        <v>2024</v>
      </c>
      <c r="P73" s="54">
        <f t="shared" si="128"/>
        <v>0</v>
      </c>
      <c r="Q73" s="54">
        <f t="shared" si="128"/>
        <v>0</v>
      </c>
      <c r="R73" s="54">
        <f t="shared" si="128"/>
        <v>0</v>
      </c>
      <c r="S73" s="54">
        <f t="shared" si="128"/>
        <v>0</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0</v>
      </c>
      <c r="W76" s="356">
        <f t="shared" si="136"/>
        <v>0</v>
      </c>
      <c r="X76" s="356">
        <f t="shared" si="136"/>
        <v>0</v>
      </c>
      <c r="Y76" s="158">
        <f t="shared" si="132"/>
        <v>0</v>
      </c>
      <c r="Z76" s="356">
        <f t="shared" ref="Z76:AC76" si="137">-(Z197+Z211)</f>
        <v>0</v>
      </c>
      <c r="AA76" s="356">
        <f t="shared" si="137"/>
        <v>0</v>
      </c>
      <c r="AB76" s="356">
        <f t="shared" si="137"/>
        <v>0</v>
      </c>
      <c r="AC76" s="356">
        <f t="shared" si="137"/>
        <v>0</v>
      </c>
      <c r="AD76" s="158">
        <f t="shared" si="134"/>
        <v>0</v>
      </c>
      <c r="AE76" s="158">
        <f t="shared" ref="AE76:AG76" si="138">-(AE197+AE211)</f>
        <v>0</v>
      </c>
      <c r="AF76" s="158">
        <f t="shared" si="138"/>
        <v>0</v>
      </c>
      <c r="AG76" s="158">
        <f t="shared" si="138"/>
        <v>0</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t="e">
        <f t="shared" ref="U77:X77" si="139">U249</f>
        <v>#DIV/0!</v>
      </c>
      <c r="V77" s="356" t="e">
        <f t="shared" si="139"/>
        <v>#DIV/0!</v>
      </c>
      <c r="W77" s="356" t="e">
        <f t="shared" si="139"/>
        <v>#DIV/0!</v>
      </c>
      <c r="X77" s="356" t="e">
        <f t="shared" si="139"/>
        <v>#DIV/0!</v>
      </c>
      <c r="Y77" s="158" t="e">
        <f t="shared" si="132"/>
        <v>#DIV/0!</v>
      </c>
      <c r="Z77" s="356" t="e">
        <f t="shared" ref="Z77:AC77" si="140">Z249</f>
        <v>#DIV/0!</v>
      </c>
      <c r="AA77" s="356" t="e">
        <f t="shared" si="140"/>
        <v>#DIV/0!</v>
      </c>
      <c r="AB77" s="356" t="e">
        <f t="shared" si="140"/>
        <v>#DIV/0!</v>
      </c>
      <c r="AC77" s="356" t="e">
        <f t="shared" si="140"/>
        <v>#DIV/0!</v>
      </c>
      <c r="AD77" s="158" t="e">
        <f t="shared" si="134"/>
        <v>#DIV/0!</v>
      </c>
      <c r="AE77" s="158" t="e">
        <f t="shared" ref="AE77:AG77" si="141">AE249</f>
        <v>#DIV/0!</v>
      </c>
      <c r="AF77" s="158" t="e">
        <f t="shared" si="141"/>
        <v>#DIV/0!</v>
      </c>
      <c r="AG77" s="158" t="e">
        <f t="shared" si="141"/>
        <v>#DIV/0!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0</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0</v>
      </c>
      <c r="V82" s="356">
        <f t="shared" si="152"/>
        <v>0</v>
      </c>
      <c r="W82" s="356">
        <f t="shared" si="152"/>
        <v>0</v>
      </c>
      <c r="X82" s="356">
        <f t="shared" si="152"/>
        <v>0</v>
      </c>
      <c r="Y82" s="158">
        <f t="shared" ref="Y82:Y85" si="153">SUM(U82:X82)</f>
        <v>0</v>
      </c>
      <c r="Z82" s="356">
        <f t="shared" ref="Z82:AC82" si="154">-Z196</f>
        <v>0</v>
      </c>
      <c r="AA82" s="356">
        <f t="shared" si="154"/>
        <v>0</v>
      </c>
      <c r="AB82" s="356">
        <f t="shared" si="154"/>
        <v>0</v>
      </c>
      <c r="AC82" s="356">
        <f t="shared" si="154"/>
        <v>0</v>
      </c>
      <c r="AD82" s="158">
        <f t="shared" ref="AD82:AD85" si="155">SUM(Z82:AC82)</f>
        <v>0</v>
      </c>
      <c r="AE82" s="158">
        <f t="shared" ref="AE82:AG82" si="156">-AE196</f>
        <v>0</v>
      </c>
      <c r="AF82" s="158">
        <f t="shared" si="156"/>
        <v>0</v>
      </c>
      <c r="AG82" s="158">
        <f t="shared" si="156"/>
        <v>0</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0</v>
      </c>
      <c r="V85" s="278">
        <f t="shared" si="160"/>
        <v>0</v>
      </c>
      <c r="W85" s="278">
        <f t="shared" si="160"/>
        <v>0</v>
      </c>
      <c r="X85" s="278">
        <f t="shared" si="160"/>
        <v>0</v>
      </c>
      <c r="Y85" s="279">
        <f t="shared" si="153"/>
        <v>0</v>
      </c>
      <c r="Z85" s="278">
        <f t="shared" ref="Z85:AC85" si="161">SUM(Z82:Z84)</f>
        <v>0</v>
      </c>
      <c r="AA85" s="278">
        <f t="shared" si="161"/>
        <v>0</v>
      </c>
      <c r="AB85" s="278">
        <f t="shared" si="161"/>
        <v>0</v>
      </c>
      <c r="AC85" s="278">
        <f t="shared" si="161"/>
        <v>0</v>
      </c>
      <c r="AD85" s="279">
        <f t="shared" si="155"/>
        <v>0</v>
      </c>
      <c r="AE85" s="279">
        <f t="shared" ref="AE85:AG85" si="162">SUM(AE82:AE84)</f>
        <v>0</v>
      </c>
      <c r="AF85" s="279">
        <f t="shared" si="162"/>
        <v>0</v>
      </c>
      <c r="AG85" s="279">
        <f t="shared" si="162"/>
        <v>0</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14043.889</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129.624</v>
      </c>
      <c r="G108" s="354">
        <f t="shared" si="204"/>
        <v>8.084000000000188</v>
      </c>
      <c r="H108" s="354">
        <f t="shared" si="204"/>
        <v>54.64699999999973</v>
      </c>
      <c r="I108" s="354">
        <f t="shared" si="204"/>
        <v>69.93300000000019</v>
      </c>
      <c r="J108" s="158">
        <f t="shared" si="204"/>
        <v>0</v>
      </c>
      <c r="K108" s="354">
        <f t="shared" si="204"/>
        <v>164.28299999999996</v>
      </c>
      <c r="L108" s="354">
        <f t="shared" si="204"/>
        <v>154.6469999999999</v>
      </c>
      <c r="M108" s="354">
        <f t="shared" si="204"/>
        <v>174.6759999999999</v>
      </c>
      <c r="N108" s="354">
        <f t="shared" si="204"/>
        <v>218.74600000000004</v>
      </c>
      <c r="O108" s="158">
        <f t="shared" si="204"/>
        <v>0</v>
      </c>
      <c r="P108" s="354">
        <f t="shared" si="204"/>
        <v>136.8489999999996</v>
      </c>
      <c r="Q108" s="354">
        <f t="shared" si="204"/>
        <v>91.3950000000003</v>
      </c>
      <c r="R108" s="354">
        <f t="shared" si="204"/>
        <v>242.50400000000005</v>
      </c>
      <c r="S108" s="354">
        <f t="shared" ref="S108" si="205">S45</f>
        <v>215.6709999999994</v>
      </c>
      <c r="T108" s="158">
        <f t="shared" si="204"/>
        <v>-6472.762000000001</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30.988</v>
      </c>
      <c r="Q109" s="354">
        <f t="shared" si="211"/>
        <v>52.253</v>
      </c>
      <c r="R109" s="354">
        <f t="shared" si="211"/>
        <v>53.22999999999999</v>
      </c>
      <c r="S109" s="354">
        <f t="shared" si="211"/>
        <v>55.81</v>
      </c>
      <c r="T109" s="158">
        <f t="shared" ref="T109:T110" si="212">SUM(P109:S109)</f>
        <v>192.281</v>
      </c>
      <c r="U109" s="356">
        <f t="shared" ref="U109:X109" si="213">-U197+-U211</f>
        <v>0</v>
      </c>
      <c r="V109" s="356">
        <f t="shared" si="213"/>
        <v>0</v>
      </c>
      <c r="W109" s="356">
        <f t="shared" si="213"/>
        <v>0</v>
      </c>
      <c r="X109" s="356">
        <f t="shared" si="213"/>
        <v>0</v>
      </c>
      <c r="Y109" s="158">
        <f t="shared" ref="Y109:Y110" si="214">SUM(U109:X109)</f>
        <v>0</v>
      </c>
      <c r="Z109" s="356">
        <f t="shared" ref="Z109:AC109" si="215">-Z197+-Z211</f>
        <v>0</v>
      </c>
      <c r="AA109" s="356">
        <f t="shared" si="215"/>
        <v>0</v>
      </c>
      <c r="AB109" s="356">
        <f t="shared" si="215"/>
        <v>0</v>
      </c>
      <c r="AC109" s="356">
        <f t="shared" si="215"/>
        <v>0</v>
      </c>
      <c r="AD109" s="158">
        <f t="shared" ref="AD109:AD110" si="216">SUM(Z109:AC109)</f>
        <v>0</v>
      </c>
      <c r="AE109" s="158">
        <f t="shared" ref="AE109:AG109" si="217">-AE197+-AE211</f>
        <v>0</v>
      </c>
      <c r="AF109" s="158">
        <f t="shared" si="217"/>
        <v>0</v>
      </c>
      <c r="AG109" s="158">
        <f t="shared" si="217"/>
        <v>0</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0</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0</v>
      </c>
      <c r="V111" s="352">
        <f t="shared" si="227"/>
        <v>0</v>
      </c>
      <c r="W111" s="352">
        <f t="shared" si="227"/>
        <v>0</v>
      </c>
      <c r="X111" s="352">
        <f t="shared" si="227"/>
        <v>0</v>
      </c>
      <c r="Y111" s="351">
        <f>SUM(U111:X111)</f>
        <v>0</v>
      </c>
      <c r="Z111" s="352">
        <f t="shared" ref="Z111:AC111" si="228">Z196</f>
        <v>0</v>
      </c>
      <c r="AA111" s="352">
        <f t="shared" si="228"/>
        <v>0</v>
      </c>
      <c r="AB111" s="352">
        <f t="shared" si="228"/>
        <v>0</v>
      </c>
      <c r="AC111" s="352">
        <f t="shared" si="228"/>
        <v>0</v>
      </c>
      <c r="AD111" s="351">
        <f>SUM(Z111:AC111)</f>
        <v>0</v>
      </c>
      <c r="AE111" s="351">
        <f t="shared" ref="AE111:AG111" si="229">AE196</f>
        <v>0</v>
      </c>
      <c r="AF111" s="351">
        <f t="shared" si="229"/>
        <v>0</v>
      </c>
      <c r="AG111" s="351">
        <f t="shared" si="229"/>
        <v>0</v>
      </c>
      <c r="AH111" s="8"/>
      <c r="AI111" s="8"/>
      <c r="AJ111" s="8"/>
      <c r="AK111" s="8"/>
    </row>
    <row r="112" ht="15.75" customHeight="1" spans="1:37" x14ac:dyDescent="0.25">
      <c r="A112" s="261"/>
      <c r="B112" s="8"/>
      <c r="C112" s="8" t="s">
        <v>312</v>
      </c>
      <c r="D112" s="8"/>
      <c r="E112" s="8"/>
      <c r="F112" s="349">
        <f t="shared" ref="F112:X112" si="230">SUM(F108:F111)</f>
        <v>110.624</v>
      </c>
      <c r="G112" s="349">
        <f t="shared" si="230"/>
        <v>-14.915999999999812</v>
      </c>
      <c r="H112" s="349">
        <f t="shared" si="230"/>
        <v>28.64699999999973</v>
      </c>
      <c r="I112" s="349">
        <f t="shared" si="230"/>
        <v>46.93300000000019</v>
      </c>
      <c r="J112" s="279">
        <f t="shared" si="230"/>
        <v>-91</v>
      </c>
      <c r="K112" s="349">
        <f t="shared" si="230"/>
        <v>137.28299999999996</v>
      </c>
      <c r="L112" s="349">
        <f t="shared" si="230"/>
        <v>112.6469999999999</v>
      </c>
      <c r="M112" s="349">
        <f t="shared" si="230"/>
        <v>121.6759999999999</v>
      </c>
      <c r="N112" s="349">
        <f t="shared" si="230"/>
        <v>167.74600000000004</v>
      </c>
      <c r="O112" s="279">
        <f t="shared" si="230"/>
        <v>-173</v>
      </c>
      <c r="P112" s="349">
        <f t="shared" si="230"/>
        <v>117.83699999999959</v>
      </c>
      <c r="Q112" s="349">
        <f t="shared" si="230"/>
        <v>94.64800000000031</v>
      </c>
      <c r="R112" s="349">
        <f t="shared" si="230"/>
        <v>239.73400000000004</v>
      </c>
      <c r="S112" s="349">
        <f t="shared" ref="S112" si="231">SUM(S108:S111)</f>
        <v>253.48099999999943</v>
      </c>
      <c r="T112" s="279">
        <f t="shared" si="230"/>
        <v>-6453.481000000001</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0.06211816286925896</v>
      </c>
      <c r="G114" s="403">
        <f t="shared" si="233"/>
        <v>-0.009036812469783271</v>
      </c>
      <c r="H114" s="403">
        <f t="shared" si="233"/>
        <v>0.014031538757307196</v>
      </c>
      <c r="I114" s="403">
        <f t="shared" si="233"/>
        <v>0.02384518538916543</v>
      </c>
      <c r="J114" s="404" t="e">
        <f t="shared" si="233"/>
        <v>#DIV/0!</v>
      </c>
      <c r="K114" s="403">
        <f t="shared" si="233"/>
        <v>0.053795501621902046</v>
      </c>
      <c r="L114" s="403">
        <f t="shared" si="233"/>
        <v>0.044766990846863766</v>
      </c>
      <c r="M114" s="403">
        <f t="shared" si="233"/>
        <v>0.04687799185464259</v>
      </c>
      <c r="N114" s="403">
        <f t="shared" si="233"/>
        <v>0.05883260698320242</v>
      </c>
      <c r="O114" s="404" t="e">
        <f t="shared" si="233"/>
        <v>#DIV/0!</v>
      </c>
      <c r="P114" s="403">
        <f t="shared" si="233"/>
        <v>0.04765203424045949</v>
      </c>
      <c r="Q114" s="403">
        <f t="shared" si="233"/>
        <v>0.03794548803980263</v>
      </c>
      <c r="R114" s="403">
        <f t="shared" si="233"/>
        <v>0.08244872017977257</v>
      </c>
      <c r="S114" s="403">
        <f t="shared" ref="S114" si="234">S112/S28</f>
        <v>0.08596003016795828</v>
      </c>
      <c r="T114" s="404" t="e">
        <f t="shared" si="233"/>
        <v>#DIV/0!</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0.4862593406593406</v>
      </c>
      <c r="G115" s="377">
        <f t="shared" si="236"/>
        <v>-0.0640721649484528</v>
      </c>
      <c r="H115" s="377">
        <f t="shared" si="236"/>
        <v>0.13116758241758117</v>
      </c>
      <c r="I115" s="377">
        <f t="shared" si="236"/>
        <v>0.1992062818336171</v>
      </c>
      <c r="J115" s="118">
        <f t="shared" si="236"/>
        <v>-0.38847385272145146</v>
      </c>
      <c r="K115" s="377">
        <f t="shared" si="236"/>
        <v>0.6093612676994095</v>
      </c>
      <c r="L115" s="377">
        <f t="shared" si="236"/>
        <v>0.4981162611764078</v>
      </c>
      <c r="M115" s="377">
        <f t="shared" si="236"/>
        <v>0.5488565113446701</v>
      </c>
      <c r="N115" s="377">
        <f t="shared" si="236"/>
        <v>0.7500380058126539</v>
      </c>
      <c r="O115" s="118">
        <f t="shared" si="236"/>
        <v>-0.7990762124711316</v>
      </c>
      <c r="P115" s="377">
        <f t="shared" si="236"/>
        <v>0.5297282960512101</v>
      </c>
      <c r="Q115" s="377">
        <f t="shared" si="236"/>
        <v>0.4265536977781798</v>
      </c>
      <c r="R115" s="377">
        <f t="shared" si="236"/>
        <v>1.0764885496183207</v>
      </c>
      <c r="S115" s="377">
        <f t="shared" ref="S115" si="237">S112/S285</f>
        <v>1.1784552013984426</v>
      </c>
      <c r="T115" s="118">
        <f t="shared" si="236"/>
        <v>-29.26304166940624</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0.051171727509533346</v>
      </c>
      <c r="G116" s="403">
        <f t="shared" si="239"/>
        <v>-0.007375213231476582</v>
      </c>
      <c r="H116" s="403">
        <f t="shared" si="239"/>
        <v>0.015102772874793455</v>
      </c>
      <c r="I116" s="403">
        <f t="shared" si="239"/>
        <v>0.02234506806882974</v>
      </c>
      <c r="J116" s="404">
        <f>J115/J242</f>
        <v>-0.010942055036059542</v>
      </c>
      <c r="K116" s="403">
        <f t="shared" ref="K116:N116" si="240">K115*4/K242</f>
        <v>0.05999126435632876</v>
      </c>
      <c r="L116" s="403">
        <f t="shared" si="240"/>
        <v>0.04900307537397027</v>
      </c>
      <c r="M116" s="403">
        <f t="shared" si="240"/>
        <v>0.05391517793169647</v>
      </c>
      <c r="N116" s="403">
        <f t="shared" si="240"/>
        <v>0.07367760371440608</v>
      </c>
      <c r="O116" s="404">
        <f>O115/O242</f>
        <v>-0.019641229573878753</v>
      </c>
      <c r="P116" s="403">
        <f t="shared" ref="P116:S116" si="241">P115*4/P242</f>
        <v>0.026194995477869208</v>
      </c>
      <c r="Q116" s="403">
        <f t="shared" si="241"/>
        <v>0.021298399589473466</v>
      </c>
      <c r="R116" s="403">
        <f t="shared" si="241"/>
        <v>0.05395932579540455</v>
      </c>
      <c r="S116" s="403">
        <f t="shared" si="241"/>
        <v>0.11576180760299044</v>
      </c>
      <c r="T116" s="404">
        <f>T115/T242</f>
        <v>-0.3652432193901938</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f>F$25</f>
        <v>0</v>
      </c>
      <c r="G118" s="54">
        <f t="shared" ref="G118:X118" si="245">G$63</f>
        <v>0</v>
      </c>
      <c r="H118" s="54">
        <f t="shared" si="245"/>
        <v>0</v>
      </c>
      <c r="I118" s="54">
        <f t="shared" si="245"/>
        <v>0</v>
      </c>
      <c r="J118" s="54">
        <f t="shared" si="245"/>
        <v>2023</v>
      </c>
      <c r="K118" s="54">
        <f t="shared" si="245"/>
        <v>0</v>
      </c>
      <c r="L118" s="54">
        <f t="shared" si="245"/>
        <v>0</v>
      </c>
      <c r="M118" s="54">
        <f t="shared" si="245"/>
        <v>0</v>
      </c>
      <c r="N118" s="54">
        <f t="shared" si="245"/>
        <v>0</v>
      </c>
      <c r="O118" s="54">
        <f t="shared" si="245"/>
        <v>2024</v>
      </c>
      <c r="P118" s="54">
        <f t="shared" si="245"/>
        <v>0</v>
      </c>
      <c r="Q118" s="54">
        <f t="shared" si="245"/>
        <v>0</v>
      </c>
      <c r="R118" s="54">
        <f t="shared" si="245"/>
        <v>0</v>
      </c>
      <c r="S118" s="54">
        <f t="shared" si="245"/>
        <v>0</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4716.299</v>
      </c>
      <c r="K121" s="406">
        <v>5480.747</v>
      </c>
      <c r="L121" s="406">
        <v>6114.367</v>
      </c>
      <c r="M121" s="406">
        <v>5305.207</v>
      </c>
      <c r="N121" s="406">
        <v>5824.844</v>
      </c>
      <c r="O121" s="158">
        <f>N121</f>
        <v>5824.844</v>
      </c>
      <c r="P121" s="406">
        <v>6703.258</v>
      </c>
      <c r="Q121" s="406">
        <v>6225.189</v>
      </c>
      <c r="R121" s="406">
        <v>6627.64</v>
      </c>
      <c r="S121" s="406">
        <v>8556.388</v>
      </c>
      <c r="T121" s="158">
        <f t="shared" si="247"/>
        <v>0</v>
      </c>
      <c r="U121" s="356">
        <f t="shared" ref="U121:X121" si="253">U163</f>
        <v>0</v>
      </c>
      <c r="V121" s="356">
        <f t="shared" si="253"/>
        <v>0</v>
      </c>
      <c r="W121" s="356">
        <f t="shared" si="253"/>
        <v>0</v>
      </c>
      <c r="X121" s="356">
        <f t="shared" si="253"/>
        <v>0</v>
      </c>
      <c r="Y121" s="158">
        <f t="shared" si="249"/>
        <v>0</v>
      </c>
      <c r="Z121" s="356">
        <f t="shared" ref="Z121:AC121" si="254">Z163</f>
        <v>0</v>
      </c>
      <c r="AA121" s="356">
        <f t="shared" si="254"/>
        <v>0</v>
      </c>
      <c r="AB121" s="356">
        <f t="shared" si="254"/>
        <v>0</v>
      </c>
      <c r="AC121" s="356">
        <f t="shared" si="254"/>
        <v>0</v>
      </c>
      <c r="AD121" s="158">
        <f t="shared" si="251"/>
        <v>0</v>
      </c>
      <c r="AE121" s="158">
        <f t="shared" ref="AE121:AG121" si="255">AE163</f>
        <v>0</v>
      </c>
      <c r="AF121" s="158">
        <f t="shared" si="255"/>
        <v>0</v>
      </c>
      <c r="AG121" s="158">
        <f t="shared" si="255"/>
        <v>0</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50795.513000000006</v>
      </c>
      <c r="K124" s="349">
        <f t="shared" ref="K124:N124" si="264">SUM(K120:K123)</f>
        <v>53217.637</v>
      </c>
      <c r="L124" s="349">
        <f t="shared" si="264"/>
        <v>56140.105</v>
      </c>
      <c r="M124" s="349">
        <f t="shared" si="264"/>
        <v>56949.483</v>
      </c>
      <c r="N124" s="349">
        <f t="shared" si="264"/>
        <v>58213.464</v>
      </c>
      <c r="O124" s="279">
        <f t="shared" ref="O124" si="265">N124</f>
        <v>58213.464</v>
      </c>
      <c r="P124" s="349">
        <f t="shared" ref="P124:S124" si="266">SUM(P120:P123)</f>
        <v>63830.586</v>
      </c>
      <c r="Q124" s="349">
        <f t="shared" si="266"/>
        <v>60924.48300000001</v>
      </c>
      <c r="R124" s="349">
        <f t="shared" si="266"/>
        <v>62919.829</v>
      </c>
      <c r="S124" s="349">
        <f t="shared" si="266"/>
        <v>69681.601</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1065.68</v>
      </c>
      <c r="K126" s="406">
        <v>1103.49</v>
      </c>
      <c r="L126" s="406">
        <v>1206.489</v>
      </c>
      <c r="M126" s="406">
        <v>1229.028</v>
      </c>
      <c r="N126" s="406">
        <v>1194.72</v>
      </c>
      <c r="O126" s="279">
        <f>N126</f>
        <v>1194.72</v>
      </c>
      <c r="P126" s="406">
        <v>1217.202</v>
      </c>
      <c r="Q126" s="406">
        <v>1235.343</v>
      </c>
      <c r="R126" s="406">
        <v>1255</v>
      </c>
      <c r="S126" s="406">
        <v>1246.47</v>
      </c>
      <c r="T126" s="279">
        <f t="shared" ref="T126:T130" si="270">S126</f>
        <v>0</v>
      </c>
      <c r="U126" s="278">
        <f t="shared" ref="U126:X126" si="271">U199</f>
        <v>0</v>
      </c>
      <c r="V126" s="278">
        <f t="shared" si="271"/>
        <v>0</v>
      </c>
      <c r="W126" s="278">
        <f t="shared" si="271"/>
        <v>0</v>
      </c>
      <c r="X126" s="278">
        <f t="shared" si="271"/>
        <v>0</v>
      </c>
      <c r="Y126" s="279">
        <f t="shared" ref="Y126:Y130" si="272">X126</f>
        <v>0</v>
      </c>
      <c r="Z126" s="278">
        <f t="shared" ref="Z126:AC126" si="273">Z199</f>
        <v>0</v>
      </c>
      <c r="AA126" s="278">
        <f t="shared" si="273"/>
        <v>0</v>
      </c>
      <c r="AB126" s="278">
        <f t="shared" si="273"/>
        <v>0</v>
      </c>
      <c r="AC126" s="278">
        <f t="shared" si="273"/>
        <v>0</v>
      </c>
      <c r="AD126" s="279">
        <f t="shared" ref="AD126:AD130" si="274">AC126</f>
        <v>0</v>
      </c>
      <c r="AE126" s="279">
        <f t="shared" ref="AE126:AG126" si="275">AE199</f>
        <v>0</v>
      </c>
      <c r="AF126" s="279">
        <f t="shared" si="275"/>
        <v>0</v>
      </c>
      <c r="AG126" s="279">
        <f t="shared" si="275"/>
        <v>0</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1847.856</v>
      </c>
      <c r="K128" s="406">
        <v>1824.037</v>
      </c>
      <c r="L128" s="406">
        <v>1822.809</v>
      </c>
      <c r="M128" s="406">
        <v>1832.958</v>
      </c>
      <c r="N128" s="406">
        <v>1827.938</v>
      </c>
      <c r="O128" s="158">
        <f>N128</f>
        <v>1827.938</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4196.112</v>
      </c>
      <c r="K129" s="407">
        <v>4787.836</v>
      </c>
      <c r="L129" s="407">
        <v>3831.127</v>
      </c>
      <c r="M129" s="407">
        <v>3263.629</v>
      </c>
      <c r="N129" s="407">
        <v>3124.187</v>
      </c>
      <c r="O129" s="358">
        <f>N129</f>
        <v>3124.187</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7109.648</v>
      </c>
      <c r="K130" s="349">
        <f t="shared" ref="K130:N130" si="287">SUM(K126:K129)</f>
        <v>7715.363</v>
      </c>
      <c r="L130" s="349">
        <f t="shared" si="287"/>
        <v>6860.424999999999</v>
      </c>
      <c r="M130" s="349">
        <f t="shared" si="287"/>
        <v>6325.615</v>
      </c>
      <c r="N130" s="349">
        <f t="shared" si="287"/>
        <v>6146.845</v>
      </c>
      <c r="O130" s="279">
        <f t="shared" ref="O130" si="288">N130</f>
        <v>6146.845</v>
      </c>
      <c r="P130" s="349">
        <f t="shared" ref="P130:S130" si="289">SUM(P126:P129)</f>
        <v>6388.305</v>
      </c>
      <c r="Q130" s="349">
        <f t="shared" si="289"/>
        <v>6360.861000000001</v>
      </c>
      <c r="R130" s="349">
        <f t="shared" si="289"/>
        <v>6399.879999999999</v>
      </c>
      <c r="S130" s="349">
        <f t="shared" si="289"/>
        <v>6330.746</v>
      </c>
      <c r="T130" s="279">
        <f t="shared" si="270"/>
        <v>0</v>
      </c>
      <c r="U130" s="278">
        <f t="shared" ref="U130:X130" si="290">SUM(U126:U129)</f>
        <v>0</v>
      </c>
      <c r="V130" s="278">
        <f t="shared" si="290"/>
        <v>0</v>
      </c>
      <c r="W130" s="278">
        <f t="shared" si="290"/>
        <v>0</v>
      </c>
      <c r="X130" s="278">
        <f t="shared" si="290"/>
        <v>0</v>
      </c>
      <c r="Y130" s="279">
        <f t="shared" si="272"/>
        <v>0</v>
      </c>
      <c r="Z130" s="278">
        <f t="shared" ref="Z130:AC130" si="291">SUM(Z126:Z129)</f>
        <v>0</v>
      </c>
      <c r="AA130" s="278">
        <f t="shared" si="291"/>
        <v>0</v>
      </c>
      <c r="AB130" s="278">
        <f t="shared" si="291"/>
        <v>0</v>
      </c>
      <c r="AC130" s="278">
        <f t="shared" si="291"/>
        <v>0</v>
      </c>
      <c r="AD130" s="279">
        <f t="shared" si="274"/>
        <v>0</v>
      </c>
      <c r="AE130" s="279">
        <f t="shared" ref="AE130:AG130" si="292">SUM(AE126:AE129)</f>
        <v>0</v>
      </c>
      <c r="AF130" s="279">
        <f t="shared" si="292"/>
        <v>0</v>
      </c>
      <c r="AG130" s="279">
        <f t="shared" si="292"/>
        <v>0</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57905.16100000001</v>
      </c>
      <c r="K132" s="349">
        <f t="shared" si="293"/>
        <v>60933</v>
      </c>
      <c r="L132" s="349">
        <f t="shared" si="293"/>
        <v>63000.53</v>
      </c>
      <c r="M132" s="349">
        <f t="shared" si="293"/>
        <v>63275.098</v>
      </c>
      <c r="N132" s="349">
        <f t="shared" si="293"/>
        <v>64360.309</v>
      </c>
      <c r="O132" s="279">
        <f t="shared" si="293"/>
        <v>64360.309</v>
      </c>
      <c r="P132" s="349">
        <f t="shared" si="293"/>
        <v>70218.891</v>
      </c>
      <c r="Q132" s="349">
        <f t="shared" si="293"/>
        <v>67285.34400000001</v>
      </c>
      <c r="R132" s="349">
        <f t="shared" si="293"/>
        <v>69319.709</v>
      </c>
      <c r="S132" s="349">
        <f t="shared" ref="S132" si="294">SUM(S124,S130)</f>
        <v>76012.347</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7698.367</v>
      </c>
      <c r="K135" s="360">
        <v>8149.941</v>
      </c>
      <c r="L135" s="360">
        <v>8178.388</v>
      </c>
      <c r="M135" s="360">
        <v>8319.522</v>
      </c>
      <c r="N135" s="360">
        <v>7760.342</v>
      </c>
      <c r="O135" s="279">
        <f t="shared" si="297"/>
        <v>7760.342</v>
      </c>
      <c r="P135" s="360">
        <v>8344.09</v>
      </c>
      <c r="Q135" s="360">
        <v>8076.672</v>
      </c>
      <c r="R135" s="360">
        <v>8128.541</v>
      </c>
      <c r="S135" s="360">
        <v>12171.814</v>
      </c>
      <c r="T135" s="279">
        <f t="shared" si="298"/>
        <v>0</v>
      </c>
      <c r="U135" s="278">
        <f t="shared" ref="U135:X135" si="304">U169</f>
        <v>0</v>
      </c>
      <c r="V135" s="278">
        <f t="shared" si="304"/>
        <v>0</v>
      </c>
      <c r="W135" s="278">
        <f t="shared" si="304"/>
        <v>0</v>
      </c>
      <c r="X135" s="278">
        <f t="shared" si="304"/>
        <v>0</v>
      </c>
      <c r="Y135" s="279">
        <f t="shared" si="300"/>
        <v>0</v>
      </c>
      <c r="Z135" s="278">
        <f t="shared" ref="Z135:AC135" si="305">Z169</f>
        <v>0</v>
      </c>
      <c r="AA135" s="278">
        <f t="shared" si="305"/>
        <v>0</v>
      </c>
      <c r="AB135" s="278">
        <f t="shared" si="305"/>
        <v>0</v>
      </c>
      <c r="AC135" s="278">
        <f t="shared" si="305"/>
        <v>0</v>
      </c>
      <c r="AD135" s="279">
        <f t="shared" si="302"/>
        <v>0</v>
      </c>
      <c r="AE135" s="279">
        <f t="shared" ref="AE135:AG135" si="306">AE169</f>
        <v>0</v>
      </c>
      <c r="AF135" s="279">
        <f t="shared" si="306"/>
        <v>0</v>
      </c>
      <c r="AG135" s="279">
        <f t="shared" si="306"/>
        <v>0</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0</v>
      </c>
      <c r="V136" s="278">
        <f t="shared" si="307"/>
        <v>0</v>
      </c>
      <c r="W136" s="278">
        <f t="shared" si="307"/>
        <v>0</v>
      </c>
      <c r="X136" s="278">
        <f t="shared" si="307"/>
        <v>0</v>
      </c>
      <c r="Y136" s="158">
        <f t="shared" si="300"/>
        <v>0</v>
      </c>
      <c r="Z136" s="278">
        <f t="shared" ref="Z136:AC136" si="308">Z170</f>
        <v>0</v>
      </c>
      <c r="AA136" s="278">
        <f t="shared" si="308"/>
        <v>0</v>
      </c>
      <c r="AB136" s="278">
        <f t="shared" si="308"/>
        <v>0</v>
      </c>
      <c r="AC136" s="278">
        <f t="shared" si="308"/>
        <v>0</v>
      </c>
      <c r="AD136" s="158">
        <f t="shared" si="302"/>
        <v>0</v>
      </c>
      <c r="AE136" s="279">
        <f t="shared" ref="AE136:AG136" si="309">AE170</f>
        <v>0</v>
      </c>
      <c r="AF136" s="279">
        <f t="shared" si="309"/>
        <v>0</v>
      </c>
      <c r="AG136" s="279">
        <f t="shared" si="309"/>
        <v>0</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0</v>
      </c>
      <c r="V137" s="352">
        <f t="shared" si="310"/>
        <v>0</v>
      </c>
      <c r="W137" s="352">
        <f t="shared" si="310"/>
        <v>0</v>
      </c>
      <c r="X137" s="352">
        <f t="shared" si="310"/>
        <v>0</v>
      </c>
      <c r="Y137" s="351">
        <f t="shared" si="300"/>
        <v>0</v>
      </c>
      <c r="Z137" s="352">
        <f t="shared" ref="Z137:AC137" si="311">Z171</f>
        <v>0</v>
      </c>
      <c r="AA137" s="352">
        <f t="shared" si="311"/>
        <v>0</v>
      </c>
      <c r="AB137" s="352">
        <f t="shared" si="311"/>
        <v>0</v>
      </c>
      <c r="AC137" s="352">
        <f t="shared" si="311"/>
        <v>0</v>
      </c>
      <c r="AD137" s="351">
        <f t="shared" si="302"/>
        <v>0</v>
      </c>
      <c r="AE137" s="351">
        <f t="shared" ref="AE137:AG137" si="312">AE171</f>
        <v>0</v>
      </c>
      <c r="AF137" s="351">
        <f t="shared" si="312"/>
        <v>0</v>
      </c>
      <c r="AG137" s="351">
        <f t="shared" si="312"/>
        <v>0</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38403.868</v>
      </c>
      <c r="K138" s="349">
        <f t="shared" ref="K138:N138" si="314">SUM(K134:K137)</f>
        <v>41147.847</v>
      </c>
      <c r="L138" s="349">
        <f t="shared" si="314"/>
        <v>40381.338</v>
      </c>
      <c r="M138" s="349">
        <f t="shared" si="314"/>
        <v>40237.319</v>
      </c>
      <c r="N138" s="349">
        <f t="shared" si="314"/>
        <v>40604.351</v>
      </c>
      <c r="O138" s="279">
        <f t="shared" si="297"/>
        <v>40604.351</v>
      </c>
      <c r="P138" s="349">
        <f t="shared" ref="P138:S138" si="315">SUM(P134:P137)</f>
        <v>45164.493</v>
      </c>
      <c r="Q138" s="349">
        <f t="shared" si="315"/>
        <v>41550.797</v>
      </c>
      <c r="R138" s="349">
        <f t="shared" si="315"/>
        <v>42804.759000000005</v>
      </c>
      <c r="S138" s="349">
        <f t="shared" si="315"/>
        <v>49473.847</v>
      </c>
      <c r="T138" s="279">
        <f t="shared" si="298"/>
        <v>0</v>
      </c>
      <c r="U138" s="278">
        <f t="shared" ref="U138:X138" si="316">SUM(U134:U137)</f>
        <v>0</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9698.752</v>
      </c>
      <c r="K141" s="360">
        <v>9917.278</v>
      </c>
      <c r="L141" s="360">
        <v>12666.6</v>
      </c>
      <c r="M141" s="360">
        <v>12922.012</v>
      </c>
      <c r="N141" s="360">
        <v>13530.565</v>
      </c>
      <c r="O141" s="158">
        <f t="shared" si="320"/>
        <v>13530.565</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9698.752</v>
      </c>
      <c r="K144" s="349">
        <f t="shared" ref="K144:N144" si="337">SUM(K140:K143)</f>
        <v>9917.278</v>
      </c>
      <c r="L144" s="349">
        <f t="shared" si="337"/>
        <v>12666.6</v>
      </c>
      <c r="M144" s="349">
        <f t="shared" si="337"/>
        <v>12922.012</v>
      </c>
      <c r="N144" s="349">
        <f t="shared" si="337"/>
        <v>13530.565</v>
      </c>
      <c r="O144" s="279">
        <f t="shared" si="320"/>
        <v>13530.565</v>
      </c>
      <c r="P144" s="349">
        <f t="shared" ref="P144:S144" si="338">SUM(P140:P143)</f>
        <v>14785.553</v>
      </c>
      <c r="Q144" s="349">
        <f t="shared" si="338"/>
        <v>15351.967</v>
      </c>
      <c r="R144" s="349">
        <f t="shared" si="338"/>
        <v>16013.634</v>
      </c>
      <c r="S144" s="349">
        <f t="shared" si="338"/>
        <v>15895.891</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48102.62</v>
      </c>
      <c r="K146" s="349">
        <f t="shared" si="342"/>
        <v>51065.125</v>
      </c>
      <c r="L146" s="349">
        <f t="shared" si="342"/>
        <v>53047.938</v>
      </c>
      <c r="M146" s="349">
        <f t="shared" si="342"/>
        <v>53159.331000000006</v>
      </c>
      <c r="N146" s="349">
        <f t="shared" si="342"/>
        <v>54134.916000000005</v>
      </c>
      <c r="O146" s="279">
        <f t="shared" si="342"/>
        <v>54134.916000000005</v>
      </c>
      <c r="P146" s="349">
        <f t="shared" si="342"/>
        <v>59950.046</v>
      </c>
      <c r="Q146" s="349">
        <f t="shared" si="342"/>
        <v>56902.763999999996</v>
      </c>
      <c r="R146" s="349">
        <f t="shared" si="342"/>
        <v>58818.393000000004</v>
      </c>
      <c r="S146" s="349">
        <f t="shared" ref="S146" si="343">SUM(S138,S144)</f>
        <v>65369.738</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v>
      </c>
      <c r="K147" s="406">
        <v>0.406</v>
      </c>
      <c r="L147" s="406">
        <v>0.406</v>
      </c>
      <c r="M147" s="406">
        <v>0.406</v>
      </c>
      <c r="N147" s="406">
        <v>0.406</v>
      </c>
      <c r="O147" s="279">
        <f>N147</f>
        <v>0</v>
      </c>
      <c r="P147" s="406">
        <v>0.406</v>
      </c>
      <c r="Q147" s="406">
        <v>0.406</v>
      </c>
      <c r="R147" s="406">
        <v>0.406</v>
      </c>
      <c r="S147" s="406">
        <v>0.406</v>
      </c>
      <c r="T147" s="279">
        <f>S147</f>
        <v>0</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0</v>
      </c>
      <c r="K148" s="406">
        <v>2238.627</v>
      </c>
      <c r="L148" s="406">
        <v>2263.244</v>
      </c>
      <c r="M148" s="406">
        <v>2291.777</v>
      </c>
      <c r="N148" s="406">
        <v>2309.758</v>
      </c>
      <c r="O148" s="279">
        <f>N148</f>
        <v>0</v>
      </c>
      <c r="P148" s="406">
        <v>2300.443</v>
      </c>
      <c r="Q148" s="406">
        <v>2335.685</v>
      </c>
      <c r="R148" s="406">
        <v>2351.744</v>
      </c>
      <c r="S148" s="406">
        <v>2384.305</v>
      </c>
      <c r="T148" s="279">
        <f t="shared" ref="T148:T151" si="350">S148</f>
        <v>0</v>
      </c>
      <c r="U148" s="278" t="e">
        <f t="shared" ref="U148:X148" si="351">U250</f>
        <v>#DIV/0!</v>
      </c>
      <c r="V148" s="278" t="e">
        <f t="shared" si="351"/>
        <v>#DIV/0!</v>
      </c>
      <c r="W148" s="278" t="e">
        <f t="shared" si="351"/>
        <v>#DIV/0!</v>
      </c>
      <c r="X148" s="278" t="e">
        <f t="shared" si="351"/>
        <v>#DIV/0!</v>
      </c>
      <c r="Y148" s="279" t="e">
        <f t="shared" ref="Y148:Y152" si="352">X148</f>
        <v>#DIV/0!</v>
      </c>
      <c r="Z148" s="278" t="e">
        <f t="shared" ref="Z148:AC148" si="353">Z250</f>
        <v>#DIV/0!</v>
      </c>
      <c r="AA148" s="278" t="e">
        <f t="shared" si="353"/>
        <v>#DIV/0!</v>
      </c>
      <c r="AB148" s="278" t="e">
        <f t="shared" si="353"/>
        <v>#DIV/0!</v>
      </c>
      <c r="AC148" s="278" t="e">
        <f t="shared" si="353"/>
        <v>#DIV/0!</v>
      </c>
      <c r="AD148" s="279" t="e">
        <f t="shared" ref="AD148:AD152" si="354">AC148</f>
        <v>#DIV/0!</v>
      </c>
      <c r="AE148" s="279" t="e">
        <f t="shared" ref="AE148:AG148" si="355">AE250</f>
        <v>#DIV/0!</v>
      </c>
      <c r="AF148" s="279" t="e">
        <f t="shared" si="355"/>
        <v>#DIV/0!</v>
      </c>
      <c r="AG148" s="279" t="e">
        <f t="shared" si="355"/>
        <v>#DIV/0!</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0</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0</v>
      </c>
      <c r="K151" s="407">
        <v>-396.438</v>
      </c>
      <c r="L151" s="407">
        <v>-410.734</v>
      </c>
      <c r="M151" s="407">
        <v>-369.965</v>
      </c>
      <c r="N151" s="407">
        <v>-423.131</v>
      </c>
      <c r="O151" s="358">
        <f>N151</f>
        <v>0</v>
      </c>
      <c r="P151" s="407">
        <v>-408.072</v>
      </c>
      <c r="Q151" s="407">
        <v>-339.695</v>
      </c>
      <c r="R151" s="407">
        <v>-374.927</v>
      </c>
      <c r="S151" s="407">
        <v>-384.434</v>
      </c>
      <c r="T151" s="351">
        <f t="shared" si="350"/>
        <v>0</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0</v>
      </c>
      <c r="K152" s="349">
        <f>SUM(K147:K151)</f>
        <v>9780.503</v>
      </c>
      <c r="L152" s="349">
        <f t="shared" ref="L152:N152" si="370">SUM(L147:L151)</f>
        <v>9875.462</v>
      </c>
      <c r="M152" s="349">
        <f t="shared" si="370"/>
        <v>10046.351999999999</v>
      </c>
      <c r="N152" s="349">
        <f t="shared" si="370"/>
        <v>10157.178000000002</v>
      </c>
      <c r="O152" s="279">
        <f t="shared" ref="O152" si="371">N152</f>
        <v>0</v>
      </c>
      <c r="P152" s="349">
        <f>SUM(P147:P151)</f>
        <v>10204.634</v>
      </c>
      <c r="Q152" s="349">
        <f t="shared" ref="Q152:S152" si="372">SUM(Q147:Q151)</f>
        <v>10305.431</v>
      </c>
      <c r="R152" s="349">
        <f t="shared" si="372"/>
        <v>10439.13</v>
      </c>
      <c r="S152" s="349">
        <f t="shared" si="372"/>
        <v>10575.102</v>
      </c>
      <c r="T152" s="279">
        <f>S152-0.055</f>
        <v>-0.055</v>
      </c>
      <c r="U152" s="278" t="e">
        <f>SUM(U147:U151)</f>
        <v>#DIV/0!</v>
      </c>
      <c r="V152" s="278" t="e">
        <f t="shared" ref="V152:X152" si="373">SUM(V147:V151)</f>
        <v>#DIV/0!</v>
      </c>
      <c r="W152" s="278" t="e">
        <f t="shared" si="373"/>
        <v>#DIV/0!</v>
      </c>
      <c r="X152" s="278" t="e">
        <f t="shared" si="373"/>
        <v>#DIV/0!</v>
      </c>
      <c r="Y152" s="279" t="e">
        <f t="shared" si="352"/>
        <v>#DIV/0!</v>
      </c>
      <c r="Z152" s="278" t="e">
        <f>SUM(Z147:Z151)</f>
        <v>#DIV/0!</v>
      </c>
      <c r="AA152" s="278" t="e">
        <f t="shared" ref="AA152:AC152" si="374">SUM(AA147:AA151)</f>
        <v>#DIV/0!</v>
      </c>
      <c r="AB152" s="278" t="e">
        <f t="shared" si="374"/>
        <v>#DIV/0!</v>
      </c>
      <c r="AC152" s="278" t="e">
        <f t="shared" si="374"/>
        <v>#DIV/0!</v>
      </c>
      <c r="AD152" s="279" t="e">
        <f t="shared" si="354"/>
        <v>#DIV/0!</v>
      </c>
      <c r="AE152" s="279" t="e">
        <f>SUM(AE147:AE151)</f>
        <v>#DIV/0!</v>
      </c>
      <c r="AF152" s="279" t="e">
        <f t="shared" ref="AF152:AG152" si="375">SUM(AF147:AF151)</f>
        <v>#DIV/0!</v>
      </c>
      <c r="AG152" s="279" t="e">
        <f t="shared" si="375"/>
        <v>#DIV/0!</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0</v>
      </c>
      <c r="K154" s="407">
        <v>87.372</v>
      </c>
      <c r="L154" s="407">
        <v>77.13</v>
      </c>
      <c r="M154" s="407">
        <v>69.415</v>
      </c>
      <c r="N154" s="407">
        <v>68.215</v>
      </c>
      <c r="O154" s="358">
        <f>N154</f>
        <v>0</v>
      </c>
      <c r="P154" s="407">
        <v>64.211</v>
      </c>
      <c r="Q154" s="407">
        <v>77.149</v>
      </c>
      <c r="R154" s="407">
        <v>62.186</v>
      </c>
      <c r="S154" s="407">
        <v>67.507</v>
      </c>
      <c r="T154" s="408">
        <f t="shared" ref="T154:T155" si="376">S154</f>
        <v>0</v>
      </c>
      <c r="U154" s="352">
        <f>T154+Drivers!U106</f>
        <v>0</v>
      </c>
      <c r="V154" s="352">
        <f>U154+Drivers!V106</f>
        <v>0</v>
      </c>
      <c r="W154" s="352">
        <f>V154+Drivers!W106</f>
        <v>0</v>
      </c>
      <c r="X154" s="352">
        <f>W154+Drivers!X106</f>
        <v>0</v>
      </c>
      <c r="Y154" s="351">
        <f t="shared" ref="Y154:Y155" si="377">X154</f>
        <v>0</v>
      </c>
      <c r="Z154" s="352">
        <f>Y154+Drivers!Z106</f>
        <v>0</v>
      </c>
      <c r="AA154" s="352">
        <f>Z154+Drivers!AA106</f>
        <v>0</v>
      </c>
      <c r="AB154" s="352">
        <f>AA154+Drivers!AB106</f>
        <v>0</v>
      </c>
      <c r="AC154" s="352">
        <f>AB154+Drivers!AC106</f>
        <v>0</v>
      </c>
      <c r="AD154" s="351">
        <f t="shared" ref="AD154:AD155" si="378">AC154</f>
        <v>0</v>
      </c>
      <c r="AE154" s="351">
        <f>AD154+Drivers!AE106</f>
        <v>0</v>
      </c>
      <c r="AF154" s="351">
        <f>AE154+Drivers!AF106</f>
        <v>0</v>
      </c>
      <c r="AG154" s="351">
        <f>AF154+Drivers!AG106</f>
        <v>0</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0</v>
      </c>
      <c r="K155" s="349">
        <f t="shared" ref="K155:N155" si="381">SUM(K152:K154)</f>
        <v>9867.875</v>
      </c>
      <c r="L155" s="349">
        <f t="shared" si="381"/>
        <v>9952.591999999999</v>
      </c>
      <c r="M155" s="349">
        <f t="shared" si="381"/>
        <v>10115.767</v>
      </c>
      <c r="N155" s="349">
        <f t="shared" si="381"/>
        <v>10225.393000000002</v>
      </c>
      <c r="O155" s="279">
        <f t="shared" ref="O155" si="382">N155</f>
        <v>0</v>
      </c>
      <c r="P155" s="349">
        <f t="shared" ref="P155:S155" si="383">SUM(P152:P154)</f>
        <v>10268.845</v>
      </c>
      <c r="Q155" s="349">
        <f t="shared" si="383"/>
        <v>10382.58</v>
      </c>
      <c r="R155" s="349">
        <f t="shared" si="383"/>
        <v>10501.315999999999</v>
      </c>
      <c r="S155" s="349">
        <f t="shared" si="383"/>
        <v>10642.609</v>
      </c>
      <c r="T155" s="279">
        <f t="shared" si="376"/>
        <v>0</v>
      </c>
      <c r="U155" s="278" t="e">
        <f t="shared" ref="U155:X155" si="384">SUM(U152:U154)</f>
        <v>#DIV/0!</v>
      </c>
      <c r="V155" s="278" t="e">
        <f t="shared" si="384"/>
        <v>#DIV/0!</v>
      </c>
      <c r="W155" s="278" t="e">
        <f t="shared" si="384"/>
        <v>#DIV/0!</v>
      </c>
      <c r="X155" s="278" t="e">
        <f t="shared" si="384"/>
        <v>#DIV/0!</v>
      </c>
      <c r="Y155" s="279" t="e">
        <f t="shared" si="377"/>
        <v>#DIV/0!</v>
      </c>
      <c r="Z155" s="278" t="e">
        <f t="shared" ref="Z155:AC155" si="385">SUM(Z152:Z154)</f>
        <v>#DIV/0!</v>
      </c>
      <c r="AA155" s="278" t="e">
        <f t="shared" si="385"/>
        <v>#DIV/0!</v>
      </c>
      <c r="AB155" s="278" t="e">
        <f t="shared" si="385"/>
        <v>#DIV/0!</v>
      </c>
      <c r="AC155" s="278" t="e">
        <f t="shared" si="385"/>
        <v>#DIV/0!</v>
      </c>
      <c r="AD155" s="279" t="e">
        <f t="shared" si="378"/>
        <v>#DIV/0!</v>
      </c>
      <c r="AE155" s="279" t="e">
        <f t="shared" ref="AE155:AG155" si="386">SUM(AE152:AE154)</f>
        <v>#DIV/0!</v>
      </c>
      <c r="AF155" s="279" t="e">
        <f t="shared" si="386"/>
        <v>#DIV/0!</v>
      </c>
      <c r="AG155" s="279" t="e">
        <f t="shared" si="386"/>
        <v>#DIV/0!</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0</v>
      </c>
      <c r="K157" s="349">
        <f t="shared" si="387"/>
        <v>60933</v>
      </c>
      <c r="L157" s="349">
        <f t="shared" si="387"/>
        <v>63000.53</v>
      </c>
      <c r="M157" s="349">
        <f t="shared" si="387"/>
        <v>63275.098000000005</v>
      </c>
      <c r="N157" s="349">
        <f t="shared" si="387"/>
        <v>64360.30900000001</v>
      </c>
      <c r="O157" s="279">
        <f t="shared" si="387"/>
        <v>0</v>
      </c>
      <c r="P157" s="349">
        <f t="shared" si="387"/>
        <v>70218.891</v>
      </c>
      <c r="Q157" s="349">
        <f t="shared" si="387"/>
        <v>67285.344</v>
      </c>
      <c r="R157" s="349">
        <f t="shared" si="387"/>
        <v>69319.709</v>
      </c>
      <c r="S157" s="349">
        <f t="shared" ref="S157" si="388">SUM(S146,S155)</f>
        <v>76012.347</v>
      </c>
      <c r="T157" s="279">
        <f>SUM(T146,T155)</f>
        <v>0</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7.275957614183426e-12</v>
      </c>
      <c r="H159" s="412">
        <f t="shared" si="390"/>
        <v>0</v>
      </c>
      <c r="I159" s="412">
        <f t="shared" si="390"/>
        <v>0</v>
      </c>
      <c r="J159" s="413">
        <f t="shared" si="390"/>
        <v>0</v>
      </c>
      <c r="K159" s="412">
        <f t="shared" si="390"/>
        <v>0</v>
      </c>
      <c r="L159" s="412">
        <f t="shared" si="390"/>
        <v>0</v>
      </c>
      <c r="M159" s="412">
        <f t="shared" si="390"/>
        <v>-7.275957614183426e-12</v>
      </c>
      <c r="N159" s="412">
        <f t="shared" si="390"/>
        <v>-7.275957614183426e-12</v>
      </c>
      <c r="O159" s="413">
        <f t="shared" si="390"/>
        <v>0</v>
      </c>
      <c r="P159" s="412">
        <f t="shared" si="390"/>
        <v>0</v>
      </c>
      <c r="Q159" s="412">
        <f t="shared" si="390"/>
        <v>1.4551915228366852e-11</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f>F$25</f>
        <v>0</v>
      </c>
      <c r="G161" s="54">
        <f t="shared" ref="G161:X161" si="393">G$63</f>
        <v>0</v>
      </c>
      <c r="H161" s="54">
        <f t="shared" si="393"/>
        <v>0</v>
      </c>
      <c r="I161" s="54">
        <f t="shared" si="393"/>
        <v>0</v>
      </c>
      <c r="J161" s="54">
        <f t="shared" si="393"/>
        <v>2023</v>
      </c>
      <c r="K161" s="54">
        <f t="shared" si="393"/>
        <v>0</v>
      </c>
      <c r="L161" s="54">
        <f t="shared" si="393"/>
        <v>0</v>
      </c>
      <c r="M161" s="54">
        <f t="shared" si="393"/>
        <v>0</v>
      </c>
      <c r="N161" s="54">
        <f t="shared" si="393"/>
        <v>0</v>
      </c>
      <c r="O161" s="54">
        <f t="shared" si="393"/>
        <v>2024</v>
      </c>
      <c r="P161" s="54">
        <f t="shared" si="393"/>
        <v>0</v>
      </c>
      <c r="Q161" s="54">
        <f t="shared" si="393"/>
        <v>0</v>
      </c>
      <c r="R161" s="54">
        <f t="shared" si="393"/>
        <v>0</v>
      </c>
      <c r="S161" s="54">
        <f t="shared" si="393"/>
        <v>0</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3747.893</v>
      </c>
      <c r="G163" s="349">
        <f t="shared" si="396"/>
        <v>3372.051</v>
      </c>
      <c r="H163" s="349">
        <f t="shared" si="396"/>
        <v>3916.626</v>
      </c>
      <c r="I163" s="349">
        <f t="shared" si="396"/>
        <v>4716.299</v>
      </c>
      <c r="J163" s="279">
        <f t="shared" si="396"/>
        <v>4716.299</v>
      </c>
      <c r="K163" s="349">
        <f t="shared" si="396"/>
        <v>5480.747</v>
      </c>
      <c r="L163" s="349">
        <f t="shared" si="396"/>
        <v>6114.367</v>
      </c>
      <c r="M163" s="349">
        <f t="shared" si="396"/>
        <v>5305.207</v>
      </c>
      <c r="N163" s="349">
        <f t="shared" si="396"/>
        <v>5824.844</v>
      </c>
      <c r="O163" s="279">
        <f t="shared" si="396"/>
        <v>5824.844</v>
      </c>
      <c r="P163" s="349">
        <f t="shared" si="396"/>
        <v>6703.258</v>
      </c>
      <c r="Q163" s="349">
        <f t="shared" si="396"/>
        <v>6225.189</v>
      </c>
      <c r="R163" s="349">
        <f t="shared" si="396"/>
        <v>6627.64</v>
      </c>
      <c r="S163" s="349">
        <f t="shared" ref="S163" si="397">S121</f>
        <v>8556.388</v>
      </c>
      <c r="T163" s="279">
        <f t="shared" ref="T163:T165" si="398">S163</f>
        <v>0</v>
      </c>
      <c r="U163" s="378">
        <f t="shared" ref="U163:X163" si="399">U184*U28*4</f>
        <v>0</v>
      </c>
      <c r="V163" s="378">
        <f t="shared" si="399"/>
        <v>0</v>
      </c>
      <c r="W163" s="378">
        <f t="shared" si="399"/>
        <v>0</v>
      </c>
      <c r="X163" s="378">
        <f t="shared" si="399"/>
        <v>0</v>
      </c>
      <c r="Y163" s="279">
        <f t="shared" ref="Y163:Y165" si="400">X163</f>
        <v>0</v>
      </c>
      <c r="Z163" s="378">
        <f t="shared" ref="Z163:AC163" si="401">Z184*Z28*4</f>
        <v>0</v>
      </c>
      <c r="AA163" s="378">
        <f t="shared" si="401"/>
        <v>0</v>
      </c>
      <c r="AB163" s="378">
        <f t="shared" si="401"/>
        <v>0</v>
      </c>
      <c r="AC163" s="378">
        <f t="shared" si="401"/>
        <v>0</v>
      </c>
      <c r="AD163" s="279">
        <f t="shared" ref="AD163:AD165" si="402">AC163</f>
        <v>0</v>
      </c>
      <c r="AE163" s="118">
        <f t="shared" ref="AE163:AG163" si="403">AE184*AE28</f>
        <v>0</v>
      </c>
      <c r="AF163" s="118">
        <f t="shared" si="403"/>
        <v>0</v>
      </c>
      <c r="AG163" s="118">
        <f t="shared" si="403"/>
        <v>0</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34534.191</v>
      </c>
      <c r="G165" s="379">
        <f t="shared" si="412"/>
        <v>36089.956</v>
      </c>
      <c r="H165" s="379">
        <f t="shared" si="412"/>
        <v>37089.349</v>
      </c>
      <c r="I165" s="379">
        <f t="shared" si="412"/>
        <v>37552.851</v>
      </c>
      <c r="J165" s="351">
        <f t="shared" si="412"/>
        <v>0</v>
      </c>
      <c r="K165" s="379">
        <f t="shared" si="412"/>
        <v>40121.199</v>
      </c>
      <c r="L165" s="379">
        <f t="shared" si="412"/>
        <v>39184.116</v>
      </c>
      <c r="M165" s="379">
        <f t="shared" si="412"/>
        <v>41070.805</v>
      </c>
      <c r="N165" s="379">
        <f t="shared" si="412"/>
        <v>40235.206</v>
      </c>
      <c r="O165" s="351">
        <f t="shared" si="412"/>
        <v>0</v>
      </c>
      <c r="P165" s="379">
        <f t="shared" si="412"/>
        <v>45950.985</v>
      </c>
      <c r="Q165" s="379">
        <f t="shared" si="412"/>
        <v>43438.891</v>
      </c>
      <c r="R165" s="379">
        <f t="shared" si="412"/>
        <v>44833.717</v>
      </c>
      <c r="S165" s="379">
        <f t="shared" ref="S165" si="413">S123</f>
        <v>47081.324</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38282.084</v>
      </c>
      <c r="G166" s="349">
        <f t="shared" si="420"/>
        <v>39462.007</v>
      </c>
      <c r="H166" s="349">
        <f t="shared" si="420"/>
        <v>41005.975000000006</v>
      </c>
      <c r="I166" s="349">
        <f t="shared" si="420"/>
        <v>42269.15</v>
      </c>
      <c r="J166" s="279">
        <f t="shared" si="420"/>
        <v>0</v>
      </c>
      <c r="K166" s="349">
        <f t="shared" si="420"/>
        <v>45601.946</v>
      </c>
      <c r="L166" s="349">
        <f t="shared" si="420"/>
        <v>45298.483</v>
      </c>
      <c r="M166" s="349">
        <f t="shared" si="420"/>
        <v>46376.012</v>
      </c>
      <c r="N166" s="349">
        <f t="shared" si="420"/>
        <v>46060.049999999996</v>
      </c>
      <c r="O166" s="279">
        <f t="shared" si="420"/>
        <v>0</v>
      </c>
      <c r="P166" s="349">
        <f t="shared" si="420"/>
        <v>52654.243</v>
      </c>
      <c r="Q166" s="349">
        <f t="shared" si="420"/>
        <v>49664.08</v>
      </c>
      <c r="R166" s="349">
        <f t="shared" si="420"/>
        <v>51461.356999999996</v>
      </c>
      <c r="S166" s="349">
        <f t="shared" ref="S166" si="421">SUM(S163:S165)</f>
        <v>55637.712</v>
      </c>
      <c r="T166" s="279">
        <f t="shared" si="420"/>
        <v>0</v>
      </c>
      <c r="U166" s="278">
        <f t="shared" si="420"/>
        <v>0</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477.764</v>
      </c>
      <c r="G168" s="349">
        <f t="shared" si="424"/>
        <v>846.9</v>
      </c>
      <c r="H168" s="349">
        <f t="shared" si="424"/>
        <v>924.892</v>
      </c>
      <c r="I168" s="349">
        <f t="shared" si="424"/>
        <v>989.715</v>
      </c>
      <c r="J168" s="279">
        <f t="shared" si="424"/>
        <v>0</v>
      </c>
      <c r="K168" s="349">
        <f t="shared" si="424"/>
        <v>1254.31</v>
      </c>
      <c r="L168" s="349">
        <f t="shared" si="424"/>
        <v>1625.31</v>
      </c>
      <c r="M168" s="349">
        <f t="shared" si="424"/>
        <v>1725.864</v>
      </c>
      <c r="N168" s="349">
        <f t="shared" si="424"/>
        <v>443.16</v>
      </c>
      <c r="O168" s="279">
        <f t="shared" si="424"/>
        <v>0</v>
      </c>
      <c r="P168" s="349">
        <f t="shared" si="424"/>
        <v>1172.806</v>
      </c>
      <c r="Q168" s="349">
        <f t="shared" si="424"/>
        <v>1315.103</v>
      </c>
      <c r="R168" s="349">
        <f t="shared" si="424"/>
        <v>1231.328</v>
      </c>
      <c r="S168" s="349">
        <f t="shared" ref="S168" si="425">S134</f>
        <v>1767.206</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7207.89</v>
      </c>
      <c r="G169" s="349">
        <f t="shared" si="435"/>
        <v>7553.79</v>
      </c>
      <c r="H169" s="349">
        <f t="shared" si="435"/>
        <v>7171.936</v>
      </c>
      <c r="I169" s="349">
        <f t="shared" si="435"/>
        <v>7698.367</v>
      </c>
      <c r="J169" s="279">
        <f t="shared" si="435"/>
        <v>7698.367</v>
      </c>
      <c r="K169" s="349">
        <f t="shared" si="435"/>
        <v>8149.941</v>
      </c>
      <c r="L169" s="349">
        <f t="shared" si="435"/>
        <v>8178.388</v>
      </c>
      <c r="M169" s="349">
        <f t="shared" si="435"/>
        <v>8319.522</v>
      </c>
      <c r="N169" s="349">
        <f t="shared" si="435"/>
        <v>7760.342</v>
      </c>
      <c r="O169" s="279">
        <f t="shared" si="435"/>
        <v>7760.342</v>
      </c>
      <c r="P169" s="349">
        <f t="shared" si="435"/>
        <v>8344.09</v>
      </c>
      <c r="Q169" s="349">
        <f t="shared" si="435"/>
        <v>8076.672</v>
      </c>
      <c r="R169" s="349">
        <f t="shared" si="435"/>
        <v>8128.541</v>
      </c>
      <c r="S169" s="349">
        <f t="shared" ref="S169" si="436">S135</f>
        <v>12171.814</v>
      </c>
      <c r="T169" s="279">
        <f t="shared" si="426"/>
        <v>0</v>
      </c>
      <c r="U169" s="278">
        <f t="shared" ref="U169:X169" si="437">U28*U189</f>
        <v>0</v>
      </c>
      <c r="V169" s="278">
        <f t="shared" si="437"/>
        <v>0</v>
      </c>
      <c r="W169" s="278">
        <f t="shared" si="437"/>
        <v>0</v>
      </c>
      <c r="X169" s="278">
        <f t="shared" si="437"/>
        <v>0</v>
      </c>
      <c r="Y169" s="279">
        <f t="shared" si="431"/>
        <v>0</v>
      </c>
      <c r="Z169" s="278">
        <f t="shared" ref="Z169:AC169" si="438">Z28*Z189</f>
        <v>0</v>
      </c>
      <c r="AA169" s="278">
        <f t="shared" si="438"/>
        <v>0</v>
      </c>
      <c r="AB169" s="278">
        <f t="shared" si="438"/>
        <v>0</v>
      </c>
      <c r="AC169" s="278">
        <f t="shared" si="438"/>
        <v>0</v>
      </c>
      <c r="AD169" s="279">
        <f t="shared" si="433"/>
        <v>0</v>
      </c>
      <c r="AE169" s="279">
        <f t="shared" ref="AE169:AG169" si="439">AE28*AE189</f>
        <v>0</v>
      </c>
      <c r="AF169" s="279">
        <f t="shared" si="439"/>
        <v>0</v>
      </c>
      <c r="AG169" s="279">
        <f t="shared" si="439"/>
        <v>0</v>
      </c>
      <c r="AH169" s="8"/>
      <c r="AI169" s="8"/>
      <c r="AJ169" s="8"/>
      <c r="AK169" s="8"/>
    </row>
    <row r="170" ht="15.75" customHeight="1" spans="1:37" x14ac:dyDescent="0.25">
      <c r="A170" s="261"/>
      <c r="B170" s="8"/>
      <c r="C170" s="131" t="str">
        <f t="shared" si="423"/>
        <v>Securities Loaned</v>
      </c>
      <c r="D170" s="8"/>
      <c r="E170" s="8"/>
      <c r="F170" s="354">
        <f t="shared" ref="F170:R170" si="440">F136</f>
        <v>1551.147</v>
      </c>
      <c r="G170" s="354">
        <f t="shared" si="440"/>
        <v>1221.523</v>
      </c>
      <c r="H170" s="354">
        <f t="shared" si="440"/>
        <v>1416.483</v>
      </c>
      <c r="I170" s="354">
        <f t="shared" si="440"/>
        <v>1840.518</v>
      </c>
      <c r="J170" s="158">
        <f t="shared" si="440"/>
        <v>0</v>
      </c>
      <c r="K170" s="354">
        <f t="shared" si="440"/>
        <v>2709.17</v>
      </c>
      <c r="L170" s="354">
        <f t="shared" si="440"/>
        <v>2244.127</v>
      </c>
      <c r="M170" s="354">
        <f t="shared" si="440"/>
        <v>2550.101</v>
      </c>
      <c r="N170" s="354">
        <f t="shared" si="440"/>
        <v>2540.861</v>
      </c>
      <c r="O170" s="158">
        <f t="shared" si="440"/>
        <v>0</v>
      </c>
      <c r="P170" s="354">
        <f t="shared" si="440"/>
        <v>2501.643</v>
      </c>
      <c r="Q170" s="354">
        <f t="shared" si="440"/>
        <v>2041.795</v>
      </c>
      <c r="R170" s="354">
        <f t="shared" si="440"/>
        <v>2498.013</v>
      </c>
      <c r="S170" s="354">
        <f t="shared" ref="S170" si="441">S136</f>
        <v>2540.759</v>
      </c>
      <c r="T170" s="158">
        <f t="shared" si="426"/>
        <v>0</v>
      </c>
      <c r="U170" s="356">
        <f t="shared" ref="U170:X170" si="442">U190*U28</f>
        <v>0</v>
      </c>
      <c r="V170" s="356">
        <f t="shared" si="442"/>
        <v>0</v>
      </c>
      <c r="W170" s="356">
        <f t="shared" si="442"/>
        <v>0</v>
      </c>
      <c r="X170" s="356">
        <f t="shared" si="442"/>
        <v>0</v>
      </c>
      <c r="Y170" s="158">
        <f t="shared" si="431"/>
        <v>0</v>
      </c>
      <c r="Z170" s="356">
        <f t="shared" ref="Z170:AC170" si="443">Z190*Z28</f>
        <v>0</v>
      </c>
      <c r="AA170" s="356">
        <f t="shared" si="443"/>
        <v>0</v>
      </c>
      <c r="AB170" s="356">
        <f t="shared" si="443"/>
        <v>0</v>
      </c>
      <c r="AC170" s="356">
        <f t="shared" si="443"/>
        <v>0</v>
      </c>
      <c r="AD170" s="158">
        <f t="shared" si="433"/>
        <v>0</v>
      </c>
      <c r="AE170" s="158">
        <f t="shared" ref="AE170:AG170" si="444">AE190*AE28</f>
        <v>0</v>
      </c>
      <c r="AF170" s="158">
        <f t="shared" si="444"/>
        <v>0</v>
      </c>
      <c r="AG170" s="158">
        <f t="shared" si="444"/>
        <v>0</v>
      </c>
      <c r="AH170" s="8"/>
      <c r="AI170" s="8"/>
      <c r="AJ170" s="8"/>
      <c r="AK170" s="8"/>
    </row>
    <row r="171" ht="15.75" customHeight="1" spans="1:37" x14ac:dyDescent="0.25">
      <c r="A171" s="261"/>
      <c r="B171" s="8"/>
      <c r="C171" s="131" t="str">
        <f t="shared" si="423"/>
        <v>Other Current Liabilities</v>
      </c>
      <c r="D171" s="8"/>
      <c r="E171" s="8"/>
      <c r="F171" s="379">
        <f t="shared" ref="F171:R171" si="445">F137</f>
        <v>24357.359</v>
      </c>
      <c r="G171" s="379">
        <f t="shared" si="445"/>
        <v>25566.601</v>
      </c>
      <c r="H171" s="379">
        <f t="shared" si="445"/>
        <v>27303.219</v>
      </c>
      <c r="I171" s="379">
        <f t="shared" si="445"/>
        <v>27875.268</v>
      </c>
      <c r="J171" s="351">
        <f t="shared" si="445"/>
        <v>0</v>
      </c>
      <c r="K171" s="379">
        <f t="shared" si="445"/>
        <v>29034.426</v>
      </c>
      <c r="L171" s="379">
        <f t="shared" si="445"/>
        <v>28333.513</v>
      </c>
      <c r="M171" s="379">
        <f t="shared" si="445"/>
        <v>27641.832</v>
      </c>
      <c r="N171" s="379">
        <f t="shared" si="445"/>
        <v>29859.988</v>
      </c>
      <c r="O171" s="351">
        <f t="shared" si="445"/>
        <v>0</v>
      </c>
      <c r="P171" s="379">
        <f t="shared" si="445"/>
        <v>33145.954</v>
      </c>
      <c r="Q171" s="379">
        <f t="shared" si="445"/>
        <v>30117.227</v>
      </c>
      <c r="R171" s="379">
        <f t="shared" si="445"/>
        <v>30946.877</v>
      </c>
      <c r="S171" s="379">
        <f t="shared" ref="S171" si="446">S137</f>
        <v>32994.068</v>
      </c>
      <c r="T171" s="351">
        <f t="shared" si="426"/>
        <v>0</v>
      </c>
      <c r="U171" s="352">
        <f t="shared" ref="U171:X171" si="447">U191*U28</f>
        <v>0</v>
      </c>
      <c r="V171" s="352">
        <f t="shared" si="447"/>
        <v>0</v>
      </c>
      <c r="W171" s="352">
        <f t="shared" si="447"/>
        <v>0</v>
      </c>
      <c r="X171" s="352">
        <f t="shared" si="447"/>
        <v>0</v>
      </c>
      <c r="Y171" s="351">
        <f t="shared" si="431"/>
        <v>0</v>
      </c>
      <c r="Z171" s="352">
        <f t="shared" ref="Z171:AC171" si="448">Z191*Z28</f>
        <v>0</v>
      </c>
      <c r="AA171" s="352">
        <f t="shared" si="448"/>
        <v>0</v>
      </c>
      <c r="AB171" s="352">
        <f t="shared" si="448"/>
        <v>0</v>
      </c>
      <c r="AC171" s="352">
        <f t="shared" si="448"/>
        <v>0</v>
      </c>
      <c r="AD171" s="351">
        <f t="shared" si="433"/>
        <v>0</v>
      </c>
      <c r="AE171" s="351">
        <f t="shared" ref="AE171:AG171" si="449">AE191*AE28</f>
        <v>0</v>
      </c>
      <c r="AF171" s="351">
        <f t="shared" si="449"/>
        <v>0</v>
      </c>
      <c r="AG171" s="351">
        <f t="shared" si="449"/>
        <v>0</v>
      </c>
      <c r="AH171" s="8"/>
      <c r="AI171" s="8"/>
      <c r="AJ171" s="8"/>
      <c r="AK171" s="8"/>
    </row>
    <row r="172" ht="15.75" customHeight="1" spans="1:37" x14ac:dyDescent="0.25">
      <c r="A172" s="261"/>
      <c r="B172" s="8"/>
      <c r="C172" s="8" t="s">
        <v>351</v>
      </c>
      <c r="D172" s="8"/>
      <c r="E172" s="8"/>
      <c r="F172" s="349">
        <f t="shared" ref="F172:X172" si="450">SUM(F168:F171)</f>
        <v>33594.16</v>
      </c>
      <c r="G172" s="349">
        <f t="shared" si="450"/>
        <v>35188.814</v>
      </c>
      <c r="H172" s="349">
        <f t="shared" si="450"/>
        <v>36816.53</v>
      </c>
      <c r="I172" s="349">
        <f t="shared" si="450"/>
        <v>38403.868</v>
      </c>
      <c r="J172" s="279">
        <f t="shared" si="450"/>
        <v>0</v>
      </c>
      <c r="K172" s="349">
        <f t="shared" si="450"/>
        <v>41147.847</v>
      </c>
      <c r="L172" s="349">
        <f t="shared" si="450"/>
        <v>40381.338</v>
      </c>
      <c r="M172" s="349">
        <f t="shared" si="450"/>
        <v>40237.319</v>
      </c>
      <c r="N172" s="349">
        <f t="shared" si="450"/>
        <v>40604.351</v>
      </c>
      <c r="O172" s="279">
        <f t="shared" si="450"/>
        <v>0</v>
      </c>
      <c r="P172" s="349">
        <f t="shared" si="450"/>
        <v>45164.493</v>
      </c>
      <c r="Q172" s="349">
        <f t="shared" si="450"/>
        <v>41550.797</v>
      </c>
      <c r="R172" s="349">
        <f t="shared" si="450"/>
        <v>42804.759000000005</v>
      </c>
      <c r="S172" s="349">
        <f t="shared" ref="S172" si="451">SUM(S168:S171)</f>
        <v>49473.847</v>
      </c>
      <c r="T172" s="279">
        <f t="shared" si="450"/>
        <v>0</v>
      </c>
      <c r="U172" s="278">
        <f t="shared" si="450"/>
        <v>0</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4687.923999999999</v>
      </c>
      <c r="G174" s="349">
        <f t="shared" si="453"/>
        <v>4273.192999999999</v>
      </c>
      <c r="H174" s="349">
        <f t="shared" si="453"/>
        <v>4189.445000000007</v>
      </c>
      <c r="I174" s="349">
        <f t="shared" si="453"/>
        <v>3865.2819999999992</v>
      </c>
      <c r="J174" s="279">
        <f t="shared" si="453"/>
        <v>0</v>
      </c>
      <c r="K174" s="349">
        <f t="shared" si="453"/>
        <v>4454.099000000002</v>
      </c>
      <c r="L174" s="349">
        <f t="shared" si="453"/>
        <v>4917.144999999997</v>
      </c>
      <c r="M174" s="349">
        <f t="shared" si="453"/>
        <v>6138.692999999999</v>
      </c>
      <c r="N174" s="349">
        <f t="shared" si="453"/>
        <v>5455.698999999993</v>
      </c>
      <c r="O174" s="279">
        <f t="shared" si="453"/>
        <v>0</v>
      </c>
      <c r="P174" s="349">
        <f t="shared" si="453"/>
        <v>7489.75</v>
      </c>
      <c r="Q174" s="349">
        <f t="shared" si="453"/>
        <v>8113.283000000003</v>
      </c>
      <c r="R174" s="349">
        <f t="shared" si="453"/>
        <v>8656.59799999999</v>
      </c>
      <c r="S174" s="349">
        <f t="shared" ref="S174" si="454">S166-S172</f>
        <v>6163.864999999998</v>
      </c>
      <c r="T174" s="279">
        <f t="shared" si="453"/>
        <v>0</v>
      </c>
      <c r="U174" s="278">
        <f>U166-U172</f>
        <v>0</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-4687.923999999999</v>
      </c>
      <c r="G176" s="394">
        <f t="shared" ref="G176" si="457">F174-G174</f>
        <v>414.73099999999977</v>
      </c>
      <c r="H176" s="394">
        <f t="shared" ref="H176" si="458">G174-H174</f>
        <v>83.74799999999232</v>
      </c>
      <c r="I176" s="394">
        <f t="shared" ref="I176" si="459">H174-I174</f>
        <v>324.16300000000774</v>
      </c>
      <c r="J176" s="395">
        <f>-(J174-E174)</f>
        <v>0</v>
      </c>
      <c r="K176" s="394">
        <f>I174-K174</f>
        <v>-588.8170000000027</v>
      </c>
      <c r="L176" s="394">
        <f t="shared" ref="L176" si="460">K174-L174</f>
        <v>-463.0459999999948</v>
      </c>
      <c r="M176" s="394">
        <f t="shared" ref="M176" si="461">L174-M174</f>
        <v>-1221.5480000000025</v>
      </c>
      <c r="N176" s="394">
        <f t="shared" ref="N176" si="462">M174-N174</f>
        <v>682.994000000006</v>
      </c>
      <c r="O176" s="395">
        <f>-(O174-J174)</f>
        <v>0</v>
      </c>
      <c r="P176" s="394">
        <f>N174-P174</f>
        <v>-2034.0510000000068</v>
      </c>
      <c r="Q176" s="394">
        <f t="shared" ref="Q176" si="463">-(Q174-P174)</f>
        <v>-623.5330000000031</v>
      </c>
      <c r="R176" s="394">
        <f t="shared" ref="R176" si="464">-(R174-Q174)</f>
        <v>-543.3149999999878</v>
      </c>
      <c r="S176" s="394">
        <f t="shared" ref="S176" si="465">R174-S174</f>
        <v>2492.732999999993</v>
      </c>
      <c r="T176" s="395">
        <f>-(T174-O174)</f>
        <v>0</v>
      </c>
      <c r="U176" s="396">
        <f>-(U174-S174)</f>
        <v>0</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-3459.9970000000003</v>
      </c>
      <c r="G178" s="349">
        <f t="shared" si="470"/>
        <v>-4181.739</v>
      </c>
      <c r="H178" s="349">
        <f t="shared" si="470"/>
        <v>-3255.3099999999995</v>
      </c>
      <c r="I178" s="349">
        <f t="shared" si="470"/>
        <v>-2982.068</v>
      </c>
      <c r="J178" s="279">
        <f t="shared" si="470"/>
        <v>-2982.068</v>
      </c>
      <c r="K178" s="349">
        <f t="shared" si="470"/>
        <v>-2669.1939999999995</v>
      </c>
      <c r="L178" s="349">
        <f t="shared" si="470"/>
        <v>-2064.0209999999997</v>
      </c>
      <c r="M178" s="349">
        <f t="shared" si="470"/>
        <v>-3014.3150000000005</v>
      </c>
      <c r="N178" s="349">
        <f t="shared" si="470"/>
        <v>-1935.4979999999996</v>
      </c>
      <c r="O178" s="279">
        <f t="shared" si="470"/>
        <v>-1935.4979999999996</v>
      </c>
      <c r="P178" s="349">
        <f t="shared" si="470"/>
        <v>-1640.8320000000003</v>
      </c>
      <c r="Q178" s="349">
        <f t="shared" si="470"/>
        <v>-1851.4829999999993</v>
      </c>
      <c r="R178" s="349">
        <f t="shared" si="470"/>
        <v>-1500.9009999999998</v>
      </c>
      <c r="S178" s="349">
        <f t="shared" ref="S178" si="471">S163+S164-S169</f>
        <v>-3615.4259999999995</v>
      </c>
      <c r="T178" s="279">
        <f t="shared" si="470"/>
        <v>0</v>
      </c>
      <c r="U178" s="278">
        <f t="shared" si="470"/>
        <v>0</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0</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0.5261340843545604</v>
      </c>
      <c r="G184" s="420">
        <f t="shared" si="489"/>
        <v>0.5107366674300338</v>
      </c>
      <c r="H184" s="420">
        <f t="shared" si="489"/>
        <v>0.4795989939337241</v>
      </c>
      <c r="I184" s="420">
        <f t="shared" si="489"/>
        <v>0.599050902380708</v>
      </c>
      <c r="J184" s="145" t="e">
        <f>J163/J28</f>
        <v>#DIV/0!</v>
      </c>
      <c r="K184" s="420">
        <f t="shared" ref="K184:N184" si="490">K163/(K28*4)</f>
        <v>0.536919236408978</v>
      </c>
      <c r="L184" s="420">
        <f t="shared" si="490"/>
        <v>0.6074769224288399</v>
      </c>
      <c r="M184" s="420">
        <f t="shared" si="490"/>
        <v>0.5109829599370317</v>
      </c>
      <c r="N184" s="420">
        <f t="shared" si="490"/>
        <v>0.5107286578971549</v>
      </c>
      <c r="O184" s="145" t="e">
        <f>O163/O28</f>
        <v>#DIV/0!</v>
      </c>
      <c r="P184" s="420">
        <f t="shared" ref="P184:S184" si="491">P163/(P28*4)</f>
        <v>0.6776816274570702</v>
      </c>
      <c r="Q184" s="420">
        <f t="shared" si="491"/>
        <v>0.6239377344080439</v>
      </c>
      <c r="R184" s="420">
        <f t="shared" si="491"/>
        <v>0.569840360370523</v>
      </c>
      <c r="S184" s="420">
        <f t="shared" si="491"/>
        <v>0.7254068062386905</v>
      </c>
      <c r="T184" s="145" t="e">
        <f>T163/T28</f>
        <v>#DIV/0!</v>
      </c>
      <c r="U184" s="421">
        <f>Drivers!U113</f>
        <v>0.63</v>
      </c>
      <c r="V184" s="421">
        <f>Drivers!V113</f>
        <v>0.62</v>
      </c>
      <c r="W184" s="421">
        <f>Drivers!W113</f>
        <v>0.61</v>
      </c>
      <c r="X184" s="421">
        <f>Drivers!X113</f>
        <v>0.6</v>
      </c>
      <c r="Y184" s="145" t="e">
        <f>Y163/Y28</f>
        <v>#DIV/0!</v>
      </c>
      <c r="Z184" s="421">
        <f>Drivers!Z113</f>
        <v>0.63</v>
      </c>
      <c r="AA184" s="421">
        <f>Drivers!AA113</f>
        <v>0.62</v>
      </c>
      <c r="AB184" s="421">
        <f>Drivers!AB113</f>
        <v>0.61</v>
      </c>
      <c r="AC184" s="421">
        <f>Drivers!AC113</f>
        <v>0.6</v>
      </c>
      <c r="AD184" s="145" t="e">
        <f>AD163/AD28</f>
        <v>#DIV/0!</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f t="shared" ref="G185" si="492">G147/F146</f>
        <v>0.00000961636119166327</v>
      </c>
      <c r="H185" s="423">
        <f t="shared" ref="H185" si="493">H147/G146</f>
        <v>0.000009232654105618017</v>
      </c>
      <c r="I185" s="423">
        <f t="shared" ref="I185" si="494">I147/H146</f>
        <v>0.000008772873566188879</v>
      </c>
      <c r="J185" s="424" t="e">
        <f>J147/I146</f>
        <v>#DIV/0!</v>
      </c>
      <c r="K185" s="423">
        <f>K147/J146</f>
        <v>0.000008440288699451298</v>
      </c>
      <c r="L185" s="423">
        <f t="shared" ref="L185" si="495">L147/K146</f>
        <v>0.000007950631668873817</v>
      </c>
      <c r="M185" s="423">
        <f t="shared" ref="M185" si="496">M147/L146</f>
        <v>0.00000765345488075333</v>
      </c>
      <c r="N185" s="423">
        <f t="shared" ref="N185" si="497">N147/M146</f>
        <v>0.00000763741740843202</v>
      </c>
      <c r="O185" s="424" t="e">
        <f>O147/N146</f>
        <v>#DIV/0!</v>
      </c>
      <c r="P185" s="423">
        <f>P147/O146</f>
        <v>0.000007499780733011574</v>
      </c>
      <c r="Q185" s="423">
        <f t="shared" ref="Q185" si="498">Q147/P146</f>
        <v>0.000006772305062117884</v>
      </c>
      <c r="R185" s="423">
        <f t="shared" ref="R185:S185" si="499">R147/Q146</f>
        <v>0.0000071349785398825275</v>
      </c>
      <c r="S185" s="423">
        <f t="shared" si="499"/>
        <v>0.000006902602728367638</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f>F165/F146</f>
        <v>0.8179636800933175</v>
      </c>
      <c r="G186" s="420">
        <f t="shared" ref="G186" si="500">G165/F146</f>
        <v>0.8548129366680663</v>
      </c>
      <c r="H186" s="420">
        <f t="shared" ref="H186" si="501">H165/G146</f>
        <v>0.8434313554668705</v>
      </c>
      <c r="I186" s="420">
        <f t="shared" ref="I186" si="502">I165/H146</f>
        <v>0.8114443691451468</v>
      </c>
      <c r="J186" s="145" t="e">
        <f t="shared" ref="J186" si="503">J165/I146</f>
        <v>#DIV/0!</v>
      </c>
      <c r="K186" s="420">
        <f t="shared" ref="K186" si="504">K165/J146</f>
        <v>0.834075129379647</v>
      </c>
      <c r="L186" s="420">
        <f t="shared" ref="L186" si="505">L165/K146</f>
        <v>0.7673361418384856</v>
      </c>
      <c r="M186" s="420">
        <f t="shared" ref="M186" si="506">M165/L146</f>
        <v>0.7742205738515228</v>
      </c>
      <c r="N186" s="420">
        <f t="shared" ref="N186" si="507">N165/M146</f>
        <v>0.756879464867607</v>
      </c>
      <c r="O186" s="145" t="e">
        <f t="shared" ref="O186" si="508">O165/N146</f>
        <v>#DIV/0!</v>
      </c>
      <c r="P186" s="420">
        <f t="shared" ref="P186" si="509">P165/O146</f>
        <v>0.8488234284874479</v>
      </c>
      <c r="Q186" s="420">
        <f t="shared" ref="Q186" si="510">Q165/P146</f>
        <v>0.72458478180317</v>
      </c>
      <c r="R186" s="420">
        <f t="shared" ref="R186:S186" si="511">R165/Q146</f>
        <v>0.7879005139363705</v>
      </c>
      <c r="S186" s="420">
        <f t="shared" si="511"/>
        <v>0.8004524027033516</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f t="shared" ref="G187:X187" si="512">SUM(G184:G185)-G186</f>
        <v>-0.3440666528768409</v>
      </c>
      <c r="H187" s="354">
        <f t="shared" si="512"/>
        <v>-0.3638231288790408</v>
      </c>
      <c r="I187" s="354">
        <f t="shared" si="512"/>
        <v>-0.21238469389087267</v>
      </c>
      <c r="J187" s="158" t="e">
        <f t="shared" si="512"/>
        <v>#DIV/0!</v>
      </c>
      <c r="K187" s="389">
        <f t="shared" si="512"/>
        <v>-0.2971474526819696</v>
      </c>
      <c r="L187" s="354">
        <f t="shared" si="512"/>
        <v>-0.15985126877797684</v>
      </c>
      <c r="M187" s="354">
        <f t="shared" si="512"/>
        <v>-0.26322996045961033</v>
      </c>
      <c r="N187" s="354">
        <f t="shared" si="512"/>
        <v>-0.24614316955304372</v>
      </c>
      <c r="O187" s="158" t="e">
        <f t="shared" si="512"/>
        <v>#DIV/0!</v>
      </c>
      <c r="P187" s="389">
        <f t="shared" si="512"/>
        <v>-0.17113430124964468</v>
      </c>
      <c r="Q187" s="354">
        <f t="shared" si="512"/>
        <v>-0.10064027509006401</v>
      </c>
      <c r="R187" s="354">
        <f t="shared" si="512"/>
        <v>-0.21805301858730763</v>
      </c>
      <c r="S187" s="354">
        <f t="shared" ref="S187" si="513">SUM(S184:S185)-S186</f>
        <v>-0.07503869386193274</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f>F168/F132</f>
        <v>0.009181952287419146</v>
      </c>
      <c r="G188" s="430">
        <f t="shared" ref="G188" si="515">G168/F132</f>
        <v>0.0162762271586291</v>
      </c>
      <c r="H188" s="430">
        <f t="shared" ref="H188" si="516">H168/G132</f>
        <v>0.01721049177326167</v>
      </c>
      <c r="I188" s="430">
        <f t="shared" ref="I188" si="517">I168/H132</f>
        <v>0.017659430597000505</v>
      </c>
      <c r="J188" s="431" t="e">
        <f t="shared" ref="J188" si="518">J168/I132</f>
        <v>#DIV/0!</v>
      </c>
      <c r="K188" s="430">
        <f t="shared" ref="K188" si="519">K168/J132</f>
        <v>0.021661454321834972</v>
      </c>
      <c r="L188" s="430">
        <f t="shared" ref="L188" si="520">L168/K132</f>
        <v>0.026673723598050317</v>
      </c>
      <c r="M188" s="430">
        <f t="shared" ref="M188" si="521">M168/L132</f>
        <v>0.027394436205536686</v>
      </c>
      <c r="N188" s="430">
        <f t="shared" ref="N188" si="522">N168/M132</f>
        <v>0.007003703099756559</v>
      </c>
      <c r="O188" s="431" t="e">
        <f t="shared" ref="O188" si="523">O168/N132</f>
        <v>#DIV/0!</v>
      </c>
      <c r="P188" s="430">
        <f t="shared" ref="P188" si="524">P168/O132</f>
        <v>0.01822250418344014</v>
      </c>
      <c r="Q188" s="430">
        <f t="shared" ref="Q188" si="525">Q168/P132</f>
        <v>0.018728621048714655</v>
      </c>
      <c r="R188" s="430">
        <f t="shared" ref="R188:S188" si="526">R168/Q132</f>
        <v>0.01830009221621873</v>
      </c>
      <c r="S188" s="430">
        <f t="shared" si="526"/>
        <v>0.025493557683573077</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4.047411818083806</v>
      </c>
      <c r="G189" s="430">
        <f t="shared" si="527"/>
        <v>4.5764403101451485</v>
      </c>
      <c r="H189" s="430">
        <f t="shared" si="527"/>
        <v>3.512873876808311</v>
      </c>
      <c r="I189" s="430">
        <f t="shared" si="527"/>
        <v>3.91129883682766</v>
      </c>
      <c r="J189" s="431" t="e">
        <f t="shared" si="527"/>
        <v>#DIV/0!</v>
      </c>
      <c r="K189" s="430">
        <f t="shared" si="527"/>
        <v>3.1936231309332266</v>
      </c>
      <c r="L189" s="430">
        <f t="shared" si="527"/>
        <v>3.2501692964579685</v>
      </c>
      <c r="M189" s="430">
        <f t="shared" si="527"/>
        <v>3.205253990520071</v>
      </c>
      <c r="N189" s="430">
        <f t="shared" si="527"/>
        <v>2.72174091150453</v>
      </c>
      <c r="O189" s="431" t="e">
        <f t="shared" si="527"/>
        <v>#DIV/0!</v>
      </c>
      <c r="P189" s="430">
        <f t="shared" si="527"/>
        <v>3.3742615849476563</v>
      </c>
      <c r="Q189" s="430">
        <f t="shared" si="527"/>
        <v>3.2380320849612017</v>
      </c>
      <c r="R189" s="430">
        <f t="shared" si="527"/>
        <v>2.795547575140817</v>
      </c>
      <c r="S189" s="430">
        <f t="shared" ref="S189" si="528">S169/S28</f>
        <v>4.127684120856315</v>
      </c>
      <c r="T189" s="431" t="e">
        <f>T169/T28</f>
        <v>#DIV/0!</v>
      </c>
      <c r="U189" s="432">
        <f>Drivers!U140</f>
        <v>2.8</v>
      </c>
      <c r="V189" s="432">
        <f>Drivers!V140</f>
        <v>2.75</v>
      </c>
      <c r="W189" s="432">
        <f>Drivers!W140</f>
        <v>2.5</v>
      </c>
      <c r="X189" s="432">
        <f>Drivers!X140</f>
        <v>2.65</v>
      </c>
      <c r="Y189" s="431" t="e">
        <f>Y169/Y28</f>
        <v>#DIV/0!</v>
      </c>
      <c r="Z189" s="432">
        <f>Drivers!Z140</f>
        <v>2.8</v>
      </c>
      <c r="AA189" s="432">
        <f>Drivers!AA140</f>
        <v>2.75</v>
      </c>
      <c r="AB189" s="432">
        <f>Drivers!AB140</f>
        <v>2.5</v>
      </c>
      <c r="AC189" s="432">
        <f>Drivers!AC140</f>
        <v>2.65</v>
      </c>
      <c r="AD189" s="431" t="e">
        <f>AD169/AD28</f>
        <v>#DIV/0!</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0.8710081174081793</v>
      </c>
      <c r="G190" s="430">
        <f t="shared" si="529"/>
        <v>0.7400559317864849</v>
      </c>
      <c r="H190" s="430">
        <f t="shared" si="529"/>
        <v>0.6938051493548001</v>
      </c>
      <c r="I190" s="430">
        <f t="shared" si="529"/>
        <v>0.9351094735494386</v>
      </c>
      <c r="J190" s="431" t="e">
        <f t="shared" si="529"/>
        <v>#DIV/0!</v>
      </c>
      <c r="K190" s="430">
        <f t="shared" si="529"/>
        <v>1.061611118121023</v>
      </c>
      <c r="L190" s="430">
        <f t="shared" si="529"/>
        <v>0.8918374467868645</v>
      </c>
      <c r="M190" s="430">
        <f t="shared" si="529"/>
        <v>0.9824748833501761</v>
      </c>
      <c r="N190" s="430">
        <f t="shared" si="529"/>
        <v>0.8911418252116095</v>
      </c>
      <c r="O190" s="431" t="e">
        <f t="shared" si="529"/>
        <v>#DIV/0!</v>
      </c>
      <c r="P190" s="430">
        <f t="shared" si="529"/>
        <v>1.0116379226678056</v>
      </c>
      <c r="Q190" s="430">
        <f t="shared" si="529"/>
        <v>0.8185794496685462</v>
      </c>
      <c r="R190" s="430">
        <f t="shared" si="529"/>
        <v>0.8591104092136876</v>
      </c>
      <c r="S190" s="430">
        <f t="shared" ref="S190" si="530">S170/S28</f>
        <v>0.8616177160793591</v>
      </c>
      <c r="T190" s="431" t="e">
        <f>T170/T28</f>
        <v>#DIV/0!</v>
      </c>
      <c r="U190" s="432">
        <f>Drivers!U145</f>
        <v>0.95</v>
      </c>
      <c r="V190" s="432">
        <f>Drivers!V145</f>
        <v>0.92</v>
      </c>
      <c r="W190" s="432">
        <f>Drivers!W145</f>
        <v>0.88</v>
      </c>
      <c r="X190" s="432">
        <f>Drivers!X145</f>
        <v>0.88</v>
      </c>
      <c r="Y190" s="431" t="e">
        <f>Y170/Y28</f>
        <v>#DIV/0!</v>
      </c>
      <c r="Z190" s="432">
        <f>Drivers!Z145</f>
        <v>0.95</v>
      </c>
      <c r="AA190" s="432">
        <f>Drivers!AA145</f>
        <v>0.92</v>
      </c>
      <c r="AB190" s="432">
        <f>Drivers!AB145</f>
        <v>0.88</v>
      </c>
      <c r="AC190" s="432">
        <f>Drivers!AC145</f>
        <v>0.88</v>
      </c>
      <c r="AD190" s="431" t="e">
        <f>AD170/AD28</f>
        <v>#DIV/0!</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13.677270695572487</v>
      </c>
      <c r="G191" s="430">
        <f t="shared" si="531"/>
        <v>15.489446146874252</v>
      </c>
      <c r="H191" s="430">
        <f t="shared" si="531"/>
        <v>13.373343651961807</v>
      </c>
      <c r="I191" s="430">
        <f t="shared" si="531"/>
        <v>14.162549447780197</v>
      </c>
      <c r="J191" s="431" t="e">
        <f t="shared" si="531"/>
        <v>#DIV/0!</v>
      </c>
      <c r="K191" s="430">
        <f t="shared" si="531"/>
        <v>11.377384752474782</v>
      </c>
      <c r="L191" s="430">
        <f t="shared" si="531"/>
        <v>11.260007964086896</v>
      </c>
      <c r="M191" s="430">
        <f t="shared" si="531"/>
        <v>10.649541202401458</v>
      </c>
      <c r="N191" s="430">
        <f t="shared" si="531"/>
        <v>10.47262491223123</v>
      </c>
      <c r="O191" s="431" t="e">
        <f t="shared" si="531"/>
        <v>#DIV/0!</v>
      </c>
      <c r="P191" s="430">
        <f t="shared" si="531"/>
        <v>13.403872594691824</v>
      </c>
      <c r="Q191" s="430">
        <f t="shared" si="531"/>
        <v>12.07434786704967</v>
      </c>
      <c r="R191" s="430">
        <f t="shared" si="531"/>
        <v>10.6431728591307</v>
      </c>
      <c r="S191" s="430">
        <f t="shared" ref="S191" si="532">S171/S28</f>
        <v>11.188890215217999</v>
      </c>
      <c r="T191" s="431" t="e">
        <f>T171/T28</f>
        <v>#DIV/0!</v>
      </c>
      <c r="U191" s="432">
        <f>Drivers!U150</f>
        <v>11</v>
      </c>
      <c r="V191" s="432">
        <f>Drivers!V150</f>
        <v>11</v>
      </c>
      <c r="W191" s="432">
        <f>Drivers!W152</f>
        <v>9.5</v>
      </c>
      <c r="X191" s="432">
        <f>Drivers!X150</f>
        <v>9</v>
      </c>
      <c r="Y191" s="431" t="e">
        <f>Y171/Y28</f>
        <v>#DIV/0!</v>
      </c>
      <c r="Z191" s="432">
        <f>Drivers!Z150</f>
        <v>11</v>
      </c>
      <c r="AA191" s="432">
        <f>Drivers!AA150</f>
        <v>11</v>
      </c>
      <c r="AB191" s="432">
        <f>Drivers!AB152</f>
        <v>9.5</v>
      </c>
      <c r="AC191" s="432">
        <f>Drivers!AC150</f>
        <v>9</v>
      </c>
      <c r="AD191" s="431" t="e">
        <f>AD171/AD28</f>
        <v>#DIV/0!</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f>F$25</f>
        <v>0</v>
      </c>
      <c r="G193" s="54">
        <f t="shared" ref="G193:X193" si="533">G$63</f>
        <v>0</v>
      </c>
      <c r="H193" s="54">
        <f t="shared" si="533"/>
        <v>0</v>
      </c>
      <c r="I193" s="54">
        <f t="shared" si="533"/>
        <v>0</v>
      </c>
      <c r="J193" s="54">
        <f t="shared" si="533"/>
        <v>2023</v>
      </c>
      <c r="K193" s="54">
        <f t="shared" si="533"/>
        <v>0</v>
      </c>
      <c r="L193" s="54">
        <f t="shared" si="533"/>
        <v>0</v>
      </c>
      <c r="M193" s="54">
        <f t="shared" si="533"/>
        <v>0</v>
      </c>
      <c r="N193" s="54">
        <f t="shared" si="533"/>
        <v>0</v>
      </c>
      <c r="O193" s="54">
        <f t="shared" si="533"/>
        <v>2024</v>
      </c>
      <c r="P193" s="54">
        <f t="shared" si="533"/>
        <v>0</v>
      </c>
      <c r="Q193" s="54">
        <f t="shared" si="533"/>
        <v>0</v>
      </c>
      <c r="R193" s="54">
        <f t="shared" si="533"/>
        <v>0</v>
      </c>
      <c r="S193" s="54">
        <f t="shared" si="533"/>
        <v>0</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0</v>
      </c>
      <c r="W195" s="278">
        <f t="shared" ref="W195" si="537">V199</f>
        <v>0</v>
      </c>
      <c r="X195" s="278">
        <f t="shared" ref="X195" si="538">W199</f>
        <v>0</v>
      </c>
      <c r="Y195" s="279">
        <f>U195</f>
        <v>0</v>
      </c>
      <c r="Z195" s="278">
        <f t="shared" ref="Z195:AC195" si="539">Y199</f>
        <v>0</v>
      </c>
      <c r="AA195" s="278">
        <f t="shared" si="539"/>
        <v>0</v>
      </c>
      <c r="AB195" s="278">
        <f t="shared" si="539"/>
        <v>0</v>
      </c>
      <c r="AC195" s="278">
        <f t="shared" si="539"/>
        <v>0</v>
      </c>
      <c r="AD195" s="279">
        <f>Y199</f>
        <v>0</v>
      </c>
      <c r="AE195" s="279">
        <f t="shared" ref="AE195:AG195" si="540">AD199</f>
        <v>0</v>
      </c>
      <c r="AF195" s="279">
        <f t="shared" si="540"/>
        <v>0</v>
      </c>
      <c r="AG195" s="279">
        <f t="shared" si="540"/>
        <v>0</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0</v>
      </c>
      <c r="V196" s="326">
        <f t="shared" si="544"/>
        <v>0</v>
      </c>
      <c r="W196" s="326">
        <f t="shared" si="544"/>
        <v>0</v>
      </c>
      <c r="X196" s="326">
        <f t="shared" si="544"/>
        <v>0</v>
      </c>
      <c r="Y196" s="325">
        <f t="shared" ref="Y196:Y198" si="545">SUM(U196:X196)</f>
        <v>0</v>
      </c>
      <c r="Z196" s="326">
        <f t="shared" ref="Z196:AC196" si="546">Z203*Z28</f>
        <v>0</v>
      </c>
      <c r="AA196" s="326">
        <f t="shared" si="546"/>
        <v>0</v>
      </c>
      <c r="AB196" s="326">
        <f t="shared" si="546"/>
        <v>0</v>
      </c>
      <c r="AC196" s="326">
        <f t="shared" si="546"/>
        <v>0</v>
      </c>
      <c r="AD196" s="325">
        <f t="shared" ref="AD196:AD198" si="547">SUM(Z196:AC196)</f>
        <v>0</v>
      </c>
      <c r="AE196" s="325">
        <f t="shared" ref="AE196:AG196" si="548">AE203*AE28</f>
        <v>0</v>
      </c>
      <c r="AF196" s="325">
        <f t="shared" si="548"/>
        <v>0</v>
      </c>
      <c r="AG196" s="325">
        <f t="shared" si="548"/>
        <v>0</v>
      </c>
      <c r="AH196" s="8"/>
      <c r="AI196" s="8"/>
      <c r="AJ196" s="8"/>
      <c r="AK196" s="8"/>
    </row>
    <row r="197" ht="15.75" customHeight="1" spans="1:37" x14ac:dyDescent="0.25">
      <c r="A197" s="261"/>
      <c r="B197" s="8"/>
      <c r="C197" s="131" t="s">
        <v>366</v>
      </c>
      <c r="D197" s="8"/>
      <c r="E197" s="8"/>
      <c r="F197" s="360"/>
      <c r="G197" s="360">
        <f>69-F197</f>
        <v>69</v>
      </c>
      <c r="H197" s="360">
        <f>105-SUM(F197:G197)</f>
        <v>36</v>
      </c>
      <c r="I197" s="360">
        <f>145-SUM(F197:H197)</f>
        <v>40</v>
      </c>
      <c r="J197" s="373">
        <f>SUM(F197:I197)</f>
        <v>145</v>
      </c>
      <c r="K197" s="360"/>
      <c r="L197" s="360">
        <f>81-K197</f>
        <v>81</v>
      </c>
      <c r="M197" s="360">
        <f>123-SUM(K197:L197)</f>
        <v>42</v>
      </c>
      <c r="N197" s="360">
        <f>165-SUM(K197:M197)</f>
        <v>42</v>
      </c>
      <c r="O197" s="373">
        <f t="shared" si="542"/>
        <v>165</v>
      </c>
      <c r="P197" s="360"/>
      <c r="Q197" s="360">
        <f>87-P197</f>
        <v>87</v>
      </c>
      <c r="R197" s="360">
        <f>132-SUM(P197:Q197)</f>
        <v>45</v>
      </c>
      <c r="S197" s="360">
        <f>165-SUM(P197:R197)</f>
        <v>33</v>
      </c>
      <c r="T197" s="325">
        <f t="shared" si="543"/>
        <v>165</v>
      </c>
      <c r="U197" s="356">
        <f t="shared" ref="U197:X197" si="549">-U204*U195/4</f>
        <v>0</v>
      </c>
      <c r="V197" s="356">
        <f t="shared" si="549"/>
        <v>0</v>
      </c>
      <c r="W197" s="356">
        <f t="shared" si="549"/>
        <v>0</v>
      </c>
      <c r="X197" s="356">
        <f t="shared" si="549"/>
        <v>0</v>
      </c>
      <c r="Y197" s="325">
        <f t="shared" si="545"/>
        <v>0</v>
      </c>
      <c r="Z197" s="356">
        <f t="shared" ref="Z197:AC197" si="550">-Z204*Z195/4</f>
        <v>0</v>
      </c>
      <c r="AA197" s="356">
        <f t="shared" si="550"/>
        <v>0</v>
      </c>
      <c r="AB197" s="356">
        <f t="shared" si="550"/>
        <v>0</v>
      </c>
      <c r="AC197" s="356">
        <f t="shared" si="550"/>
        <v>0</v>
      </c>
      <c r="AD197" s="325">
        <f t="shared" si="547"/>
        <v>0</v>
      </c>
      <c r="AE197" s="158">
        <f t="shared" ref="AE197:AG197" si="551">-AE204*AE195</f>
        <v>0</v>
      </c>
      <c r="AF197" s="158">
        <f t="shared" si="551"/>
        <v>0</v>
      </c>
      <c r="AG197" s="158">
        <f t="shared" si="551"/>
        <v>0</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904.064</v>
      </c>
      <c r="G199" s="349">
        <f t="shared" si="552"/>
        <v>907.234</v>
      </c>
      <c r="H199" s="349">
        <f t="shared" si="552"/>
        <v>929.903</v>
      </c>
      <c r="I199" s="349">
        <f t="shared" si="552"/>
        <v>1065.68</v>
      </c>
      <c r="J199" s="279">
        <f t="shared" si="552"/>
        <v>1065.68</v>
      </c>
      <c r="K199" s="349">
        <f t="shared" si="552"/>
        <v>1103.49</v>
      </c>
      <c r="L199" s="349">
        <f t="shared" si="552"/>
        <v>1206.489</v>
      </c>
      <c r="M199" s="349">
        <f t="shared" si="552"/>
        <v>1229.028</v>
      </c>
      <c r="N199" s="349">
        <f>N126</f>
        <v>1194.72</v>
      </c>
      <c r="O199" s="279">
        <f t="shared" ref="O199:R199" si="553">O126</f>
        <v>1194.72</v>
      </c>
      <c r="P199" s="349">
        <f t="shared" si="553"/>
        <v>1217.202</v>
      </c>
      <c r="Q199" s="349">
        <f t="shared" si="553"/>
        <v>1235.343</v>
      </c>
      <c r="R199" s="349">
        <f t="shared" si="553"/>
        <v>1255</v>
      </c>
      <c r="S199" s="349">
        <f>S126</f>
        <v>1246.47</v>
      </c>
      <c r="T199" s="279">
        <f>S199</f>
        <v>0</v>
      </c>
      <c r="U199" s="278">
        <f t="shared" ref="U199:X199" si="554">SUM(U195:U198)</f>
        <v>0</v>
      </c>
      <c r="V199" s="278">
        <f t="shared" si="554"/>
        <v>0</v>
      </c>
      <c r="W199" s="278">
        <f t="shared" si="554"/>
        <v>0</v>
      </c>
      <c r="X199" s="278">
        <f t="shared" si="554"/>
        <v>0</v>
      </c>
      <c r="Y199" s="279">
        <f>X199</f>
        <v>0</v>
      </c>
      <c r="Z199" s="278">
        <f t="shared" ref="Z199:AG199" si="555">SUM(Z195:Z198)</f>
        <v>0</v>
      </c>
      <c r="AA199" s="278">
        <f t="shared" si="555"/>
        <v>0</v>
      </c>
      <c r="AB199" s="278">
        <f t="shared" si="555"/>
        <v>0</v>
      </c>
      <c r="AC199" s="278">
        <f t="shared" si="555"/>
        <v>0</v>
      </c>
      <c r="AD199" s="279">
        <f t="shared" si="555"/>
        <v>0</v>
      </c>
      <c r="AE199" s="279">
        <f t="shared" si="555"/>
        <v>0</v>
      </c>
      <c r="AF199" s="279">
        <f t="shared" si="555"/>
        <v>0</v>
      </c>
      <c r="AG199" s="279">
        <f t="shared" si="555"/>
        <v>0</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-0.01066897865305829</v>
      </c>
      <c r="G203" s="430">
        <f t="shared" si="556"/>
        <v>-0.013934478868665718</v>
      </c>
      <c r="H203" s="430">
        <f t="shared" si="556"/>
        <v>-0.01273501615142914</v>
      </c>
      <c r="I203" s="430">
        <f t="shared" si="556"/>
        <v>-0.01168557867493667</v>
      </c>
      <c r="J203" s="431" t="e">
        <f t="shared" si="556"/>
        <v>#DIV/0!</v>
      </c>
      <c r="K203" s="430">
        <f t="shared" si="556"/>
        <v>-0.01058017776266075</v>
      </c>
      <c r="L203" s="430">
        <f t="shared" si="556"/>
        <v>-0.01669120008138947</v>
      </c>
      <c r="M203" s="430">
        <f t="shared" si="556"/>
        <v>-0.02041925744021877</v>
      </c>
      <c r="N203" s="430">
        <f>N196/N28</f>
        <v>-0.017886941901108358</v>
      </c>
      <c r="O203" s="431" t="e">
        <f t="shared" ref="O203:R203" si="557">O196/O28</f>
        <v>#DIV/0!</v>
      </c>
      <c r="P203" s="430">
        <f t="shared" si="557"/>
        <v>-0.02021947021752915</v>
      </c>
      <c r="Q203" s="430">
        <f t="shared" si="557"/>
        <v>-0.019644671984091824</v>
      </c>
      <c r="R203" s="430">
        <f t="shared" si="557"/>
        <v>-0.01925938052202551</v>
      </c>
      <c r="S203" s="430">
        <f>S196/S28</f>
        <v>-0.00610412828978603</v>
      </c>
      <c r="T203" s="431" t="e">
        <f>T196/T28</f>
        <v>#DIV/0!</v>
      </c>
      <c r="U203" s="432">
        <f>Drivers!U92</f>
        <v>-0.015</v>
      </c>
      <c r="V203" s="432">
        <f>Drivers!V92</f>
        <v>-0.015</v>
      </c>
      <c r="W203" s="432">
        <f>Drivers!W92</f>
        <v>-0.015</v>
      </c>
      <c r="X203" s="432">
        <f>Drivers!X92</f>
        <v>-0.015</v>
      </c>
      <c r="Y203" s="431" t="e">
        <f>Y196/Y28</f>
        <v>#DIV/0!</v>
      </c>
      <c r="Z203" s="432">
        <f>Drivers!Z92</f>
        <v>-0.015</v>
      </c>
      <c r="AA203" s="432">
        <f>Drivers!AA92</f>
        <v>-0.015</v>
      </c>
      <c r="AB203" s="432">
        <f>Drivers!AB92</f>
        <v>-0.015</v>
      </c>
      <c r="AC203" s="432">
        <f>Drivers!AC92</f>
        <v>-0.015</v>
      </c>
      <c r="AD203" s="431" t="e">
        <f>AD196/AD28</f>
        <v>#DIV/0!</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t="e">
        <f>-Y197/AVERAGE(T199,Y199)</f>
        <v>#DIV/0!</v>
      </c>
      <c r="Z204" s="432">
        <f>Drivers!Z72</f>
        <v>-0.145</v>
      </c>
      <c r="AA204" s="432">
        <f>Drivers!AA72</f>
        <v>-0.147</v>
      </c>
      <c r="AB204" s="432">
        <f>Drivers!AB72</f>
        <v>-0.147</v>
      </c>
      <c r="AC204" s="432">
        <f>Drivers!AC72</f>
        <v>-0.147</v>
      </c>
      <c r="AD204" s="431" t="e">
        <f>-AD197/AVERAGE(Y199,AD199)</f>
        <v>#DIV/0!</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-0.041803436605997155</v>
      </c>
      <c r="H205" s="430">
        <f t="shared" si="568"/>
        <v>-0.017633099286594192</v>
      </c>
      <c r="I205" s="430">
        <f t="shared" si="568"/>
        <v>-0.02032274552162899</v>
      </c>
      <c r="J205" s="431" t="e">
        <f t="shared" si="568"/>
        <v>#DIV/0!</v>
      </c>
      <c r="K205" s="430">
        <f t="shared" si="568"/>
        <v>0</v>
      </c>
      <c r="L205" s="430">
        <f t="shared" si="568"/>
        <v>-0.03219017158553684</v>
      </c>
      <c r="M205" s="430">
        <f t="shared" si="568"/>
        <v>-0.01618129834885261</v>
      </c>
      <c r="N205" s="430">
        <f t="shared" si="568"/>
        <v>-0.014730422742089236</v>
      </c>
      <c r="O205" s="431" t="e">
        <f t="shared" si="568"/>
        <v>#DIV/0!</v>
      </c>
      <c r="P205" s="430">
        <f t="shared" si="568"/>
        <v>0</v>
      </c>
      <c r="Q205" s="430">
        <f t="shared" si="568"/>
        <v>-0.034879315563591605</v>
      </c>
      <c r="R205" s="430">
        <f t="shared" si="568"/>
        <v>-0.015476287919484783</v>
      </c>
      <c r="S205" s="430">
        <f t="shared" ref="S205" si="569">-S197/S28</f>
        <v>-0.011190901864607722</v>
      </c>
      <c r="T205" s="431" t="e">
        <f t="shared" si="568"/>
        <v>#DIV/0!</v>
      </c>
      <c r="U205" s="436" t="e">
        <f t="shared" si="568"/>
        <v>#DIV/0!</v>
      </c>
      <c r="V205" s="436" t="e">
        <f t="shared" si="568"/>
        <v>#DIV/0!</v>
      </c>
      <c r="W205" s="436" t="e">
        <f t="shared" si="568"/>
        <v>#DIV/0!</v>
      </c>
      <c r="X205" s="436" t="e">
        <f t="shared" si="568"/>
        <v>#DIV/0!</v>
      </c>
      <c r="Y205" s="431" t="e">
        <f t="shared" ref="Y205:AG205" si="570">-Y197/Y28</f>
        <v>#DIV/0!</v>
      </c>
      <c r="Z205" s="436" t="e">
        <f t="shared" si="570"/>
        <v>#DIV/0!</v>
      </c>
      <c r="AA205" s="436" t="e">
        <f t="shared" si="570"/>
        <v>#DIV/0!</v>
      </c>
      <c r="AB205" s="436" t="e">
        <f t="shared" si="570"/>
        <v>#DIV/0!</v>
      </c>
      <c r="AC205" s="436" t="e">
        <f t="shared" si="570"/>
        <v>#DIV/0!</v>
      </c>
      <c r="AD205" s="431" t="e">
        <f t="shared" si="570"/>
        <v>#DIV/0!</v>
      </c>
      <c r="AE205" s="431" t="e">
        <f t="shared" si="570"/>
        <v>#DIV/0!</v>
      </c>
      <c r="AF205" s="431" t="e">
        <f t="shared" si="570"/>
        <v>#DIV/0!</v>
      </c>
      <c r="AG205" s="431" t="e">
        <f t="shared" si="570"/>
        <v>#DIV/0!</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f>F$25</f>
        <v>0</v>
      </c>
      <c r="G207" s="54">
        <f t="shared" ref="G207:X207" si="571">G$63</f>
        <v>0</v>
      </c>
      <c r="H207" s="54">
        <f t="shared" si="571"/>
        <v>0</v>
      </c>
      <c r="I207" s="54">
        <f t="shared" si="571"/>
        <v>0</v>
      </c>
      <c r="J207" s="54">
        <f t="shared" si="571"/>
        <v>2023</v>
      </c>
      <c r="K207" s="54">
        <f t="shared" si="571"/>
        <v>0</v>
      </c>
      <c r="L207" s="54">
        <f t="shared" si="571"/>
        <v>0</v>
      </c>
      <c r="M207" s="54">
        <f t="shared" si="571"/>
        <v>0</v>
      </c>
      <c r="N207" s="54">
        <f t="shared" si="571"/>
        <v>0</v>
      </c>
      <c r="O207" s="54">
        <f t="shared" si="571"/>
        <v>2024</v>
      </c>
      <c r="P207" s="54">
        <f t="shared" si="571"/>
        <v>0</v>
      </c>
      <c r="Q207" s="54">
        <f t="shared" si="571"/>
        <v>0</v>
      </c>
      <c r="R207" s="54">
        <f t="shared" si="571"/>
        <v>0</v>
      </c>
      <c r="S207" s="54">
        <f t="shared" si="571"/>
        <v>0</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F34-F197</f>
        <v>-33.292</v>
      </c>
      <c r="G211" s="324">
        <f t="shared" ref="F211:I211" si="601">G34-G197</f>
        <v>-94.31</v>
      </c>
      <c r="H211" s="324">
        <f t="shared" si="601"/>
        <v>-61.288</v>
      </c>
      <c r="I211" s="324">
        <f t="shared" si="601"/>
        <v>-68.311</v>
      </c>
      <c r="J211" s="325">
        <f t="shared" si="590"/>
        <v>-145</v>
      </c>
      <c r="K211" s="324">
        <f t="shared" ref="K211:N211" si="602">K34-K197</f>
        <v>-43.202</v>
      </c>
      <c r="L211" s="324">
        <f t="shared" si="602"/>
        <v>-130.946</v>
      </c>
      <c r="M211" s="324">
        <f t="shared" si="602"/>
        <v>-87.977</v>
      </c>
      <c r="N211" s="324">
        <f t="shared" si="602"/>
        <v>-93.201</v>
      </c>
      <c r="O211" s="325">
        <f t="shared" si="591"/>
        <v>-165</v>
      </c>
      <c r="P211" s="324">
        <f t="shared" ref="P211:S211" si="603">P34-P197</f>
        <v>-30.988</v>
      </c>
      <c r="Q211" s="324">
        <f t="shared" si="603"/>
        <v>-139.253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f>F$25</f>
        <v>0</v>
      </c>
      <c r="G219" s="54">
        <f t="shared" ref="G219:X219" si="628">G$63</f>
        <v>0</v>
      </c>
      <c r="H219" s="54">
        <f t="shared" si="628"/>
        <v>0</v>
      </c>
      <c r="I219" s="54">
        <f t="shared" si="628"/>
        <v>0</v>
      </c>
      <c r="J219" s="54">
        <f t="shared" si="628"/>
        <v>2023</v>
      </c>
      <c r="K219" s="54">
        <f t="shared" si="628"/>
        <v>0</v>
      </c>
      <c r="L219" s="54">
        <f t="shared" si="628"/>
        <v>0</v>
      </c>
      <c r="M219" s="54">
        <f t="shared" si="628"/>
        <v>0</v>
      </c>
      <c r="N219" s="54">
        <f t="shared" si="628"/>
        <v>0</v>
      </c>
      <c r="O219" s="54">
        <f t="shared" si="628"/>
        <v>2024</v>
      </c>
      <c r="P219" s="54">
        <f t="shared" si="628"/>
        <v>0</v>
      </c>
      <c r="Q219" s="54">
        <f t="shared" si="628"/>
        <v>0</v>
      </c>
      <c r="R219" s="54">
        <f t="shared" si="628"/>
        <v>0</v>
      </c>
      <c r="S219" s="54">
        <f t="shared" si="628"/>
        <v>0</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1735.865</v>
      </c>
      <c r="G221" s="349">
        <f t="shared" si="630"/>
        <v>1738.19</v>
      </c>
      <c r="H221" s="349">
        <f t="shared" si="630"/>
        <v>1739.468</v>
      </c>
      <c r="I221" s="349">
        <f t="shared" si="630"/>
        <v>1847.856</v>
      </c>
      <c r="J221" s="279">
        <f t="shared" si="630"/>
        <v>1847.856</v>
      </c>
      <c r="K221" s="349">
        <f t="shared" si="630"/>
        <v>1824.037</v>
      </c>
      <c r="L221" s="349">
        <f t="shared" si="630"/>
        <v>1822.809</v>
      </c>
      <c r="M221" s="349">
        <f t="shared" si="630"/>
        <v>1832.958</v>
      </c>
      <c r="N221" s="349">
        <f t="shared" si="630"/>
        <v>1827.938</v>
      </c>
      <c r="O221" s="279">
        <f t="shared" si="630"/>
        <v>1827.938</v>
      </c>
      <c r="P221" s="349">
        <f t="shared" si="630"/>
        <v>1824.647</v>
      </c>
      <c r="Q221" s="349">
        <f t="shared" si="630"/>
        <v>1842.114</v>
      </c>
      <c r="R221" s="349">
        <f t="shared" si="630"/>
        <v>1840.432</v>
      </c>
      <c r="S221" s="349">
        <f t="shared" ref="S221" si="631">S128</f>
        <v>1837.57</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3602.422</v>
      </c>
      <c r="G222" s="379">
        <f t="shared" si="635"/>
        <v>3627.699</v>
      </c>
      <c r="H222" s="379">
        <f t="shared" si="635"/>
        <v>3551.856</v>
      </c>
      <c r="I222" s="379">
        <f t="shared" si="635"/>
        <v>4196.112</v>
      </c>
      <c r="J222" s="351">
        <f t="shared" si="635"/>
        <v>4196.112</v>
      </c>
      <c r="K222" s="379">
        <f t="shared" si="635"/>
        <v>4787.836</v>
      </c>
      <c r="L222" s="379">
        <f t="shared" si="635"/>
        <v>3831.127</v>
      </c>
      <c r="M222" s="379">
        <f t="shared" si="635"/>
        <v>3263.629</v>
      </c>
      <c r="N222" s="379">
        <f t="shared" si="635"/>
        <v>3124.187</v>
      </c>
      <c r="O222" s="351">
        <f t="shared" si="635"/>
        <v>3124.187</v>
      </c>
      <c r="P222" s="379">
        <f t="shared" si="635"/>
        <v>3346.456</v>
      </c>
      <c r="Q222" s="379">
        <f t="shared" si="635"/>
        <v>3283.404</v>
      </c>
      <c r="R222" s="379">
        <f t="shared" si="635"/>
        <v>3304.448</v>
      </c>
      <c r="S222" s="379">
        <f t="shared" ref="S222" si="636">S129</f>
        <v>3246.706</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5338.287</v>
      </c>
      <c r="G223" s="349">
        <f t="shared" si="643"/>
        <v>5365.889</v>
      </c>
      <c r="H223" s="349">
        <f t="shared" si="643"/>
        <v>5291.3240000000005</v>
      </c>
      <c r="I223" s="349">
        <f t="shared" si="643"/>
        <v>6043.968</v>
      </c>
      <c r="J223" s="279">
        <f t="shared" si="643"/>
        <v>6043.968</v>
      </c>
      <c r="K223" s="349">
        <f t="shared" si="643"/>
        <v>6611.8730000000005</v>
      </c>
      <c r="L223" s="349">
        <f t="shared" si="643"/>
        <v>5653.936</v>
      </c>
      <c r="M223" s="349">
        <f t="shared" si="643"/>
        <v>5096.5869999999995</v>
      </c>
      <c r="N223" s="349">
        <f t="shared" si="643"/>
        <v>4952.125</v>
      </c>
      <c r="O223" s="279">
        <f t="shared" si="643"/>
        <v>4952.125</v>
      </c>
      <c r="P223" s="349">
        <f t="shared" si="643"/>
        <v>5171.103</v>
      </c>
      <c r="Q223" s="349">
        <f t="shared" si="643"/>
        <v>5125.518</v>
      </c>
      <c r="R223" s="349">
        <f t="shared" si="643"/>
        <v>5144.88</v>
      </c>
      <c r="S223" s="349">
        <f t="shared" ref="S223" si="644">SUM(S221:S222)</f>
        <v>5084.276</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27.60199999999986</v>
      </c>
      <c r="H224" s="446">
        <f t="shared" ref="H224" si="647">H223-G223</f>
        <v>-74.5649999999996</v>
      </c>
      <c r="I224" s="446">
        <f t="shared" ref="I224" si="648">I223-H223</f>
        <v>752.6439999999993</v>
      </c>
      <c r="J224" s="447">
        <f>J223-E223</f>
        <v>0</v>
      </c>
      <c r="K224" s="446">
        <f t="shared" ref="K224" si="649">K223-J223</f>
        <v>567.9050000000007</v>
      </c>
      <c r="L224" s="446">
        <f t="shared" ref="L224" si="650">L223-K223</f>
        <v>-957.9370000000008</v>
      </c>
      <c r="M224" s="446">
        <f t="shared" ref="M224" si="651">M223-L223</f>
        <v>-557.3490000000002</v>
      </c>
      <c r="N224" s="446">
        <f t="shared" ref="N224" si="652">N223-M223</f>
        <v>-144.46199999999953</v>
      </c>
      <c r="O224" s="447">
        <f>O223-J223</f>
        <v>0</v>
      </c>
      <c r="P224" s="446">
        <f t="shared" ref="P224" si="653">P223-O223</f>
        <v>218.97800000000007</v>
      </c>
      <c r="Q224" s="446">
        <f t="shared" ref="Q224" si="654">Q223-P223</f>
        <v>-45.585000000000036</v>
      </c>
      <c r="R224" s="446">
        <f t="shared" ref="R224:S224" si="655">R223-Q223</f>
        <v>19.36200000000008</v>
      </c>
      <c r="S224" s="446">
        <f t="shared" si="655"/>
        <v>-60.60400000000027</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-27.60199999999986</v>
      </c>
      <c r="H231" s="394">
        <f t="shared" si="692"/>
        <v>0</v>
      </c>
      <c r="I231" s="394">
        <f t="shared" si="692"/>
        <v>-752.6439999999993</v>
      </c>
      <c r="J231" s="395">
        <f t="shared" si="692"/>
        <v>0</v>
      </c>
      <c r="K231" s="394">
        <f t="shared" si="692"/>
        <v>-567.9050000000007</v>
      </c>
      <c r="L231" s="394">
        <f t="shared" si="692"/>
        <v>0</v>
      </c>
      <c r="M231" s="394">
        <f t="shared" si="692"/>
        <v>0</v>
      </c>
      <c r="N231" s="394">
        <f t="shared" si="692"/>
        <v>0</v>
      </c>
      <c r="O231" s="395">
        <f t="shared" si="692"/>
        <v>0</v>
      </c>
      <c r="P231" s="394">
        <f t="shared" si="692"/>
        <v>-218.97800000000007</v>
      </c>
      <c r="Q231" s="394">
        <f t="shared" si="692"/>
        <v>0</v>
      </c>
      <c r="R231" s="394">
        <f t="shared" si="692"/>
        <v>-19.36200000000008</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f t="shared" ref="G235" si="695">G222/F222-1</f>
        <v>0.007016668230429346</v>
      </c>
      <c r="H235" s="403">
        <f t="shared" ref="H235" si="696">H222/G222-1</f>
        <v>-0.0209066408210824</v>
      </c>
      <c r="I235" s="403">
        <f t="shared" ref="I235" si="697">I222/H222-1</f>
        <v>0.18138573185399398</v>
      </c>
      <c r="J235" s="404" t="e">
        <f>J222/E222-1</f>
        <v>#DIV/0!</v>
      </c>
      <c r="K235" s="403">
        <f>K222/I222-1</f>
        <v>0.14101720831093179</v>
      </c>
      <c r="L235" s="403">
        <f t="shared" ref="L235" si="698">L222/K222-1</f>
        <v>-0.19982075409433409</v>
      </c>
      <c r="M235" s="403">
        <f t="shared" ref="M235" si="699">M222/L222-1</f>
        <v>-0.14812821396941422</v>
      </c>
      <c r="N235" s="403">
        <f t="shared" ref="N235" si="700">N222/M222-1</f>
        <v>-0.04272605740419633</v>
      </c>
      <c r="O235" s="404" t="e">
        <f>O222/J222-1</f>
        <v>#DIV/0!</v>
      </c>
      <c r="P235" s="403">
        <f>P222/N222-1</f>
        <v>0.07114458897626807</v>
      </c>
      <c r="Q235" s="403">
        <f t="shared" ref="Q235" si="701">Q222/P222-1</f>
        <v>-0.018841425077753993</v>
      </c>
      <c r="R235" s="403">
        <f t="shared" ref="R235:S235" si="702">R222/Q222-1</f>
        <v>0.006409202157273253</v>
      </c>
      <c r="S235" s="403">
        <f t="shared" si="702"/>
        <v>-0.01747402289277955</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f>F$25</f>
        <v>0</v>
      </c>
      <c r="G237" s="54">
        <f t="shared" ref="G237:X237" si="703">G$63</f>
        <v>0</v>
      </c>
      <c r="H237" s="54">
        <f t="shared" si="703"/>
        <v>0</v>
      </c>
      <c r="I237" s="54">
        <f t="shared" si="703"/>
        <v>0</v>
      </c>
      <c r="J237" s="54">
        <f t="shared" si="703"/>
        <v>2023</v>
      </c>
      <c r="K237" s="54">
        <f t="shared" si="703"/>
        <v>0</v>
      </c>
      <c r="L237" s="54">
        <f t="shared" si="703"/>
        <v>0</v>
      </c>
      <c r="M237" s="54">
        <f t="shared" si="703"/>
        <v>0</v>
      </c>
      <c r="N237" s="54">
        <f t="shared" si="703"/>
        <v>0</v>
      </c>
      <c r="O237" s="54">
        <f t="shared" si="703"/>
        <v>2024</v>
      </c>
      <c r="P237" s="54">
        <f t="shared" si="703"/>
        <v>0</v>
      </c>
      <c r="Q237" s="54">
        <f t="shared" si="703"/>
        <v>0</v>
      </c>
      <c r="R237" s="54">
        <f t="shared" si="703"/>
        <v>0</v>
      </c>
      <c r="S237" s="54">
        <f t="shared" si="703"/>
        <v>0</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0.5697758241758242</v>
      </c>
      <c r="G240" s="377">
        <f t="shared" si="705"/>
        <v>0.03472508591065373</v>
      </c>
      <c r="H240" s="377">
        <f t="shared" si="705"/>
        <v>0.2502152014652002</v>
      </c>
      <c r="I240" s="377">
        <f t="shared" si="705"/>
        <v>0.2968293718166392</v>
      </c>
      <c r="J240" s="118">
        <f t="shared" si="705"/>
        <v>0</v>
      </c>
      <c r="K240" s="377">
        <f t="shared" si="705"/>
        <v>0.7292068001242841</v>
      </c>
      <c r="L240" s="377">
        <f t="shared" si="705"/>
        <v>0.6838369902629271</v>
      </c>
      <c r="M240" s="377">
        <f t="shared" si="705"/>
        <v>0.787929090170959</v>
      </c>
      <c r="N240" s="377">
        <f t="shared" si="705"/>
        <v>0.9780728817348537</v>
      </c>
      <c r="O240" s="118">
        <f t="shared" si="705"/>
        <v>0</v>
      </c>
      <c r="P240" s="377">
        <f t="shared" si="705"/>
        <v>0.6151954614112044</v>
      </c>
      <c r="Q240" s="377">
        <f t="shared" si="705"/>
        <v>0.4118932804542805</v>
      </c>
      <c r="R240" s="377">
        <f t="shared" si="705"/>
        <v>1.0889268073641674</v>
      </c>
      <c r="S240" s="377">
        <f t="shared" ref="S240" si="706">S53</f>
        <v>1.0026732249786114</v>
      </c>
      <c r="T240" s="118">
        <f t="shared" si="705"/>
        <v>-29.35047056342914</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f>F242/SUM(F240,B241:D241)</f>
        <v>66.71044713941862</v>
      </c>
      <c r="G241" s="450">
        <f>G242/SUM(F240:G240,C240:D240)</f>
        <v>57.4854386820175</v>
      </c>
      <c r="H241" s="450">
        <f>H242/SUM(F240:H240,D240)</f>
        <v>40.645074464469765</v>
      </c>
      <c r="I241" s="450">
        <f>I242/SUM(F240:I240)</f>
        <v>30.967079038591724</v>
      </c>
      <c r="J241" s="451" t="e">
        <f>J242/J240</f>
        <v>#DIV/0!</v>
      </c>
      <c r="K241" s="450">
        <f>K242/SUM(K240,G240:I240)</f>
        <v>30.992165962441888</v>
      </c>
      <c r="L241" s="450">
        <f>L242/SUM(K240:L240,H240:I240)</f>
        <v>20.743962748643305</v>
      </c>
      <c r="M241" s="450">
        <f>M242/SUM(K240:M240,I240)</f>
        <v>16.302331364016133</v>
      </c>
      <c r="N241" s="450">
        <f>N242/SUM(K240:N240)</f>
        <v>12.80887506653221</v>
      </c>
      <c r="O241" s="451" t="e">
        <f>O242/O240</f>
        <v>#DIV/0!</v>
      </c>
      <c r="P241" s="450">
        <f>P242/SUM(P240,L240:N240)</f>
        <v>26.39122072420998</v>
      </c>
      <c r="Q241" s="450">
        <f>Q242/SUM(P240:Q240,M240:N240)</f>
        <v>28.681488791258616</v>
      </c>
      <c r="R241" s="450">
        <f>R242/SUM(P240:R240,N240)</f>
        <v>25.791118056417126</v>
      </c>
      <c r="S241" s="450">
        <f>S242/SUM(P240:S240)</f>
        <v>13.056769350233584</v>
      </c>
      <c r="T241" s="451">
        <f>T242/T240</f>
        <v>-2.7297459798611796</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F244/F242</f>
        <v>2.5756379900026314</v>
      </c>
      <c r="G243" s="354">
        <f t="shared" ref="F243:I243" si="714">G244/G242</f>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t="e">
        <f t="shared" ref="V247" si="729">U250</f>
        <v>#DIV/0!</v>
      </c>
      <c r="W247" s="278" t="e">
        <f t="shared" ref="W247" si="730">V250</f>
        <v>#DIV/0!</v>
      </c>
      <c r="X247" s="278" t="e">
        <f t="shared" ref="X247" si="731">W250</f>
        <v>#DIV/0!</v>
      </c>
      <c r="Y247" s="279"/>
      <c r="Z247" s="278" t="e">
        <f t="shared" ref="Z247:AC247" si="732">Y250</f>
        <v>#DIV/0!</v>
      </c>
      <c r="AA247" s="278" t="e">
        <f t="shared" si="732"/>
        <v>#DIV/0!</v>
      </c>
      <c r="AB247" s="278" t="e">
        <f t="shared" si="732"/>
        <v>#DIV/0!</v>
      </c>
      <c r="AC247" s="278" t="e">
        <f t="shared" si="732"/>
        <v>#DIV/0!</v>
      </c>
      <c r="AD247" s="279" t="e">
        <f>Y250</f>
        <v>#DIV/0!</v>
      </c>
      <c r="AE247" s="279" t="e">
        <f t="shared" ref="AE247:AG247" si="733">AD250</f>
        <v>#DIV/0!</v>
      </c>
      <c r="AF247" s="279" t="e">
        <f t="shared" si="733"/>
        <v>#DIV/0!</v>
      </c>
      <c r="AG247" s="279" t="e">
        <f t="shared" si="733"/>
        <v>#DIV/0!</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45.4</v>
      </c>
      <c r="K249" s="350">
        <v>20.215</v>
      </c>
      <c r="L249" s="350">
        <v>14.357</v>
      </c>
      <c r="M249" s="464">
        <v>13.377</v>
      </c>
      <c r="N249" s="350">
        <v>15.17</v>
      </c>
      <c r="O249" s="351">
        <f t="shared" si="735"/>
        <v>63.2</v>
      </c>
      <c r="P249" s="350">
        <v>35.637</v>
      </c>
      <c r="Q249" s="350">
        <v>18.193</v>
      </c>
      <c r="R249" s="350">
        <v>13.98</v>
      </c>
      <c r="S249" s="350">
        <f>88.227-SUM(P249:R249)</f>
        <v>20.417</v>
      </c>
      <c r="T249" s="351">
        <f t="shared" si="736"/>
        <v>88.227</v>
      </c>
      <c r="U249" s="352" t="e">
        <f t="shared" ref="U249:X249" si="739">U252*U28</f>
        <v>#DIV/0!</v>
      </c>
      <c r="V249" s="352" t="e">
        <f t="shared" si="739"/>
        <v>#DIV/0!</v>
      </c>
      <c r="W249" s="352" t="e">
        <f t="shared" si="739"/>
        <v>#DIV/0!</v>
      </c>
      <c r="X249" s="352" t="e">
        <f t="shared" si="739"/>
        <v>#DIV/0!</v>
      </c>
      <c r="Y249" s="351" t="e">
        <f t="shared" si="737"/>
        <v>#DIV/0!</v>
      </c>
      <c r="Z249" s="352" t="e">
        <f t="shared" ref="Z249:AC249" si="740">Z252*Z28</f>
        <v>#DIV/0!</v>
      </c>
      <c r="AA249" s="352" t="e">
        <f t="shared" si="740"/>
        <v>#DIV/0!</v>
      </c>
      <c r="AB249" s="352" t="e">
        <f t="shared" si="740"/>
        <v>#DIV/0!</v>
      </c>
      <c r="AC249" s="352" t="e">
        <f t="shared" si="740"/>
        <v>#DIV/0!</v>
      </c>
      <c r="AD249" s="351" t="e">
        <f t="shared" si="738"/>
        <v>#DIV/0!</v>
      </c>
      <c r="AE249" s="351" t="e">
        <f t="shared" ref="AE249:AG249" si="741">AE252*AE28</f>
        <v>#DIV/0!</v>
      </c>
      <c r="AF249" s="351" t="e">
        <f t="shared" si="741"/>
        <v>#DIV/0!</v>
      </c>
      <c r="AG249" s="351" t="e">
        <f t="shared" si="741"/>
        <v>#DIV/0!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0</v>
      </c>
      <c r="K250" s="349">
        <f t="shared" si="742"/>
        <v>2238.627</v>
      </c>
      <c r="L250" s="349">
        <f t="shared" si="742"/>
        <v>2263.244</v>
      </c>
      <c r="M250" s="465">
        <f t="shared" si="742"/>
        <v>2291.777</v>
      </c>
      <c r="N250" s="349">
        <f t="shared" si="742"/>
        <v>2309.758</v>
      </c>
      <c r="O250" s="279">
        <f t="shared" si="742"/>
        <v>0</v>
      </c>
      <c r="P250" s="349">
        <f t="shared" si="742"/>
        <v>2300.443</v>
      </c>
      <c r="Q250" s="349">
        <f t="shared" si="742"/>
        <v>2335.685</v>
      </c>
      <c r="R250" s="465">
        <f t="shared" si="742"/>
        <v>2351.744</v>
      </c>
      <c r="S250" s="349">
        <f t="shared" ref="S250" si="743">S148</f>
        <v>2384.305</v>
      </c>
      <c r="T250" s="279">
        <f>S250</f>
        <v>0</v>
      </c>
      <c r="U250" s="278" t="e">
        <f t="shared" ref="U250:X250" si="744">SUM(U247:U249)</f>
        <v>#DIV/0!</v>
      </c>
      <c r="V250" s="278" t="e">
        <f t="shared" si="744"/>
        <v>#DIV/0!</v>
      </c>
      <c r="W250" s="278" t="e">
        <f t="shared" si="744"/>
        <v>#DIV/0!</v>
      </c>
      <c r="X250" s="278" t="e">
        <f t="shared" si="744"/>
        <v>#DIV/0!</v>
      </c>
      <c r="Y250" s="279" t="e">
        <f>X250</f>
        <v>#DIV/0!</v>
      </c>
      <c r="Z250" s="278" t="e">
        <f t="shared" ref="Z250:AG250" si="745">SUM(Z247:Z249)</f>
        <v>#DIV/0!</v>
      </c>
      <c r="AA250" s="278" t="e">
        <f t="shared" si="745"/>
        <v>#DIV/0!</v>
      </c>
      <c r="AB250" s="278" t="e">
        <f t="shared" si="745"/>
        <v>#DIV/0!</v>
      </c>
      <c r="AC250" s="278" t="e">
        <f t="shared" si="745"/>
        <v>#DIV/0!</v>
      </c>
      <c r="AD250" s="279" t="e">
        <f t="shared" si="745"/>
        <v>#DIV/0!</v>
      </c>
      <c r="AE250" s="279" t="e">
        <f t="shared" si="745"/>
        <v>#DIV/0!</v>
      </c>
      <c r="AF250" s="279" t="e">
        <f t="shared" si="745"/>
        <v>#DIV/0!</v>
      </c>
      <c r="AG250" s="279" t="e">
        <f t="shared" si="745"/>
        <v>#DIV/0!</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0.007707494789046216</v>
      </c>
      <c r="G252" s="466">
        <f t="shared" si="746"/>
        <v>0.006356545751740901</v>
      </c>
      <c r="H252" s="466">
        <f t="shared" si="746"/>
        <v>0.005514261993568817</v>
      </c>
      <c r="I252" s="467">
        <f t="shared" si="746"/>
        <v>0.005021750418394523</v>
      </c>
      <c r="J252" s="468" t="e">
        <f t="shared" si="746"/>
        <v>#DIV/0!</v>
      </c>
      <c r="K252" s="466">
        <f t="shared" si="746"/>
        <v>0.00792141827674767</v>
      </c>
      <c r="L252" s="466">
        <f t="shared" si="746"/>
        <v>0.005705608561154968</v>
      </c>
      <c r="M252" s="467">
        <f t="shared" si="746"/>
        <v>0.005153743524109557</v>
      </c>
      <c r="N252" s="466">
        <f t="shared" si="746"/>
        <v>0.005320488404702231</v>
      </c>
      <c r="O252" s="468" t="e">
        <f t="shared" si="746"/>
        <v>#DIV/0!</v>
      </c>
      <c r="P252" s="466">
        <f t="shared" si="746"/>
        <v>0.014411225202841728</v>
      </c>
      <c r="Q252" s="466">
        <f t="shared" si="746"/>
        <v>0.007293786069522094</v>
      </c>
      <c r="R252" s="467">
        <f t="shared" si="746"/>
        <v>0.00480796678031994</v>
      </c>
      <c r="S252" s="466">
        <f t="shared" ref="S252" si="747">S249/S28</f>
        <v>0.006923777071808966</v>
      </c>
      <c r="T252" s="468" t="e">
        <f>T249/T28</f>
        <v>#DIV/0!</v>
      </c>
      <c r="U252" s="469" t="e">
        <f>S252</f>
        <v>#DIV/0!</v>
      </c>
      <c r="V252" s="469" t="e">
        <f t="shared" ref="V252" si="748">U252</f>
        <v>#DIV/0!</v>
      </c>
      <c r="W252" s="469" t="e">
        <f t="shared" ref="W252" si="749">V252</f>
        <v>#DIV/0!</v>
      </c>
      <c r="X252" s="469" t="e">
        <f t="shared" ref="X252" si="750">W252</f>
        <v>#DIV/0!</v>
      </c>
      <c r="Y252" s="468" t="e">
        <f>Y249/Y28</f>
        <v>#DIV/0!</v>
      </c>
      <c r="Z252" s="469" t="e">
        <f>X252</f>
        <v>#DIV/0!</v>
      </c>
      <c r="AA252" s="469" t="e">
        <f t="shared" ref="AA252:AC252" si="751">Z252</f>
        <v>#DIV/0!</v>
      </c>
      <c r="AB252" s="469" t="e">
        <f t="shared" si="751"/>
        <v>#DIV/0!</v>
      </c>
      <c r="AC252" s="469" t="e">
        <f t="shared" si="751"/>
        <v>#DIV/0!</v>
      </c>
      <c r="AD252" s="468" t="e">
        <f>AD249/AD28</f>
        <v>#DIV/0!</v>
      </c>
      <c r="AE252" s="470" t="e">
        <f>AC252</f>
        <v>#DIV/0!</v>
      </c>
      <c r="AF252" s="470" t="e">
        <f t="shared" ref="AF252:AG252" si="752">AE252</f>
        <v>#DIV/0!</v>
      </c>
      <c r="AG252" s="470" t="e">
        <f t="shared" si="752"/>
        <v>#DIV/0!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f t="shared" ref="G255" si="753">F259</f>
        <v>7930.615</v>
      </c>
      <c r="H255" s="349">
        <f t="shared" ref="H255" si="754">G259</f>
        <v>7868.766</v>
      </c>
      <c r="I255" s="465">
        <f t="shared" ref="I255" si="755">H259</f>
        <v>7852.522</v>
      </c>
      <c r="J255" s="279">
        <f>F255</f>
        <v>8003</v>
      </c>
      <c r="K255" s="349">
        <f t="shared" ref="K255" si="756">J259</f>
        <v>7849.844</v>
      </c>
      <c r="L255" s="349">
        <f t="shared" ref="L255" si="757">K259</f>
        <v>7937.908</v>
      </c>
      <c r="M255" s="465">
        <f t="shared" ref="M255" si="758">L259</f>
        <v>8022.546</v>
      </c>
      <c r="N255" s="349">
        <f t="shared" ref="N255" si="759">M259</f>
        <v>8124.134</v>
      </c>
      <c r="O255" s="279">
        <f>K255</f>
        <v>0</v>
      </c>
      <c r="P255" s="349">
        <f>O259</f>
        <v>8270.145</v>
      </c>
      <c r="Q255" s="349">
        <f t="shared" ref="Q255" si="760">P259</f>
        <v>8311.857</v>
      </c>
      <c r="R255" s="465">
        <f>Q259</f>
        <v>8309.035</v>
      </c>
      <c r="S255" s="349">
        <f t="shared" ref="R255:S255" si="761">R259</f>
        <v>8461.907</v>
      </c>
      <c r="T255" s="279">
        <f>O259</f>
        <v>0</v>
      </c>
      <c r="U255" s="278">
        <f t="shared" ref="U255" si="762">T259</f>
        <v>0</v>
      </c>
      <c r="V255" s="278">
        <f t="shared" ref="V255" si="763">U259</f>
        <v>8692.661723045421</v>
      </c>
      <c r="W255" s="278">
        <f t="shared" ref="W255" si="764">V259</f>
        <v>8805.724400927804</v>
      </c>
      <c r="X255" s="278">
        <f t="shared" ref="X255" si="765">W259</f>
        <v>8960.68992729487</v>
      </c>
      <c r="Y255" s="279">
        <f>T259</f>
        <v>0</v>
      </c>
      <c r="Z255" s="278">
        <f t="shared" ref="Z255:AC255" si="766">Y259</f>
        <v>9112.919280488479</v>
      </c>
      <c r="AA255" s="278">
        <f t="shared" si="766"/>
        <v>9220.231209733292</v>
      </c>
      <c r="AB255" s="278">
        <f t="shared" si="766"/>
        <v>9354.852159873784</v>
      </c>
      <c r="AC255" s="278">
        <f t="shared" si="766"/>
        <v>9582.286791058357</v>
      </c>
      <c r="AD255" s="279">
        <f>Y259</f>
        <v>9112.919280488479</v>
      </c>
      <c r="AE255" s="279">
        <f t="shared" ref="AE255:AG255" si="767">AD259</f>
        <v>9829.65905021877</v>
      </c>
      <c r="AF255" s="279">
        <f t="shared" si="767"/>
        <v>10413.29035836821</v>
      </c>
      <c r="AG255" s="279">
        <f t="shared" si="767"/>
        <v>10962.7212773251</v>
      </c>
      <c r="AH255" s="8"/>
      <c r="AI255" s="8"/>
      <c r="AJ255" s="8"/>
      <c r="AK255" s="8"/>
    </row>
    <row r="256" ht="15.75" customHeight="1" spans="1:37" x14ac:dyDescent="0.25">
      <c r="A256" s="261"/>
      <c r="B256" s="8"/>
      <c r="C256" s="131" t="s">
        <v>287</v>
      </c>
      <c r="D256" s="8"/>
      <c r="E256" s="8"/>
      <c r="F256" s="354">
        <f t="shared" ref="F256:I256" si="768">F45</f>
        <v>129.624</v>
      </c>
      <c r="G256" s="354">
        <f t="shared" si="768"/>
        <v>8.084000000000188</v>
      </c>
      <c r="H256" s="354">
        <f t="shared" si="768"/>
        <v>54.64699999999973</v>
      </c>
      <c r="I256" s="457">
        <f t="shared" si="768"/>
        <v>69.93300000000019</v>
      </c>
      <c r="J256" s="158">
        <f t="shared" ref="J256:J258" si="769">SUM(F256:I256)</f>
        <v>0</v>
      </c>
      <c r="K256" s="354">
        <f t="shared" ref="K256:N256" si="770">K45</f>
        <v>164.28299999999996</v>
      </c>
      <c r="L256" s="354">
        <f t="shared" si="770"/>
        <v>154.6469999999999</v>
      </c>
      <c r="M256" s="457">
        <f t="shared" si="770"/>
        <v>174.6759999999999</v>
      </c>
      <c r="N256" s="354">
        <f t="shared" si="770"/>
        <v>218.74600000000004</v>
      </c>
      <c r="O256" s="158">
        <f t="shared" ref="O256:O258" si="771">SUM(K256:N256)</f>
        <v>0</v>
      </c>
      <c r="P256" s="354">
        <f t="shared" ref="P256:S256" si="772">P45</f>
        <v>136.8489999999996</v>
      </c>
      <c r="Q256" s="354">
        <f t="shared" si="772"/>
        <v>91.3950000000003</v>
      </c>
      <c r="R256" s="457">
        <f t="shared" si="772"/>
        <v>242.50400000000005</v>
      </c>
      <c r="S256" s="354">
        <f t="shared" si="772"/>
        <v>215.6709999999994</v>
      </c>
      <c r="T256" s="158">
        <f t="shared" ref="T256:T258" si="773">SUM(P256:S256)</f>
        <v>-6472.762000000001</v>
      </c>
      <c r="U256" s="356">
        <f t="shared" ref="U256:X256" si="774">U45</f>
        <v>229.0767230454187</v>
      </c>
      <c r="V256" s="356">
        <f t="shared" si="774"/>
        <v>226.34267788238338</v>
      </c>
      <c r="W256" s="356">
        <f t="shared" si="774"/>
        <v>267.1655263670677</v>
      </c>
      <c r="X256" s="356">
        <f t="shared" si="774"/>
        <v>264.46535319360686</v>
      </c>
      <c r="Y256" s="158">
        <f t="shared" ref="Y256:Y258" si="775">SUM(U256:X256)</f>
        <v>987.0502804884766</v>
      </c>
      <c r="Z256" s="356">
        <f t="shared" ref="Z256:AC256" si="776">Z45</f>
        <v>240.79992924481266</v>
      </c>
      <c r="AA256" s="356">
        <f t="shared" si="776"/>
        <v>270.55695014049167</v>
      </c>
      <c r="AB256" s="356">
        <f t="shared" si="776"/>
        <v>362.074631184573</v>
      </c>
      <c r="AC256" s="356">
        <f t="shared" si="776"/>
        <v>382.05545916041285</v>
      </c>
      <c r="AD256" s="158">
        <f t="shared" ref="AD256:AD258" si="777">SUM(Z256:AC256)</f>
        <v>1255.4869697302902</v>
      </c>
      <c r="AE256" s="158">
        <f t="shared" ref="AE256:AG256" si="778">AE45</f>
        <v>1224.74047614944</v>
      </c>
      <c r="AF256" s="158">
        <f t="shared" si="778"/>
        <v>1286.7064621568888</v>
      </c>
      <c r="AG256" s="158">
        <f t="shared" si="778"/>
        <v>1227.672037528152</v>
      </c>
      <c r="AH256" s="8"/>
      <c r="AI256" s="8"/>
      <c r="AJ256" s="8"/>
      <c r="AK256" s="8"/>
    </row>
    <row r="257" ht="15.75" customHeight="1" spans="1:37" x14ac:dyDescent="0.25">
      <c r="A257" s="261"/>
      <c r="B257" s="8"/>
      <c r="C257" s="131" t="s">
        <v>399</v>
      </c>
      <c r="D257" s="8"/>
      <c r="E257" s="8"/>
      <c r="F257" s="459">
        <v>-68.769</v>
      </c>
      <c r="G257" s="360">
        <f>-138.7-F257</f>
        <v>-69.93999999999998</v>
      </c>
      <c r="H257" s="360">
        <f>-208.6-SUM(F257:G257)</f>
        <v>-69.9</v>
      </c>
      <c r="I257" s="459">
        <f>-278.6-SUM(F257:H257)</f>
        <v>-69.978</v>
      </c>
      <c r="J257" s="158">
        <f t="shared" si="769"/>
        <v>-278.587</v>
      </c>
      <c r="K257" s="360">
        <f>-69.9</f>
        <v>-69.9</v>
      </c>
      <c r="L257" s="360">
        <f>-139.8-K257</f>
        <v>-69.9</v>
      </c>
      <c r="M257" s="459">
        <f>-221.4-SUM(K257:L257)</f>
        <v>-81.6</v>
      </c>
      <c r="N257" s="360">
        <f>-302.96-SUM(K257:M257)</f>
        <v>-81.55999999999997</v>
      </c>
      <c r="O257" s="158">
        <f t="shared" si="771"/>
        <v>-302.96</v>
      </c>
      <c r="P257" s="360">
        <f>-92.7</f>
        <v>-92.7</v>
      </c>
      <c r="Q257" s="360">
        <f>-187.1-P257</f>
        <v>-94.39999999999999</v>
      </c>
      <c r="R257" s="459">
        <f>-280.6-SUM(P257:Q257)</f>
        <v>-93.50000000000003</v>
      </c>
      <c r="S257" s="360">
        <f>+-374.13-SUM(P257:R257)</f>
        <v>-93.52999999999997</v>
      </c>
      <c r="T257" s="158">
        <f t="shared" si="773"/>
        <v>-374.13</v>
      </c>
      <c r="U257" s="356">
        <f t="shared" ref="U257:X257" si="779">-U270</f>
        <v>-111.24</v>
      </c>
      <c r="V257" s="356">
        <f t="shared" si="779"/>
        <v>-113.27999999999999</v>
      </c>
      <c r="W257" s="356">
        <f t="shared" si="779"/>
        <v>-112.20000000000003</v>
      </c>
      <c r="X257" s="356">
        <f t="shared" si="779"/>
        <v>-112.23599999999996</v>
      </c>
      <c r="Y257" s="158">
        <f>SUM(U257:X257)</f>
        <v>-448.956</v>
      </c>
      <c r="Z257" s="356">
        <f t="shared" ref="Z257:AC257" si="780">-Z270</f>
        <v>-133.488</v>
      </c>
      <c r="AA257" s="356">
        <f t="shared" si="780"/>
        <v>-135.93599999999998</v>
      </c>
      <c r="AB257" s="356">
        <f t="shared" si="780"/>
        <v>-134.64000000000004</v>
      </c>
      <c r="AC257" s="356">
        <f t="shared" si="780"/>
        <v>-134.68319999999994</v>
      </c>
      <c r="AD257" s="158">
        <f t="shared" si="777"/>
        <v>-538.7472</v>
      </c>
      <c r="AE257" s="158">
        <f t="shared" ref="AE257:AG257" si="781">-AE270</f>
        <v>-641.109168</v>
      </c>
      <c r="AF257" s="158">
        <f t="shared" si="781"/>
        <v>-737.2755431999999</v>
      </c>
      <c r="AG257" s="158">
        <f t="shared" si="781"/>
        <v>-811.00309752</v>
      </c>
      <c r="AH257" s="8"/>
      <c r="AI257" s="8"/>
      <c r="AJ257" s="8"/>
      <c r="AK257" s="8"/>
    </row>
    <row r="258" ht="15.75" customHeight="1" spans="1:37" x14ac:dyDescent="0.25">
      <c r="A258" s="261"/>
      <c r="B258" s="8"/>
      <c r="C258" s="131" t="s">
        <v>400</v>
      </c>
      <c r="D258" s="8"/>
      <c r="E258" s="8"/>
      <c r="F258" s="379">
        <f>F259-SUM(F255:F257)</f>
        <v>7869.76</v>
      </c>
      <c r="G258" s="379">
        <f>G259-SUM(G255:G257)</f>
        <v>0.006999999999607098</v>
      </c>
      <c r="H258" s="379">
        <f>H259-SUM(H255:H257)</f>
        <v>-0.9909999999999854</v>
      </c>
      <c r="I258" s="471">
        <f>I259-SUM(I255:I257)</f>
        <v>-2.632999999999811</v>
      </c>
      <c r="J258" s="351">
        <f t="shared" si="769"/>
        <v>-7833.6</v>
      </c>
      <c r="K258" s="379">
        <f>K259-SUM(K255:K257)</f>
        <v>-6.319000000000415</v>
      </c>
      <c r="L258" s="379">
        <f>L259-SUM(L255:L257)</f>
        <v>-0.10900000000037835</v>
      </c>
      <c r="M258" s="471">
        <f>M259-SUM(M255:M257)</f>
        <v>8.512000000000626</v>
      </c>
      <c r="N258" s="379">
        <f>N259-SUM(N255:N257)</f>
        <v>8.825000000000728</v>
      </c>
      <c r="O258" s="351">
        <f t="shared" si="771"/>
        <v>302.96</v>
      </c>
      <c r="P258" s="379">
        <f>P259-SUM(P255:P257)</f>
        <v>-2.436999999999898</v>
      </c>
      <c r="Q258" s="379">
        <f>Q259-SUM(Q255:Q257)</f>
        <v>0.18299999999908323</v>
      </c>
      <c r="R258" s="471">
        <f>R259-SUM(R255:R257)</f>
        <v>3.867999999998574</v>
      </c>
      <c r="S258" s="379">
        <f>S259-SUM(S255:S257)</f>
        <v>-9.222999999998137</v>
      </c>
      <c r="T258" s="351">
        <f t="shared" si="773"/>
        <v>6846.892</v>
      </c>
      <c r="U258" s="374">
        <v>0</v>
      </c>
      <c r="V258" s="374">
        <v>0</v>
      </c>
      <c r="W258" s="374">
        <v>0</v>
      </c>
      <c r="X258" s="374">
        <v>0</v>
      </c>
      <c r="Y258" s="351">
        <f t="shared" si="775"/>
        <v>0</v>
      </c>
      <c r="Z258" s="374">
        <v>0</v>
      </c>
      <c r="AA258" s="374">
        <v>0</v>
      </c>
      <c r="AB258" s="374">
        <v>0</v>
      </c>
      <c r="AC258" s="374">
        <v>0</v>
      </c>
      <c r="AD258" s="351">
        <f t="shared" si="777"/>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2">F149</f>
        <v>7930.615</v>
      </c>
      <c r="G259" s="349">
        <f t="shared" si="782"/>
        <v>7868.766</v>
      </c>
      <c r="H259" s="349">
        <f t="shared" si="782"/>
        <v>7852.522</v>
      </c>
      <c r="I259" s="465">
        <f t="shared" si="782"/>
        <v>7849.844</v>
      </c>
      <c r="J259" s="279">
        <f t="shared" si="782"/>
        <v>7849.844</v>
      </c>
      <c r="K259" s="349">
        <f t="shared" si="782"/>
        <v>7937.908</v>
      </c>
      <c r="L259" s="349">
        <f t="shared" si="782"/>
        <v>8022.546</v>
      </c>
      <c r="M259" s="465">
        <f t="shared" si="782"/>
        <v>8124.134</v>
      </c>
      <c r="N259" s="349">
        <f t="shared" si="782"/>
        <v>8270.145</v>
      </c>
      <c r="O259" s="279">
        <f t="shared" si="782"/>
        <v>8270.145</v>
      </c>
      <c r="P259" s="349">
        <f t="shared" si="782"/>
        <v>8311.857</v>
      </c>
      <c r="Q259" s="349">
        <f t="shared" si="782"/>
        <v>8309.035</v>
      </c>
      <c r="R259" s="465">
        <f t="shared" si="782"/>
        <v>8461.907</v>
      </c>
      <c r="S259" s="349">
        <f t="shared" ref="S259" si="783">S149</f>
        <v>8574.825</v>
      </c>
      <c r="T259" s="279">
        <f t="shared" ref="T259" si="784">SUM(T255:T258)</f>
        <v>0</v>
      </c>
      <c r="U259" s="278">
        <f t="shared" ref="U259" si="785">SUM(U255:U258)</f>
        <v>8692.661723045421</v>
      </c>
      <c r="V259" s="278">
        <f t="shared" ref="V259" si="786">SUM(V255:V258)</f>
        <v>8805.724400927804</v>
      </c>
      <c r="W259" s="278">
        <f t="shared" ref="W259" si="787">SUM(W255:W258)</f>
        <v>8960.68992729487</v>
      </c>
      <c r="X259" s="278">
        <f t="shared" ref="X259" si="788">SUM(X255:X258)</f>
        <v>9112.919280488477</v>
      </c>
      <c r="Y259" s="279">
        <f t="shared" ref="Y259:AG259" si="789">SUM(Y255:Y258)</f>
        <v>9112.919280488479</v>
      </c>
      <c r="Z259" s="278">
        <f t="shared" si="789"/>
        <v>9220.231209733292</v>
      </c>
      <c r="AA259" s="278">
        <f t="shared" si="789"/>
        <v>9354.852159873784</v>
      </c>
      <c r="AB259" s="278">
        <f t="shared" si="789"/>
        <v>9582.286791058357</v>
      </c>
      <c r="AC259" s="278">
        <f t="shared" si="789"/>
        <v>9829.65905021877</v>
      </c>
      <c r="AD259" s="279">
        <f t="shared" si="789"/>
        <v>9829.65905021877</v>
      </c>
      <c r="AE259" s="279">
        <f t="shared" si="789"/>
        <v>10413.29035836821</v>
      </c>
      <c r="AF259" s="279">
        <f t="shared" si="789"/>
        <v>10962.7212773251</v>
      </c>
      <c r="AG259" s="279">
        <f t="shared" si="789"/>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f t="shared" ref="G262" si="790">F264</f>
        <v>-421.105</v>
      </c>
      <c r="H262" s="349">
        <f t="shared" ref="H262" si="791">G264</f>
        <v>-370.052</v>
      </c>
      <c r="I262" s="465">
        <f t="shared" ref="I262" si="792">H264</f>
        <v>-398.25</v>
      </c>
      <c r="J262" s="279">
        <f>F262</f>
        <v>0</v>
      </c>
      <c r="K262" s="349">
        <f t="shared" ref="K262" si="793">J264</f>
        <v>-421.105</v>
      </c>
      <c r="L262" s="349">
        <f t="shared" ref="L262" si="794">K264</f>
        <v>-396.438</v>
      </c>
      <c r="M262" s="349">
        <f t="shared" ref="M262" si="795">L264</f>
        <v>-410.734</v>
      </c>
      <c r="N262" s="349">
        <f t="shared" ref="N262" si="796">M264</f>
        <v>-369.965</v>
      </c>
      <c r="O262" s="279">
        <f>K262</f>
        <v>-421.105</v>
      </c>
      <c r="P262" s="349">
        <f t="shared" ref="P262" si="797">O264</f>
        <v>-421.105</v>
      </c>
      <c r="Q262" s="349">
        <f t="shared" ref="Q262" si="798">P264</f>
        <v>-408.072</v>
      </c>
      <c r="R262" s="349">
        <f t="shared" ref="R262:S262" si="799">Q264</f>
        <v>-339.695</v>
      </c>
      <c r="S262" s="349">
        <f t="shared" si="799"/>
        <v>-374.927</v>
      </c>
      <c r="T262" s="279">
        <f>O264</f>
        <v>0</v>
      </c>
      <c r="U262" s="278">
        <f t="shared" ref="U262" si="800">T264</f>
        <v>0</v>
      </c>
      <c r="V262" s="278">
        <f t="shared" ref="V262" si="801">U264</f>
        <v>0</v>
      </c>
      <c r="W262" s="278">
        <f t="shared" ref="W262" si="802">V264</f>
        <v>0</v>
      </c>
      <c r="X262" s="278">
        <f t="shared" ref="X262" si="803">W264</f>
        <v>0</v>
      </c>
      <c r="Y262" s="279">
        <f>T264</f>
        <v>0</v>
      </c>
      <c r="Z262" s="278">
        <f t="shared" ref="Z262:AC262" si="804">Y264</f>
        <v>0</v>
      </c>
      <c r="AA262" s="278">
        <f t="shared" si="804"/>
        <v>0</v>
      </c>
      <c r="AB262" s="278">
        <f t="shared" si="804"/>
        <v>0</v>
      </c>
      <c r="AC262" s="278">
        <f t="shared" si="804"/>
        <v>0</v>
      </c>
      <c r="AD262" s="279">
        <f>Y264</f>
        <v>0</v>
      </c>
      <c r="AE262" s="279">
        <f t="shared" ref="AE262:AG262" si="805">AD264</f>
        <v>0</v>
      </c>
      <c r="AF262" s="279">
        <f t="shared" si="805"/>
        <v>0</v>
      </c>
      <c r="AG262" s="279">
        <f t="shared" si="805"/>
        <v>0</v>
      </c>
      <c r="AH262" s="8"/>
      <c r="AI262" s="8"/>
      <c r="AJ262" s="8"/>
      <c r="AK262" s="8"/>
    </row>
    <row r="263" ht="15.75" customHeight="1" spans="1:37" x14ac:dyDescent="0.25">
      <c r="A263" s="261"/>
      <c r="B263" s="8"/>
      <c r="C263" s="131" t="s">
        <v>402</v>
      </c>
      <c r="D263" s="8"/>
      <c r="E263" s="8"/>
      <c r="F263" s="379">
        <f t="shared" ref="F263:I263" si="806">F264-F262</f>
        <v>-421.105</v>
      </c>
      <c r="G263" s="379">
        <f t="shared" si="806"/>
        <v>0</v>
      </c>
      <c r="H263" s="379">
        <f t="shared" si="806"/>
        <v>0</v>
      </c>
      <c r="I263" s="471">
        <f t="shared" si="806"/>
        <v>0</v>
      </c>
      <c r="J263" s="351">
        <f>SUM(F263:I263)</f>
        <v>-421.105</v>
      </c>
      <c r="K263" s="379">
        <f t="shared" ref="K263:N263" si="807">K264-K262</f>
        <v>0</v>
      </c>
      <c r="L263" s="379">
        <f t="shared" si="807"/>
        <v>0</v>
      </c>
      <c r="M263" s="379">
        <f t="shared" si="807"/>
        <v>0</v>
      </c>
      <c r="N263" s="379">
        <f t="shared" si="807"/>
        <v>0</v>
      </c>
      <c r="O263" s="351">
        <f>SUM(K263:N263)</f>
        <v>0</v>
      </c>
      <c r="P263" s="379">
        <f t="shared" ref="P263:S263" si="808">P264-P262</f>
        <v>0</v>
      </c>
      <c r="Q263" s="379">
        <f t="shared" si="808"/>
        <v>0</v>
      </c>
      <c r="R263" s="379">
        <f t="shared" si="808"/>
        <v>0</v>
      </c>
      <c r="S263" s="379">
        <f t="shared" si="808"/>
        <v>0</v>
      </c>
      <c r="T263" s="351">
        <f>SUM(P263:S263)</f>
        <v>0</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-421.105</v>
      </c>
      <c r="K264" s="349">
        <f>K151</f>
        <v>-396.438</v>
      </c>
      <c r="L264" s="349">
        <f>L151</f>
        <v>-410.734</v>
      </c>
      <c r="M264" s="349">
        <f>M151</f>
        <v>-369.965</v>
      </c>
      <c r="N264" s="349">
        <f>N151</f>
        <v>-423.131</v>
      </c>
      <c r="O264" s="279">
        <f>SUM(O262:O263)</f>
        <v>-421.105</v>
      </c>
      <c r="P264" s="349">
        <f>P151</f>
        <v>-408.072</v>
      </c>
      <c r="Q264" s="349">
        <f>Q151</f>
        <v>-339.695</v>
      </c>
      <c r="R264" s="349">
        <f>R151</f>
        <v>-374.927</v>
      </c>
      <c r="S264" s="349">
        <f>S151</f>
        <v>-384.434</v>
      </c>
      <c r="T264" s="279">
        <f t="shared" ref="T264:X264" si="809">SUM(T262:T263)</f>
        <v>0</v>
      </c>
      <c r="U264" s="278">
        <f t="shared" si="809"/>
        <v>0</v>
      </c>
      <c r="V264" s="278">
        <f t="shared" si="809"/>
        <v>0</v>
      </c>
      <c r="W264" s="278">
        <f t="shared" si="809"/>
        <v>0</v>
      </c>
      <c r="X264" s="278">
        <f t="shared" si="809"/>
        <v>0</v>
      </c>
      <c r="Y264" s="279">
        <f t="shared" ref="Y264:AG264" si="810">SUM(Y262:Y263)</f>
        <v>0</v>
      </c>
      <c r="Z264" s="278">
        <f t="shared" si="810"/>
        <v>0</v>
      </c>
      <c r="AA264" s="278">
        <f t="shared" si="810"/>
        <v>0</v>
      </c>
      <c r="AB264" s="278">
        <f t="shared" si="810"/>
        <v>0</v>
      </c>
      <c r="AC264" s="278">
        <f t="shared" si="810"/>
        <v>0</v>
      </c>
      <c r="AD264" s="279">
        <f t="shared" si="810"/>
        <v>0</v>
      </c>
      <c r="AE264" s="279">
        <f t="shared" si="810"/>
        <v>0</v>
      </c>
      <c r="AF264" s="279">
        <f t="shared" si="810"/>
        <v>0</v>
      </c>
      <c r="AG264" s="279">
        <f t="shared" si="810"/>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1">F270/F269</f>
        <v>0.3022813186813187</v>
      </c>
      <c r="G267" s="377">
        <f t="shared" si="811"/>
        <v>0.30042955326460474</v>
      </c>
      <c r="H267" s="377">
        <f t="shared" si="811"/>
        <v>0.3200549450549451</v>
      </c>
      <c r="I267" s="377">
        <f t="shared" si="811"/>
        <v>0.2970203735144312</v>
      </c>
      <c r="J267" s="118">
        <f t="shared" si="811"/>
        <v>0.7231590181430096</v>
      </c>
      <c r="K267" s="377">
        <f t="shared" si="811"/>
        <v>0.31026676727773095</v>
      </c>
      <c r="L267" s="377">
        <f t="shared" si="811"/>
        <v>0.3090923562654215</v>
      </c>
      <c r="M267" s="377">
        <f t="shared" si="811"/>
        <v>0.36808155532500336</v>
      </c>
      <c r="N267" s="377">
        <f t="shared" si="811"/>
        <v>0.3646769505924434</v>
      </c>
      <c r="O267" s="118">
        <f t="shared" si="811"/>
        <v>1.399353348729792</v>
      </c>
      <c r="P267" s="377">
        <f t="shared" si="811"/>
        <v>0.41672660576853915</v>
      </c>
      <c r="Q267" s="377">
        <f t="shared" si="811"/>
        <v>0.4254360268601559</v>
      </c>
      <c r="R267" s="377">
        <f t="shared" si="811"/>
        <v>0.41984732824427495</v>
      </c>
      <c r="S267" s="377">
        <f t="shared" ref="S267" si="812">S270/S269</f>
        <v>0.43482909956484533</v>
      </c>
      <c r="T267" s="229">
        <f t="shared" si="811"/>
        <v>1.6964769524811423</v>
      </c>
      <c r="U267" s="472">
        <f t="shared" si="811"/>
        <v>0.4985996698636859</v>
      </c>
      <c r="V267" s="472">
        <f t="shared" si="811"/>
        <v>0.4911922683273998</v>
      </c>
      <c r="W267" s="472">
        <f t="shared" si="811"/>
        <v>0.48859040310979707</v>
      </c>
      <c r="X267" s="472">
        <f t="shared" si="811"/>
        <v>0.4908468364608568</v>
      </c>
      <c r="Y267" s="229">
        <f t="shared" ref="Y267:AG267" si="813">Y270/Y269</f>
        <v>1.9690503071558882</v>
      </c>
      <c r="Z267" s="472">
        <f t="shared" si="813"/>
        <v>0.5888945213962361</v>
      </c>
      <c r="AA267" s="472">
        <f t="shared" si="813"/>
        <v>0.6036415403058664</v>
      </c>
      <c r="AB267" s="472">
        <f t="shared" si="813"/>
        <v>0.5965151942871384</v>
      </c>
      <c r="AC267" s="472">
        <f t="shared" si="813"/>
        <v>0.5953411384787284</v>
      </c>
      <c r="AD267" s="229">
        <f t="shared" si="813"/>
        <v>2.384342623739265</v>
      </c>
      <c r="AE267" s="229">
        <f t="shared" si="813"/>
        <v>2.858612897230555</v>
      </c>
      <c r="AF267" s="229">
        <f t="shared" si="813"/>
        <v>3.34602743122046</v>
      </c>
      <c r="AG267" s="229">
        <f t="shared" si="813"/>
        <v>3.747456641022044</v>
      </c>
      <c r="AH267" s="8"/>
      <c r="AI267" s="8"/>
      <c r="AJ267" s="8"/>
      <c r="AK267" s="8"/>
    </row>
    <row r="268" ht="15.75" customHeight="1" spans="1:37" x14ac:dyDescent="0.25">
      <c r="A268" s="261"/>
      <c r="B268" s="8"/>
      <c r="C268" s="131" t="s">
        <v>47</v>
      </c>
      <c r="D268" s="8"/>
      <c r="E268" s="8"/>
      <c r="F268" s="403">
        <f>4*F267/F242</f>
        <v>0.03181071493620823</v>
      </c>
      <c r="G268" s="403">
        <f>4*G267/G242</f>
        <v>0.03458181908081781</v>
      </c>
      <c r="H268" s="403">
        <f>4*H267/H242</f>
        <v>0.03685146172192805</v>
      </c>
      <c r="I268" s="403">
        <f>4*I267/I242</f>
        <v>0.033316923557423585</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4">F285</f>
        <v>227.5</v>
      </c>
      <c r="G269" s="354">
        <f t="shared" si="814"/>
        <v>232.8</v>
      </c>
      <c r="H269" s="354">
        <f t="shared" si="814"/>
        <v>218.4</v>
      </c>
      <c r="I269" s="354">
        <f t="shared" si="814"/>
        <v>235.6</v>
      </c>
      <c r="J269" s="158">
        <f t="shared" si="814"/>
        <v>234.25</v>
      </c>
      <c r="K269" s="354">
        <f t="shared" si="814"/>
        <v>225.29</v>
      </c>
      <c r="L269" s="354">
        <f t="shared" si="814"/>
        <v>226.146</v>
      </c>
      <c r="M269" s="354">
        <f t="shared" si="814"/>
        <v>221.69</v>
      </c>
      <c r="N269" s="354">
        <f t="shared" si="814"/>
        <v>223.65</v>
      </c>
      <c r="O269" s="158">
        <f t="shared" si="814"/>
        <v>216.5</v>
      </c>
      <c r="P269" s="354">
        <f t="shared" si="814"/>
        <v>222.448</v>
      </c>
      <c r="Q269" s="354">
        <f t="shared" si="814"/>
        <v>221.89</v>
      </c>
      <c r="R269" s="354">
        <f t="shared" si="814"/>
        <v>222.7</v>
      </c>
      <c r="S269" s="354">
        <f t="shared" ref="S269" si="815">S285</f>
        <v>215.096</v>
      </c>
      <c r="T269" s="158">
        <f t="shared" si="814"/>
        <v>220.5335</v>
      </c>
      <c r="U269" s="356">
        <f t="shared" si="814"/>
        <v>223.10484086444006</v>
      </c>
      <c r="V269" s="356">
        <f t="shared" si="814"/>
        <v>230.62252259332024</v>
      </c>
      <c r="W269" s="356">
        <f t="shared" si="814"/>
        <v>229.64020432220036</v>
      </c>
      <c r="X269" s="356">
        <f t="shared" si="814"/>
        <v>228.65788605108054</v>
      </c>
      <c r="Y269" s="158">
        <f t="shared" ref="Y269:AG269" si="816">Y285</f>
        <v>228.0063634577603</v>
      </c>
      <c r="Z269" s="356">
        <f t="shared" si="816"/>
        <v>226.67556777996066</v>
      </c>
      <c r="AA269" s="356">
        <f t="shared" si="816"/>
        <v>225.19324950884084</v>
      </c>
      <c r="AB269" s="356">
        <f t="shared" si="816"/>
        <v>225.71093123772096</v>
      </c>
      <c r="AC269" s="356">
        <f t="shared" si="816"/>
        <v>226.22861296660113</v>
      </c>
      <c r="AD269" s="158">
        <f t="shared" si="816"/>
        <v>225.9520903732809</v>
      </c>
      <c r="AE269" s="158">
        <f t="shared" si="816"/>
        <v>224.27281728880155</v>
      </c>
      <c r="AF269" s="158">
        <f t="shared" si="816"/>
        <v>220.34354420432214</v>
      </c>
      <c r="AG269" s="158">
        <f t="shared" si="816"/>
        <v>216.4142711198428</v>
      </c>
      <c r="AH269" s="8"/>
      <c r="AI269" s="8"/>
      <c r="AJ269" s="8"/>
      <c r="AK269" s="8"/>
    </row>
    <row r="270" ht="15.75" customHeight="1" spans="1:37" x14ac:dyDescent="0.25">
      <c r="A270" s="261"/>
      <c r="B270" s="8"/>
      <c r="C270" s="131" t="s">
        <v>406</v>
      </c>
      <c r="D270" s="8"/>
      <c r="E270" s="8"/>
      <c r="F270" s="349">
        <f>-F257</f>
        <v>68.769</v>
      </c>
      <c r="G270" s="349">
        <f>-G257</f>
        <v>69.93999999999998</v>
      </c>
      <c r="H270" s="349">
        <f>-H257</f>
        <v>69.9</v>
      </c>
      <c r="I270" s="349">
        <f>-I257</f>
        <v>69.978</v>
      </c>
      <c r="J270" s="279">
        <f>SUM(F270:I270)</f>
        <v>278.587</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7">P270*(1+U276)</f>
        <v>111.24</v>
      </c>
      <c r="V270" s="278">
        <f t="shared" ref="V270" si="818">Q270*(1+V276)</f>
        <v>113.27999999999999</v>
      </c>
      <c r="W270" s="278">
        <f t="shared" ref="W270" si="819">R270*(1+W276)</f>
        <v>112.20000000000003</v>
      </c>
      <c r="X270" s="278">
        <f t="shared" ref="X270" si="820">S270*(1+X276)</f>
        <v>112.23599999999996</v>
      </c>
      <c r="Y270" s="279">
        <f>SUM(U270:X270)</f>
        <v>448.956</v>
      </c>
      <c r="Z270" s="278">
        <f t="shared" ref="Z270:AC270" si="821">U270*(1+Z276)</f>
        <v>133.488</v>
      </c>
      <c r="AA270" s="278">
        <f t="shared" si="821"/>
        <v>135.93599999999998</v>
      </c>
      <c r="AB270" s="278">
        <f t="shared" si="821"/>
        <v>134.64000000000004</v>
      </c>
      <c r="AC270" s="278">
        <f t="shared" si="821"/>
        <v>134.68319999999994</v>
      </c>
      <c r="AD270" s="279">
        <f>SUM(Z270:AC270)</f>
        <v>538.7472</v>
      </c>
      <c r="AE270" s="279">
        <f t="shared" ref="AE270:AG270" si="822">AD270*(1+AE276)</f>
        <v>641.109168</v>
      </c>
      <c r="AF270" s="279">
        <f t="shared" si="822"/>
        <v>737.2755431999999</v>
      </c>
      <c r="AG270" s="279">
        <f t="shared" si="822"/>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3">SUM(P274:S274)</f>
        <v>0</v>
      </c>
      <c r="U274" s="438">
        <v>17</v>
      </c>
      <c r="V274" s="438">
        <v>0</v>
      </c>
      <c r="W274" s="438">
        <v>0</v>
      </c>
      <c r="X274" s="438">
        <v>0</v>
      </c>
      <c r="Y274" s="474">
        <f t="shared" ref="Y274:Y275" si="824">SUM(U274:X274)</f>
        <v>17</v>
      </c>
      <c r="Z274" s="438">
        <v>-2</v>
      </c>
      <c r="AA274" s="438">
        <v>1</v>
      </c>
      <c r="AB274" s="438">
        <v>2</v>
      </c>
      <c r="AC274" s="438">
        <v>1</v>
      </c>
      <c r="AD274" s="325">
        <f t="shared" ref="AD274:AD275" si="825">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6">F244</f>
        <v>97.9</v>
      </c>
      <c r="G275" s="354">
        <f t="shared" si="826"/>
        <v>165</v>
      </c>
      <c r="H275" s="354">
        <f t="shared" si="826"/>
        <v>165.3</v>
      </c>
      <c r="I275" s="354">
        <f t="shared" si="826"/>
        <v>169.4</v>
      </c>
      <c r="J275" s="158">
        <f t="shared" si="826"/>
        <v>597.6</v>
      </c>
      <c r="K275" s="354">
        <f t="shared" si="826"/>
        <v>40.63</v>
      </c>
      <c r="L275" s="354">
        <f t="shared" si="826"/>
        <v>44</v>
      </c>
      <c r="M275" s="354">
        <f t="shared" si="826"/>
        <v>44.3</v>
      </c>
      <c r="N275" s="354">
        <f t="shared" si="826"/>
        <v>44.3</v>
      </c>
      <c r="O275" s="158">
        <f t="shared" si="826"/>
        <v>173.23000000000002</v>
      </c>
      <c r="P275" s="354">
        <f t="shared" si="826"/>
        <v>56.3</v>
      </c>
      <c r="Q275" s="354">
        <f t="shared" si="826"/>
        <v>57.6</v>
      </c>
      <c r="R275" s="354">
        <f t="shared" si="826"/>
        <v>58.5</v>
      </c>
      <c r="S275" s="354">
        <f t="shared" ref="S275" si="827">S244</f>
        <v>0</v>
      </c>
      <c r="T275" s="158">
        <f t="shared" si="823"/>
        <v>172.4</v>
      </c>
      <c r="U275" s="368">
        <f>Drivers!U170</f>
        <v>40</v>
      </c>
      <c r="V275" s="368">
        <f>Drivers!V170</f>
        <v>40</v>
      </c>
      <c r="W275" s="368">
        <f>Drivers!W170</f>
        <v>40</v>
      </c>
      <c r="X275" s="368">
        <f>Drivers!X170</f>
        <v>40</v>
      </c>
      <c r="Y275" s="158">
        <f t="shared" si="824"/>
        <v>160</v>
      </c>
      <c r="Z275" s="368">
        <f>Drivers!Z170</f>
        <v>40</v>
      </c>
      <c r="AA275" s="368">
        <f>Drivers!AA170</f>
        <v>40</v>
      </c>
      <c r="AB275" s="368">
        <f>Drivers!AB170</f>
        <v>40</v>
      </c>
      <c r="AC275" s="368">
        <f>Drivers!AC170</f>
        <v>40</v>
      </c>
      <c r="AD275" s="158">
        <f t="shared" si="825"/>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8">G270/B270-1</f>
        <v>#DIV/0!</v>
      </c>
      <c r="H276" s="403" t="e">
        <f t="shared" ref="H276" si="829">H270/C270-1</f>
        <v>#VALUE!</v>
      </c>
      <c r="I276" s="403" t="e">
        <f t="shared" ref="I276" si="830">I270/D270-1</f>
        <v>#DIV/0!</v>
      </c>
      <c r="J276" s="404" t="e">
        <f t="shared" ref="J276" si="831">J270/E270-1</f>
        <v>#DIV/0!</v>
      </c>
      <c r="K276" s="403">
        <f t="shared" ref="K276" si="832">K270/F270-1</f>
        <v>0.016446363913972917</v>
      </c>
      <c r="L276" s="403">
        <f t="shared" ref="L276" si="833">L270/G270-1</f>
        <v>-0.0005719187875318221</v>
      </c>
      <c r="M276" s="403">
        <f t="shared" ref="M276" si="834">M270/H270-1</f>
        <v>0.16738197424892687</v>
      </c>
      <c r="N276" s="403">
        <f t="shared" ref="N276" si="835">N270/I270-1</f>
        <v>0.1655091600217209</v>
      </c>
      <c r="O276" s="404">
        <f t="shared" ref="O276" si="836">O270/J270-1</f>
        <v>0.7884297520661154</v>
      </c>
      <c r="P276" s="403">
        <f t="shared" ref="P276" si="837">P270/K270-1</f>
        <v>0.32618025751072954</v>
      </c>
      <c r="Q276" s="403">
        <f t="shared" ref="Q276" si="838">Q270/L270-1</f>
        <v>0.3505007153075821</v>
      </c>
      <c r="R276" s="403">
        <f t="shared" ref="R276:S276" si="839">R270/M270-1</f>
        <v>0.1458333333333337</v>
      </c>
      <c r="S276" s="403">
        <f t="shared" si="839"/>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f>F$25</f>
        <v>0</v>
      </c>
      <c r="G278" s="54">
        <f t="shared" ref="G278:X278" si="840">G$63</f>
        <v>0</v>
      </c>
      <c r="H278" s="54">
        <f t="shared" si="840"/>
        <v>0</v>
      </c>
      <c r="I278" s="54">
        <f t="shared" si="840"/>
        <v>0</v>
      </c>
      <c r="J278" s="54">
        <f t="shared" si="840"/>
        <v>2023</v>
      </c>
      <c r="K278" s="54">
        <f t="shared" si="840"/>
        <v>0</v>
      </c>
      <c r="L278" s="54">
        <f t="shared" si="840"/>
        <v>0</v>
      </c>
      <c r="M278" s="54">
        <f t="shared" si="840"/>
        <v>0</v>
      </c>
      <c r="N278" s="54">
        <f t="shared" si="840"/>
        <v>0</v>
      </c>
      <c r="O278" s="54">
        <f t="shared" si="840"/>
        <v>2024</v>
      </c>
      <c r="P278" s="54">
        <f t="shared" si="840"/>
        <v>0</v>
      </c>
      <c r="Q278" s="54">
        <f t="shared" si="840"/>
        <v>0</v>
      </c>
      <c r="R278" s="54">
        <f t="shared" si="840"/>
        <v>0</v>
      </c>
      <c r="S278" s="54">
        <f t="shared" si="840"/>
        <v>0</v>
      </c>
      <c r="T278" s="54">
        <f t="shared" si="840"/>
        <v>2025</v>
      </c>
      <c r="U278" s="54" t="str">
        <f t="shared" si="840"/>
        <v>1Q26e</v>
      </c>
      <c r="V278" s="54" t="str">
        <f t="shared" si="840"/>
        <v>2Q26e</v>
      </c>
      <c r="W278" s="54" t="str">
        <f t="shared" si="840"/>
        <v>3Q26</v>
      </c>
      <c r="X278" s="54" t="str">
        <f t="shared" si="840"/>
        <v>4Q26e</v>
      </c>
      <c r="Y278" s="54" t="str">
        <f t="shared" ref="Y278:AG278" si="841">Y$63</f>
        <v>2026e</v>
      </c>
      <c r="Z278" s="54" t="str">
        <f t="shared" si="841"/>
        <v>1Q27e</v>
      </c>
      <c r="AA278" s="54" t="str">
        <f t="shared" si="841"/>
        <v>2Q27e</v>
      </c>
      <c r="AB278" s="54" t="str">
        <f t="shared" si="841"/>
        <v>3Q27e</v>
      </c>
      <c r="AC278" s="54" t="str">
        <f t="shared" si="841"/>
        <v>4Q27e</v>
      </c>
      <c r="AD278" s="54" t="str">
        <f t="shared" si="841"/>
        <v>2027e</v>
      </c>
      <c r="AE278" s="54" t="str">
        <f t="shared" si="841"/>
        <v>2028e</v>
      </c>
      <c r="AF278" s="54" t="str">
        <f t="shared" si="841"/>
        <v>2029e</v>
      </c>
      <c r="AG278" s="55" t="str">
        <f t="shared" si="841"/>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2">T283</f>
        <v>215.096</v>
      </c>
      <c r="V280" s="359">
        <f t="shared" ref="V280" si="843">U283</f>
        <v>231.11368172888015</v>
      </c>
      <c r="W280" s="359">
        <f t="shared" ref="W280" si="844">V283</f>
        <v>230.1313634577603</v>
      </c>
      <c r="X280" s="359">
        <f t="shared" ref="X280" si="845">W283</f>
        <v>229.14904518664045</v>
      </c>
      <c r="Y280" s="8"/>
      <c r="Z280" s="359">
        <f t="shared" ref="Z280:AC280" si="846">Y283</f>
        <v>228.1667269155206</v>
      </c>
      <c r="AA280" s="359">
        <f t="shared" si="846"/>
        <v>225.18440864440075</v>
      </c>
      <c r="AB280" s="359">
        <f t="shared" si="846"/>
        <v>225.2020903732809</v>
      </c>
      <c r="AC280" s="359">
        <f t="shared" si="846"/>
        <v>226.21977210216104</v>
      </c>
      <c r="AD280" s="158">
        <f>Y283</f>
        <v>228.1667269155206</v>
      </c>
      <c r="AE280" s="475">
        <f t="shared" ref="AE280:AG280" si="847">AD283</f>
        <v>226.23745383104122</v>
      </c>
      <c r="AF280" s="475">
        <f t="shared" si="847"/>
        <v>222.30818074656185</v>
      </c>
      <c r="AG280" s="475">
        <f t="shared" si="847"/>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8">SUM(P281:S281)</f>
        <v>0</v>
      </c>
      <c r="U281" s="359">
        <f t="shared" ref="U281:X281" si="849">U274</f>
        <v>17</v>
      </c>
      <c r="V281" s="359">
        <f t="shared" si="849"/>
        <v>0</v>
      </c>
      <c r="W281" s="359">
        <f t="shared" si="849"/>
        <v>0</v>
      </c>
      <c r="X281" s="359">
        <f t="shared" si="849"/>
        <v>0</v>
      </c>
      <c r="Y281" s="475">
        <f t="shared" ref="Y281:Y282" si="850">SUM(U281:X281)</f>
        <v>17</v>
      </c>
      <c r="Z281" s="359">
        <f t="shared" ref="Z281:AC281" si="851">Z274</f>
        <v>-2</v>
      </c>
      <c r="AA281" s="359">
        <f t="shared" si="851"/>
        <v>1</v>
      </c>
      <c r="AB281" s="359">
        <f t="shared" si="851"/>
        <v>2</v>
      </c>
      <c r="AC281" s="359">
        <f t="shared" si="851"/>
        <v>1</v>
      </c>
      <c r="AD281" s="475">
        <f t="shared" ref="AD281:AD282" si="852">SUM(Z281:AC281)</f>
        <v>2</v>
      </c>
      <c r="AE281" s="475">
        <f t="shared" ref="AE281:AG281" si="853">AE274</f>
        <v>0</v>
      </c>
      <c r="AF281" s="475">
        <f t="shared" si="853"/>
        <v>0</v>
      </c>
      <c r="AG281" s="475">
        <f t="shared" si="853"/>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8"/>
        <v>0</v>
      </c>
      <c r="U282" s="481">
        <f>-U243</f>
        <v>-0.9823182711198428</v>
      </c>
      <c r="V282" s="481">
        <f>-V243</f>
        <v>-0.9823182711198428</v>
      </c>
      <c r="W282" s="481">
        <f>-W243</f>
        <v>-0.9823182711198428</v>
      </c>
      <c r="X282" s="481">
        <f>-X243</f>
        <v>-0.9823182711198428</v>
      </c>
      <c r="Y282" s="480">
        <f t="shared" si="850"/>
        <v>-3.9292730844793713</v>
      </c>
      <c r="Z282" s="481">
        <f>-Z243</f>
        <v>-0.9823182711198428</v>
      </c>
      <c r="AA282" s="481">
        <f>-AA243</f>
        <v>-0.9823182711198428</v>
      </c>
      <c r="AB282" s="481">
        <f>-AB243</f>
        <v>-0.9823182711198428</v>
      </c>
      <c r="AC282" s="481">
        <f>-AC243</f>
        <v>-0.9823182711198428</v>
      </c>
      <c r="AD282" s="480">
        <f t="shared" si="852"/>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4">SUM(U280:U282)</f>
        <v>231.11368172888015</v>
      </c>
      <c r="V283" s="356">
        <f t="shared" si="854"/>
        <v>230.1313634577603</v>
      </c>
      <c r="W283" s="356">
        <f t="shared" si="854"/>
        <v>229.14904518664045</v>
      </c>
      <c r="X283" s="356">
        <f t="shared" si="854"/>
        <v>228.1667269155206</v>
      </c>
      <c r="Y283" s="158">
        <f>X283</f>
        <v>228.1667269155206</v>
      </c>
      <c r="Z283" s="356">
        <f t="shared" ref="Z283:AG283" si="855">SUM(Z280:Z282)</f>
        <v>225.18440864440075</v>
      </c>
      <c r="AA283" s="356">
        <f t="shared" si="855"/>
        <v>225.2020903732809</v>
      </c>
      <c r="AB283" s="356">
        <f t="shared" si="855"/>
        <v>226.21977210216104</v>
      </c>
      <c r="AC283" s="356">
        <f t="shared" si="855"/>
        <v>226.2374538310412</v>
      </c>
      <c r="AD283" s="158">
        <f t="shared" si="855"/>
        <v>226.23745383104122</v>
      </c>
      <c r="AE283" s="158">
        <f t="shared" si="855"/>
        <v>222.30818074656185</v>
      </c>
      <c r="AF283" s="158">
        <f t="shared" si="855"/>
        <v>218.37890766208247</v>
      </c>
      <c r="AG283" s="158">
        <f t="shared" si="855"/>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6">AVERAGE(U283,U280)</f>
        <v>223.10484086444006</v>
      </c>
      <c r="V285" s="356">
        <f t="shared" si="856"/>
        <v>230.62252259332024</v>
      </c>
      <c r="W285" s="356">
        <f t="shared" si="856"/>
        <v>229.64020432220036</v>
      </c>
      <c r="X285" s="356">
        <f t="shared" si="856"/>
        <v>228.65788605108054</v>
      </c>
      <c r="Y285" s="158">
        <f>AVERAGE(U285:X285)</f>
        <v>228.0063634577603</v>
      </c>
      <c r="Z285" s="356">
        <f t="shared" ref="Z285:AC285" si="857">AVERAGE(Z283,Z280)</f>
        <v>226.67556777996066</v>
      </c>
      <c r="AA285" s="356">
        <f t="shared" si="857"/>
        <v>225.19324950884084</v>
      </c>
      <c r="AB285" s="356">
        <f t="shared" si="857"/>
        <v>225.71093123772096</v>
      </c>
      <c r="AC285" s="356">
        <f t="shared" si="857"/>
        <v>226.22861296660113</v>
      </c>
      <c r="AD285" s="158">
        <f>AVERAGE(Z285:AC285)</f>
        <v>225.9520903732809</v>
      </c>
      <c r="AE285" s="158">
        <f t="shared" ref="AE285:AG285" si="858">AVERAGE(AE283,AE280)</f>
        <v>224.27281728880155</v>
      </c>
      <c r="AF285" s="158">
        <f t="shared" si="858"/>
        <v>220.34354420432214</v>
      </c>
      <c r="AG285" s="158">
        <f t="shared" si="858"/>
        <v>216.4142711198428</v>
      </c>
      <c r="AH285" s="8"/>
      <c r="AI285" s="8"/>
      <c r="AJ285" s="8"/>
      <c r="AK285" s="8"/>
    </row>
    <row r="286" ht="15.75" customHeight="1" spans="1:37" x14ac:dyDescent="0.25">
      <c r="A286" s="261"/>
      <c r="B286" s="8"/>
      <c r="C286" s="131" t="s">
        <v>416</v>
      </c>
      <c r="D286" s="8"/>
      <c r="E286" s="8"/>
      <c r="F286" s="379">
        <f t="shared" ref="F286:R286" si="859">F287-F285</f>
        <v>0</v>
      </c>
      <c r="G286" s="379">
        <f t="shared" si="859"/>
        <v>0</v>
      </c>
      <c r="H286" s="379">
        <f t="shared" si="859"/>
        <v>0</v>
      </c>
      <c r="I286" s="379">
        <f t="shared" si="859"/>
        <v>0</v>
      </c>
      <c r="J286" s="351">
        <f t="shared" si="859"/>
        <v>1.3499999999999943</v>
      </c>
      <c r="K286" s="379">
        <f t="shared" si="859"/>
        <v>0</v>
      </c>
      <c r="L286" s="379">
        <f t="shared" si="859"/>
        <v>0</v>
      </c>
      <c r="M286" s="379">
        <f t="shared" si="859"/>
        <v>0</v>
      </c>
      <c r="N286" s="379">
        <f t="shared" si="859"/>
        <v>0</v>
      </c>
      <c r="O286" s="351">
        <f t="shared" si="859"/>
        <v>7.199999999999989</v>
      </c>
      <c r="P286" s="379">
        <f t="shared" si="859"/>
        <v>0</v>
      </c>
      <c r="Q286" s="379">
        <f t="shared" si="859"/>
        <v>0</v>
      </c>
      <c r="R286" s="379">
        <f t="shared" si="859"/>
        <v>0</v>
      </c>
      <c r="S286" s="379">
        <f t="shared" ref="S286" si="860">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1">AE286</f>
        <v>-56</v>
      </c>
      <c r="AG286" s="375">
        <f t="shared" si="861"/>
        <v>-56</v>
      </c>
      <c r="AH286" s="8"/>
      <c r="AI286" s="8"/>
      <c r="AJ286" s="8"/>
      <c r="AK286" s="8"/>
    </row>
    <row r="287" ht="15.75" customHeight="1" spans="1:37" x14ac:dyDescent="0.25">
      <c r="A287" s="261"/>
      <c r="B287" s="8"/>
      <c r="C287" s="8" t="s">
        <v>417</v>
      </c>
      <c r="D287" s="8"/>
      <c r="E287" s="8"/>
      <c r="F287" s="482">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2">SUM(U285:U286)</f>
        <v>235.10484086444006</v>
      </c>
      <c r="V287" s="356">
        <f t="shared" si="862"/>
        <v>232.62252259332024</v>
      </c>
      <c r="W287" s="356">
        <f t="shared" si="862"/>
        <v>222.64020432220036</v>
      </c>
      <c r="X287" s="356">
        <f t="shared" si="862"/>
        <v>211.65788605108054</v>
      </c>
      <c r="Y287" s="158">
        <f>AVERAGE(U287:X287)</f>
        <v>225.5063634577603</v>
      </c>
      <c r="Z287" s="356">
        <f t="shared" ref="Z287:AC287" si="863">SUM(Z285:Z286)</f>
        <v>196.67556777996066</v>
      </c>
      <c r="AA287" s="356">
        <f t="shared" si="863"/>
        <v>216.19324950884084</v>
      </c>
      <c r="AB287" s="356">
        <f t="shared" si="863"/>
        <v>178.71093123772096</v>
      </c>
      <c r="AC287" s="356">
        <f t="shared" si="863"/>
        <v>170.22861296660113</v>
      </c>
      <c r="AD287" s="158">
        <f>AVERAGE(Z287:AC287)</f>
        <v>190.4520903732809</v>
      </c>
      <c r="AE287" s="158">
        <f t="shared" ref="AE287:AG287" si="864">SUM(AE285:AE286)</f>
        <v>168.27281728880155</v>
      </c>
      <c r="AF287" s="158">
        <f t="shared" si="864"/>
        <v>164.34354420432214</v>
      </c>
      <c r="AG287" s="158">
        <f t="shared" si="864"/>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f>F$25</f>
        <v>0</v>
      </c>
      <c r="G289" s="54">
        <f t="shared" ref="G289:X289" si="865">G$63</f>
        <v>0</v>
      </c>
      <c r="H289" s="54">
        <f t="shared" si="865"/>
        <v>0</v>
      </c>
      <c r="I289" s="54">
        <f t="shared" si="865"/>
        <v>0</v>
      </c>
      <c r="J289" s="54">
        <f t="shared" si="865"/>
        <v>2023</v>
      </c>
      <c r="K289" s="54">
        <f t="shared" si="865"/>
        <v>0</v>
      </c>
      <c r="L289" s="54">
        <f t="shared" si="865"/>
        <v>0</v>
      </c>
      <c r="M289" s="54">
        <f t="shared" si="865"/>
        <v>0</v>
      </c>
      <c r="N289" s="54">
        <f t="shared" si="865"/>
        <v>0</v>
      </c>
      <c r="O289" s="54">
        <f t="shared" si="865"/>
        <v>2024</v>
      </c>
      <c r="P289" s="54">
        <f t="shared" si="865"/>
        <v>0</v>
      </c>
      <c r="Q289" s="54">
        <f t="shared" si="865"/>
        <v>0</v>
      </c>
      <c r="R289" s="54">
        <f t="shared" si="865"/>
        <v>0</v>
      </c>
      <c r="S289" s="54">
        <f t="shared" si="865"/>
        <v>0</v>
      </c>
      <c r="T289" s="54">
        <f t="shared" si="865"/>
        <v>2025</v>
      </c>
      <c r="U289" s="54" t="str">
        <f t="shared" si="865"/>
        <v>1Q26e</v>
      </c>
      <c r="V289" s="54" t="str">
        <f t="shared" si="865"/>
        <v>2Q26e</v>
      </c>
      <c r="W289" s="54" t="str">
        <f t="shared" si="865"/>
        <v>3Q26</v>
      </c>
      <c r="X289" s="54" t="str">
        <f t="shared" si="865"/>
        <v>4Q26e</v>
      </c>
      <c r="Y289" s="54" t="str">
        <f t="shared" ref="Y289:AG289" si="866">Y$63</f>
        <v>2026e</v>
      </c>
      <c r="Z289" s="54" t="str">
        <f t="shared" si="866"/>
        <v>1Q27e</v>
      </c>
      <c r="AA289" s="54" t="str">
        <f t="shared" si="866"/>
        <v>2Q27e</v>
      </c>
      <c r="AB289" s="54" t="str">
        <f t="shared" si="866"/>
        <v>3Q27e</v>
      </c>
      <c r="AC289" s="54" t="str">
        <f t="shared" si="866"/>
        <v>4Q27e</v>
      </c>
      <c r="AD289" s="54" t="str">
        <f t="shared" si="866"/>
        <v>2027e</v>
      </c>
      <c r="AE289" s="54" t="str">
        <f t="shared" si="866"/>
        <v>2028e</v>
      </c>
      <c r="AF289" s="54" t="str">
        <f t="shared" si="866"/>
        <v>2029e</v>
      </c>
      <c r="AG289" s="55" t="str">
        <f t="shared" si="866"/>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7">-U270</f>
        <v>-111.24</v>
      </c>
      <c r="V293" s="356">
        <f t="shared" si="867"/>
        <v>-113.27999999999999</v>
      </c>
      <c r="W293" s="356">
        <f t="shared" si="867"/>
        <v>-112.20000000000003</v>
      </c>
      <c r="X293" s="356">
        <f t="shared" si="867"/>
        <v>-112.23599999999996</v>
      </c>
      <c r="Y293" s="8"/>
      <c r="Z293" s="356">
        <f t="shared" ref="Z293:AC293" si="868">-Z270</f>
        <v>-133.488</v>
      </c>
      <c r="AA293" s="356">
        <f t="shared" si="868"/>
        <v>-135.93599999999998</v>
      </c>
      <c r="AB293" s="356">
        <f t="shared" si="868"/>
        <v>-134.64000000000004</v>
      </c>
      <c r="AC293" s="356">
        <f t="shared" si="868"/>
        <v>-134.68319999999994</v>
      </c>
      <c r="AD293" s="8"/>
      <c r="AE293" s="158">
        <f t="shared" ref="AE293:AG293" si="869">-AE270</f>
        <v>-641.109168</v>
      </c>
      <c r="AF293" s="158">
        <f t="shared" si="869"/>
        <v>-737.2755431999999</v>
      </c>
      <c r="AG293" s="158">
        <f t="shared" si="869"/>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t="e">
        <f>U302*U28</f>
        <v>#DIV/0!</v>
      </c>
      <c r="V296" s="356" t="e">
        <f>V302*V28</f>
        <v>#DIV/0!</v>
      </c>
      <c r="W296" s="356" t="e">
        <f>W302*W28</f>
        <v>#DIV/0!</v>
      </c>
      <c r="X296" s="356" t="e">
        <f>X302*X28</f>
        <v>#DIV/0!</v>
      </c>
      <c r="Y296" s="8"/>
      <c r="Z296" s="356" t="e">
        <f>Z302*Z28</f>
        <v>#DIV/0!</v>
      </c>
      <c r="AA296" s="356" t="e">
        <f>AA302*AA28</f>
        <v>#DIV/0!</v>
      </c>
      <c r="AB296" s="356" t="e">
        <f>AB302*AB28</f>
        <v>#DIV/0!</v>
      </c>
      <c r="AC296" s="356" t="e">
        <f>AC302*AC28</f>
        <v>#DIV/0!</v>
      </c>
      <c r="AD296" s="8"/>
      <c r="AE296" s="158" t="e">
        <f>AE302*AE28</f>
        <v>#DIV/0!</v>
      </c>
      <c r="AF296" s="158" t="e">
        <f>AF302*AF28</f>
        <v>#DIV/0!</v>
      </c>
      <c r="AG296" s="158" t="e">
        <f>AG302*AG28</f>
        <v>#DIV/0!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0">SUM(U291:U296)</f>
        <v>5595.564145661041</v>
      </c>
      <c r="V297" s="278">
        <f t="shared" si="870"/>
        <v>12095.142742395466</v>
      </c>
      <c r="W297" s="278">
        <f t="shared" si="870"/>
        <v>11218.575268770033</v>
      </c>
      <c r="X297" s="278">
        <f t="shared" si="870"/>
        <v>9479.530104737225</v>
      </c>
      <c r="Y297" s="8"/>
      <c r="Z297" s="278">
        <f t="shared" ref="Z297:AC297" si="871">SUM(Z291:Z296)</f>
        <v>14395.638827571272</v>
      </c>
      <c r="AA297" s="278">
        <f t="shared" si="871"/>
        <v>13750.242483802393</v>
      </c>
      <c r="AB297" s="278">
        <f t="shared" si="871"/>
        <v>11690.772663972906</v>
      </c>
      <c r="AC297" s="278">
        <f t="shared" si="871"/>
        <v>9861.634977439584</v>
      </c>
      <c r="AD297" s="8"/>
      <c r="AE297" s="279">
        <f t="shared" ref="AE297:AG297" si="872">SUM(AE291:AE296)</f>
        <v>12906.165817772267</v>
      </c>
      <c r="AF297" s="279">
        <f t="shared" si="872"/>
        <v>12079.587481521752</v>
      </c>
      <c r="AG297" s="279">
        <f t="shared" si="872"/>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3"/>
      <c r="U298" s="484">
        <f>Drivers!U157</f>
        <v>250</v>
      </c>
      <c r="V298" s="484">
        <f>Drivers!V157</f>
        <v>250</v>
      </c>
      <c r="W298" s="484">
        <f>Drivers!W157</f>
        <v>250</v>
      </c>
      <c r="X298" s="484">
        <f>Drivers!X157</f>
        <v>250</v>
      </c>
      <c r="Y298" s="483"/>
      <c r="Z298" s="484">
        <f>Drivers!Z157</f>
        <v>250</v>
      </c>
      <c r="AA298" s="484">
        <f>Drivers!AA157</f>
        <v>250</v>
      </c>
      <c r="AB298" s="484">
        <f>Drivers!AB157</f>
        <v>250</v>
      </c>
      <c r="AC298" s="484">
        <f>Drivers!AC157</f>
        <v>250</v>
      </c>
      <c r="AD298" s="8"/>
      <c r="AE298" s="485">
        <f>Drivers!AE157</f>
        <v>1500</v>
      </c>
      <c r="AF298" s="485">
        <f>Drivers!AF157</f>
        <v>1500</v>
      </c>
      <c r="AG298" s="485">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3"/>
      <c r="U299" s="484">
        <f>Drivers!U162</f>
        <v>0</v>
      </c>
      <c r="V299" s="484">
        <f>Drivers!V162</f>
        <v>0</v>
      </c>
      <c r="W299" s="484">
        <f>Drivers!W162</f>
        <v>0</v>
      </c>
      <c r="X299" s="484">
        <f>Drivers!X162</f>
        <v>0</v>
      </c>
      <c r="Y299" s="483"/>
      <c r="Z299" s="484">
        <f>Drivers!Z162</f>
        <v>0</v>
      </c>
      <c r="AA299" s="484">
        <f>Drivers!AA162</f>
        <v>0</v>
      </c>
      <c r="AB299" s="484">
        <f>Drivers!AB162</f>
        <v>0</v>
      </c>
      <c r="AC299" s="484">
        <f>Drivers!AC162</f>
        <v>0</v>
      </c>
      <c r="AD299" s="8"/>
      <c r="AE299" s="485">
        <f>Drivers!AE162</f>
        <v>0</v>
      </c>
      <c r="AF299" s="485">
        <f>Drivers!AF162</f>
        <v>0</v>
      </c>
      <c r="AG299" s="485">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3">SUM(U297:U299)</f>
        <v>5845.564145661041</v>
      </c>
      <c r="V300" s="278">
        <f t="shared" si="873"/>
        <v>12345.142742395466</v>
      </c>
      <c r="W300" s="278">
        <f t="shared" si="873"/>
        <v>11468.575268770033</v>
      </c>
      <c r="X300" s="278">
        <f t="shared" si="873"/>
        <v>9729.530104737225</v>
      </c>
      <c r="Y300" s="8"/>
      <c r="Z300" s="278">
        <f t="shared" ref="Z300:AC300" si="874">SUM(Z297:Z299)</f>
        <v>14645.638827571272</v>
      </c>
      <c r="AA300" s="278">
        <f t="shared" si="874"/>
        <v>14000.242483802393</v>
      </c>
      <c r="AB300" s="278">
        <f t="shared" si="874"/>
        <v>11940.772663972906</v>
      </c>
      <c r="AC300" s="278">
        <f t="shared" si="874"/>
        <v>10111.634977439584</v>
      </c>
      <c r="AD300" s="8"/>
      <c r="AE300" s="279">
        <f t="shared" ref="AE300:AG300" si="875">SUM(AE297:AE299)</f>
        <v>14406.165817772267</v>
      </c>
      <c r="AF300" s="279">
        <f t="shared" si="875"/>
        <v>13579.587481521752</v>
      </c>
      <c r="AG300" s="279">
        <f t="shared" si="875"/>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6">
        <f t="shared" ref="F302:T302" si="876">F180/F28</f>
        <v>0</v>
      </c>
      <c r="G302" s="486">
        <f t="shared" si="876"/>
        <v>0</v>
      </c>
      <c r="H302" s="486">
        <f t="shared" si="876"/>
        <v>0</v>
      </c>
      <c r="I302" s="486">
        <f t="shared" si="876"/>
        <v>0</v>
      </c>
      <c r="J302" s="487" t="e">
        <f t="shared" si="876"/>
        <v>#DIV/0!</v>
      </c>
      <c r="K302" s="486">
        <f t="shared" si="876"/>
        <v>0</v>
      </c>
      <c r="L302" s="486">
        <f t="shared" si="876"/>
        <v>0</v>
      </c>
      <c r="M302" s="486">
        <f t="shared" si="876"/>
        <v>0</v>
      </c>
      <c r="N302" s="486">
        <f t="shared" si="876"/>
        <v>0</v>
      </c>
      <c r="O302" s="487" t="e">
        <f t="shared" si="876"/>
        <v>#DIV/0!</v>
      </c>
      <c r="P302" s="486">
        <f t="shared" si="876"/>
        <v>0</v>
      </c>
      <c r="Q302" s="486">
        <f t="shared" si="876"/>
        <v>0</v>
      </c>
      <c r="R302" s="486">
        <f t="shared" si="876"/>
        <v>0</v>
      </c>
      <c r="S302" s="486">
        <f t="shared" ref="S302" si="877">S180/S28</f>
        <v>0</v>
      </c>
      <c r="T302" s="487" t="e">
        <f t="shared" si="876"/>
        <v>#DIV/0!</v>
      </c>
      <c r="U302" s="488" t="e">
        <f>+AVERAGE(F302:T302)</f>
        <v>#DIV/0!</v>
      </c>
      <c r="V302" s="488" t="e">
        <f t="shared" ref="V302:X302" si="878">+AVERAGE(G302:U302)</f>
        <v>#DIV/0!</v>
      </c>
      <c r="W302" s="488" t="e">
        <f t="shared" si="878"/>
        <v>#DIV/0!</v>
      </c>
      <c r="X302" s="488" t="e">
        <f t="shared" si="878"/>
        <v>#DIV/0!</v>
      </c>
      <c r="Y302" s="8"/>
      <c r="Z302" s="488" t="e">
        <f t="shared" ref="Z302:AC302" si="879">AVERAGE($F$302:$V$302)</f>
        <v>#DIV/0!</v>
      </c>
      <c r="AA302" s="488" t="e">
        <f t="shared" si="879"/>
        <v>#DIV/0!</v>
      </c>
      <c r="AB302" s="488" t="e">
        <f t="shared" si="879"/>
        <v>#DIV/0!</v>
      </c>
      <c r="AC302" s="488" t="e">
        <f t="shared" si="879"/>
        <v>#DIV/0!</v>
      </c>
      <c r="AD302" s="8"/>
      <c r="AE302" s="487" t="e">
        <f t="shared" ref="AE302:AG302" si="880">AVERAGE($F$302:$V$302)</f>
        <v>#DIV/0!</v>
      </c>
      <c r="AF302" s="487" t="e">
        <f t="shared" si="880"/>
        <v>#DIV/0!</v>
      </c>
      <c r="AG302" s="487" t="e">
        <f t="shared" si="880"/>
        <v>#DIV/0!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1">E307</f>
        <v>0</v>
      </c>
      <c r="G305" s="349">
        <f t="shared" ref="G305" si="882">F307</f>
        <v>0</v>
      </c>
      <c r="H305" s="349">
        <f t="shared" ref="H305" si="883">G307</f>
        <v>0</v>
      </c>
      <c r="I305" s="349">
        <f t="shared" ref="I305" si="884">H307</f>
        <v>0</v>
      </c>
      <c r="J305" s="279">
        <f>F305</f>
        <v>0</v>
      </c>
      <c r="K305" s="349">
        <f t="shared" ref="K305" si="885">J307</f>
        <v>0</v>
      </c>
      <c r="L305" s="349">
        <f t="shared" ref="L305" si="886">K307</f>
        <v>0</v>
      </c>
      <c r="M305" s="349">
        <f t="shared" ref="M305" si="887">L307</f>
        <v>0</v>
      </c>
      <c r="N305" s="349">
        <f t="shared" ref="N305" si="888">M307</f>
        <v>0</v>
      </c>
      <c r="O305" s="279">
        <f>K305</f>
        <v>0</v>
      </c>
      <c r="P305" s="349">
        <f t="shared" ref="P305" si="889">O307</f>
        <v>0</v>
      </c>
      <c r="Q305" s="349">
        <f t="shared" ref="Q305" si="890">P307</f>
        <v>0</v>
      </c>
      <c r="R305" s="349">
        <f t="shared" ref="R305:S305" si="891">Q307</f>
        <v>0</v>
      </c>
      <c r="S305" s="349">
        <f t="shared" si="891"/>
        <v>0</v>
      </c>
      <c r="T305" s="8"/>
      <c r="U305" s="278">
        <f>S307</f>
        <v>0</v>
      </c>
      <c r="V305" s="278">
        <f t="shared" ref="V305" si="892">U307</f>
        <v>0</v>
      </c>
      <c r="W305" s="278">
        <f t="shared" ref="W305" si="893">V307</f>
        <v>0</v>
      </c>
      <c r="X305" s="278">
        <f t="shared" ref="X305" si="894">W307</f>
        <v>0</v>
      </c>
      <c r="Y305" s="8"/>
      <c r="Z305" s="278">
        <f>X307</f>
        <v>0</v>
      </c>
      <c r="AA305" s="278">
        <f t="shared" ref="AA305:AC305" si="895">Z307</f>
        <v>0</v>
      </c>
      <c r="AB305" s="278">
        <f t="shared" si="895"/>
        <v>0</v>
      </c>
      <c r="AC305" s="278">
        <f t="shared" si="895"/>
        <v>0</v>
      </c>
      <c r="AD305" s="8"/>
      <c r="AE305" s="279">
        <f>AC307</f>
        <v>0</v>
      </c>
      <c r="AF305" s="279">
        <f t="shared" ref="AF305:AG305" si="896">AE307</f>
        <v>0</v>
      </c>
      <c r="AG305" s="279">
        <f t="shared" si="896"/>
        <v>0</v>
      </c>
      <c r="AH305" s="8"/>
      <c r="AI305" s="8"/>
      <c r="AJ305" s="8"/>
      <c r="AK305" s="8"/>
    </row>
    <row r="306" ht="15.75" customHeight="1" spans="1:37" x14ac:dyDescent="0.25">
      <c r="A306" s="261"/>
      <c r="B306" s="8"/>
      <c r="C306" s="131" t="s">
        <v>426</v>
      </c>
      <c r="D306" s="8"/>
      <c r="E306" s="8"/>
      <c r="F306" s="354">
        <f t="shared" ref="F306:I306" si="897">F307-F305</f>
        <v>0</v>
      </c>
      <c r="G306" s="354">
        <f t="shared" si="897"/>
        <v>0</v>
      </c>
      <c r="H306" s="354">
        <f t="shared" si="897"/>
        <v>0</v>
      </c>
      <c r="I306" s="354">
        <f t="shared" si="897"/>
        <v>0</v>
      </c>
      <c r="J306" s="158">
        <f>IF(J308&gt;J305,J308-J305,0)</f>
        <v>0</v>
      </c>
      <c r="K306" s="354">
        <f t="shared" ref="K306:N306" si="898">K307-K305</f>
        <v>0</v>
      </c>
      <c r="L306" s="354">
        <f t="shared" si="898"/>
        <v>0</v>
      </c>
      <c r="M306" s="354">
        <f t="shared" si="898"/>
        <v>0</v>
      </c>
      <c r="N306" s="354">
        <f t="shared" si="898"/>
        <v>0</v>
      </c>
      <c r="O306" s="158">
        <f>IF(O308&gt;O305,O308-O305,0)</f>
        <v>0</v>
      </c>
      <c r="P306" s="354">
        <f t="shared" ref="P306:S306" si="899">P307-P305</f>
        <v>0</v>
      </c>
      <c r="Q306" s="354">
        <f t="shared" si="899"/>
        <v>0</v>
      </c>
      <c r="R306" s="354">
        <f t="shared" si="899"/>
        <v>0</v>
      </c>
      <c r="S306" s="354">
        <f t="shared" si="899"/>
        <v>0</v>
      </c>
      <c r="T306" s="8"/>
      <c r="U306" s="326">
        <f t="shared" ref="U306:X306" si="900">IF(U300&lt;0,-U300,IF(U300&gt;U305,-U305,-U300))</f>
        <v>0</v>
      </c>
      <c r="V306" s="326">
        <f t="shared" si="900"/>
        <v>0</v>
      </c>
      <c r="W306" s="326">
        <f t="shared" si="900"/>
        <v>0</v>
      </c>
      <c r="X306" s="326">
        <f t="shared" si="900"/>
        <v>0</v>
      </c>
      <c r="Y306" s="8"/>
      <c r="Z306" s="326">
        <f t="shared" ref="Z306:AC306" si="901">IF(Z300&lt;0,-Z300,IF(Z300&gt;Z305,-Z305,-Z300))</f>
        <v>0</v>
      </c>
      <c r="AA306" s="326">
        <f t="shared" si="901"/>
        <v>0</v>
      </c>
      <c r="AB306" s="326">
        <f t="shared" si="901"/>
        <v>0</v>
      </c>
      <c r="AC306" s="326">
        <f t="shared" si="901"/>
        <v>0</v>
      </c>
      <c r="AD306" s="8"/>
      <c r="AE306" s="325">
        <f t="shared" ref="AE306:AG306" si="902">IF(AE300&lt;0,-AE300,IF(AE300&gt;AE305,-AE305,-AE300))</f>
        <v>0</v>
      </c>
      <c r="AF306" s="325">
        <f t="shared" si="902"/>
        <v>0</v>
      </c>
      <c r="AG306" s="325">
        <f t="shared" si="902"/>
        <v>0</v>
      </c>
      <c r="AH306" s="8"/>
      <c r="AI306" s="8"/>
      <c r="AJ306" s="8"/>
      <c r="AK306" s="8"/>
    </row>
    <row r="307" ht="15.75" customHeight="1" spans="1:37" x14ac:dyDescent="0.25">
      <c r="A307" s="261"/>
      <c r="B307" s="8"/>
      <c r="C307" s="8" t="s">
        <v>397</v>
      </c>
      <c r="D307" s="8"/>
      <c r="E307" s="8"/>
      <c r="F307" s="349">
        <f t="shared" ref="F307:R307" si="903">F140</f>
        <v>0</v>
      </c>
      <c r="G307" s="349">
        <f t="shared" si="903"/>
        <v>0</v>
      </c>
      <c r="H307" s="349">
        <f t="shared" si="903"/>
        <v>0</v>
      </c>
      <c r="I307" s="349">
        <f t="shared" si="903"/>
        <v>0</v>
      </c>
      <c r="J307" s="279">
        <f t="shared" si="903"/>
        <v>0</v>
      </c>
      <c r="K307" s="349">
        <f t="shared" si="903"/>
        <v>0</v>
      </c>
      <c r="L307" s="349">
        <f t="shared" si="903"/>
        <v>0</v>
      </c>
      <c r="M307" s="349">
        <f t="shared" si="903"/>
        <v>0</v>
      </c>
      <c r="N307" s="349">
        <f t="shared" si="903"/>
        <v>0</v>
      </c>
      <c r="O307" s="279">
        <f t="shared" si="903"/>
        <v>0</v>
      </c>
      <c r="P307" s="349">
        <f t="shared" si="903"/>
        <v>0</v>
      </c>
      <c r="Q307" s="349">
        <f t="shared" si="903"/>
        <v>0</v>
      </c>
      <c r="R307" s="349">
        <f t="shared" si="903"/>
        <v>0</v>
      </c>
      <c r="S307" s="349">
        <f t="shared" ref="S307" si="904">S140</f>
        <v>0</v>
      </c>
      <c r="T307" s="8"/>
      <c r="U307" s="278">
        <f t="shared" ref="U307:X307" si="905">SUM(U305:U306)</f>
        <v>0</v>
      </c>
      <c r="V307" s="278">
        <f t="shared" si="905"/>
        <v>0</v>
      </c>
      <c r="W307" s="278">
        <f t="shared" si="905"/>
        <v>0</v>
      </c>
      <c r="X307" s="278">
        <f t="shared" si="905"/>
        <v>0</v>
      </c>
      <c r="Y307" s="8"/>
      <c r="Z307" s="278">
        <f t="shared" ref="Z307:AC307" si="906">SUM(Z305:Z306)</f>
        <v>0</v>
      </c>
      <c r="AA307" s="278">
        <f t="shared" si="906"/>
        <v>0</v>
      </c>
      <c r="AB307" s="278">
        <f t="shared" si="906"/>
        <v>0</v>
      </c>
      <c r="AC307" s="278">
        <f t="shared" si="906"/>
        <v>0</v>
      </c>
      <c r="AD307" s="8"/>
      <c r="AE307" s="279">
        <f t="shared" ref="AE307:AG307" si="907">SUM(AE305:AE306)</f>
        <v>0</v>
      </c>
      <c r="AF307" s="279">
        <f t="shared" si="907"/>
        <v>0</v>
      </c>
      <c r="AG307" s="279">
        <f t="shared" si="90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f t="shared" ref="G310" si="908">F313</f>
        <v>8625.552</v>
      </c>
      <c r="H310" s="349">
        <f t="shared" ref="H310" si="909">G313</f>
        <v>8785.54</v>
      </c>
      <c r="I310" s="349">
        <f t="shared" ref="I310" si="910">H313</f>
        <v>9462.491</v>
      </c>
      <c r="J310" s="279">
        <f>F310</f>
        <v>2893</v>
      </c>
      <c r="K310" s="349">
        <f t="shared" ref="K310" si="911">J313</f>
        <v>9698.752</v>
      </c>
      <c r="L310" s="349">
        <f t="shared" ref="L310" si="912">K313</f>
        <v>9917.278</v>
      </c>
      <c r="M310" s="349">
        <f t="shared" ref="M310" si="913">L313</f>
        <v>12666.6</v>
      </c>
      <c r="N310" s="349">
        <f t="shared" ref="N310" si="914">M313</f>
        <v>12922.012</v>
      </c>
      <c r="O310" s="279">
        <f>K310</f>
        <v>0</v>
      </c>
      <c r="P310" s="349">
        <f t="shared" ref="P310" si="915">O313</f>
        <v>13530.565</v>
      </c>
      <c r="Q310" s="349">
        <f t="shared" ref="Q310" si="916">P313</f>
        <v>14785.553</v>
      </c>
      <c r="R310" s="349">
        <f t="shared" ref="R310:S310" si="917">Q313</f>
        <v>15351.967</v>
      </c>
      <c r="S310" s="349">
        <f t="shared" si="917"/>
        <v>16013.634</v>
      </c>
      <c r="T310" s="8"/>
      <c r="U310" s="278">
        <f>S313</f>
        <v>0</v>
      </c>
      <c r="V310" s="278">
        <f t="shared" ref="V310" si="918">U313</f>
        <v>250</v>
      </c>
      <c r="W310" s="278">
        <f t="shared" ref="W310" si="919">V313</f>
        <v>500</v>
      </c>
      <c r="X310" s="278">
        <f t="shared" ref="X310" si="920">W313</f>
        <v>750</v>
      </c>
      <c r="Y310" s="8"/>
      <c r="Z310" s="278">
        <f>X313</f>
        <v>1000</v>
      </c>
      <c r="AA310" s="278">
        <f t="shared" ref="AA310:AC310" si="921">Z313</f>
        <v>1250</v>
      </c>
      <c r="AB310" s="278">
        <f t="shared" si="921"/>
        <v>1500</v>
      </c>
      <c r="AC310" s="278">
        <f t="shared" si="921"/>
        <v>1750</v>
      </c>
      <c r="AD310" s="8"/>
      <c r="AE310" s="279">
        <f>AC313</f>
        <v>2000</v>
      </c>
      <c r="AF310" s="279">
        <f t="shared" ref="AF310:AG310" si="922">AE313</f>
        <v>3500</v>
      </c>
      <c r="AG310" s="279">
        <f t="shared" si="922"/>
        <v>5000</v>
      </c>
      <c r="AH310" s="8"/>
      <c r="AI310" s="8"/>
      <c r="AJ310" s="8"/>
      <c r="AK310" s="8"/>
    </row>
    <row r="311" ht="15.75" customHeight="1" spans="1:37" x14ac:dyDescent="0.25">
      <c r="A311" s="261"/>
      <c r="B311" s="8"/>
      <c r="C311" s="131" t="s">
        <v>297</v>
      </c>
      <c r="D311" s="8"/>
      <c r="E311" s="8"/>
      <c r="F311" s="354">
        <f t="shared" ref="F311:R311" si="923">IF(F313&gt;F310,F313-F310,0)</f>
        <v>0</v>
      </c>
      <c r="G311" s="354">
        <f t="shared" si="923"/>
        <v>0</v>
      </c>
      <c r="H311" s="354">
        <f t="shared" si="923"/>
        <v>0</v>
      </c>
      <c r="I311" s="354">
        <f t="shared" si="923"/>
        <v>0</v>
      </c>
      <c r="J311" s="158">
        <f t="shared" si="923"/>
        <v>0</v>
      </c>
      <c r="K311" s="354">
        <f t="shared" si="923"/>
        <v>0</v>
      </c>
      <c r="L311" s="354">
        <f t="shared" si="923"/>
        <v>0</v>
      </c>
      <c r="M311" s="354">
        <f t="shared" si="923"/>
        <v>0</v>
      </c>
      <c r="N311" s="354">
        <f t="shared" si="923"/>
        <v>0</v>
      </c>
      <c r="O311" s="158">
        <f t="shared" si="923"/>
        <v>0</v>
      </c>
      <c r="P311" s="354">
        <f t="shared" si="923"/>
        <v>0</v>
      </c>
      <c r="Q311" s="354">
        <f t="shared" si="923"/>
        <v>0</v>
      </c>
      <c r="R311" s="354">
        <f t="shared" si="923"/>
        <v>0</v>
      </c>
      <c r="S311" s="354">
        <f t="shared" ref="S311" si="924">IF(S313&gt;S310,S313-S310,0)</f>
        <v>0</v>
      </c>
      <c r="T311" s="8"/>
      <c r="U311" s="326">
        <f t="shared" ref="U311:X311" si="925">U298</f>
        <v>250</v>
      </c>
      <c r="V311" s="326">
        <f t="shared" si="925"/>
        <v>250</v>
      </c>
      <c r="W311" s="326">
        <f t="shared" si="925"/>
        <v>250</v>
      </c>
      <c r="X311" s="326">
        <f t="shared" si="925"/>
        <v>250</v>
      </c>
      <c r="Y311" s="8"/>
      <c r="Z311" s="326">
        <f t="shared" ref="Z311:AC311" si="926">Z298</f>
        <v>250</v>
      </c>
      <c r="AA311" s="326">
        <f t="shared" si="926"/>
        <v>250</v>
      </c>
      <c r="AB311" s="326">
        <f t="shared" si="926"/>
        <v>250</v>
      </c>
      <c r="AC311" s="326">
        <f t="shared" si="926"/>
        <v>250</v>
      </c>
      <c r="AD311" s="8"/>
      <c r="AE311" s="325">
        <f t="shared" ref="AE311:AG311" si="927">AE298</f>
        <v>1500</v>
      </c>
      <c r="AF311" s="325">
        <f t="shared" si="927"/>
        <v>1500</v>
      </c>
      <c r="AG311" s="325">
        <f t="shared" si="927"/>
        <v>1500</v>
      </c>
      <c r="AH311" s="8"/>
      <c r="AI311" s="8"/>
      <c r="AJ311" s="8"/>
      <c r="AK311" s="8"/>
    </row>
    <row r="312" ht="15.75" customHeight="1" spans="1:37" x14ac:dyDescent="0.25">
      <c r="A312" s="261"/>
      <c r="B312" s="8"/>
      <c r="C312" s="131" t="s">
        <v>428</v>
      </c>
      <c r="D312" s="8"/>
      <c r="E312" s="8"/>
      <c r="F312" s="354">
        <f t="shared" ref="F312:R312" si="928">IF(F310&gt;F313,F313-F310,0)</f>
        <v>-2893</v>
      </c>
      <c r="G312" s="354">
        <f t="shared" si="928"/>
        <v>0</v>
      </c>
      <c r="H312" s="354">
        <f t="shared" si="928"/>
        <v>0</v>
      </c>
      <c r="I312" s="354">
        <f t="shared" si="928"/>
        <v>0</v>
      </c>
      <c r="J312" s="158">
        <f t="shared" si="928"/>
        <v>-2893</v>
      </c>
      <c r="K312" s="354">
        <f t="shared" si="928"/>
        <v>0</v>
      </c>
      <c r="L312" s="354">
        <f t="shared" si="928"/>
        <v>0</v>
      </c>
      <c r="M312" s="354">
        <f t="shared" si="928"/>
        <v>0</v>
      </c>
      <c r="N312" s="354">
        <f t="shared" si="928"/>
        <v>0</v>
      </c>
      <c r="O312" s="158">
        <f t="shared" si="928"/>
        <v>0</v>
      </c>
      <c r="P312" s="354">
        <f t="shared" si="928"/>
        <v>0</v>
      </c>
      <c r="Q312" s="354">
        <f t="shared" si="928"/>
        <v>0</v>
      </c>
      <c r="R312" s="354">
        <f t="shared" si="928"/>
        <v>0</v>
      </c>
      <c r="S312" s="354">
        <f t="shared" ref="S312" si="929">IF(S310&gt;S313,S313-S310,0)</f>
        <v>0</v>
      </c>
      <c r="T312" s="8"/>
      <c r="U312" s="326">
        <f t="shared" ref="U312:X312" si="930">U299</f>
        <v>0</v>
      </c>
      <c r="V312" s="326">
        <f t="shared" si="930"/>
        <v>0</v>
      </c>
      <c r="W312" s="326">
        <f t="shared" si="930"/>
        <v>0</v>
      </c>
      <c r="X312" s="326">
        <f t="shared" si="930"/>
        <v>0</v>
      </c>
      <c r="Y312" s="8"/>
      <c r="Z312" s="326">
        <f t="shared" ref="Z312:AC312" si="931">Z299</f>
        <v>0</v>
      </c>
      <c r="AA312" s="326">
        <f t="shared" si="931"/>
        <v>0</v>
      </c>
      <c r="AB312" s="326">
        <f t="shared" si="931"/>
        <v>0</v>
      </c>
      <c r="AC312" s="326">
        <f t="shared" si="931"/>
        <v>0</v>
      </c>
      <c r="AD312" s="8"/>
      <c r="AE312" s="325">
        <f t="shared" ref="AE312:AG312" si="932">AE299</f>
        <v>0</v>
      </c>
      <c r="AF312" s="325">
        <f t="shared" si="932"/>
        <v>0</v>
      </c>
      <c r="AG312" s="325">
        <f t="shared" si="932"/>
        <v>0</v>
      </c>
      <c r="AH312" s="8"/>
      <c r="AI312" s="8"/>
      <c r="AJ312" s="8"/>
      <c r="AK312" s="8"/>
    </row>
    <row r="313" ht="15.75" customHeight="1" spans="1:37" x14ac:dyDescent="0.25">
      <c r="A313" s="261"/>
      <c r="B313" s="8"/>
      <c r="C313" s="8" t="s">
        <v>397</v>
      </c>
      <c r="D313" s="8"/>
      <c r="E313" s="8"/>
      <c r="F313" s="349">
        <f t="shared" ref="F313:R313" si="933">F141</f>
        <v>8625.552</v>
      </c>
      <c r="G313" s="349">
        <f t="shared" si="933"/>
        <v>8785.54</v>
      </c>
      <c r="H313" s="349">
        <f t="shared" si="933"/>
        <v>9462.491</v>
      </c>
      <c r="I313" s="349">
        <f t="shared" si="933"/>
        <v>9698.752</v>
      </c>
      <c r="J313" s="279">
        <f t="shared" si="933"/>
        <v>9698.752</v>
      </c>
      <c r="K313" s="349">
        <f t="shared" si="933"/>
        <v>9917.278</v>
      </c>
      <c r="L313" s="349">
        <f t="shared" si="933"/>
        <v>12666.6</v>
      </c>
      <c r="M313" s="349">
        <f t="shared" si="933"/>
        <v>12922.012</v>
      </c>
      <c r="N313" s="349">
        <f t="shared" si="933"/>
        <v>13530.565</v>
      </c>
      <c r="O313" s="279">
        <f t="shared" si="933"/>
        <v>13530.565</v>
      </c>
      <c r="P313" s="349">
        <f t="shared" si="933"/>
        <v>14785.553</v>
      </c>
      <c r="Q313" s="349">
        <f t="shared" si="933"/>
        <v>15351.967</v>
      </c>
      <c r="R313" s="349">
        <f t="shared" si="933"/>
        <v>16013.634</v>
      </c>
      <c r="S313" s="349">
        <f t="shared" ref="S313" si="934">S141</f>
        <v>15895.891</v>
      </c>
      <c r="T313" s="8"/>
      <c r="U313" s="278">
        <f t="shared" ref="U313:X313" si="935">SUM(U310:U312)</f>
        <v>250</v>
      </c>
      <c r="V313" s="278">
        <f t="shared" si="935"/>
        <v>500</v>
      </c>
      <c r="W313" s="278">
        <f t="shared" si="935"/>
        <v>750</v>
      </c>
      <c r="X313" s="278">
        <f t="shared" si="935"/>
        <v>1000</v>
      </c>
      <c r="Y313" s="8"/>
      <c r="Z313" s="278">
        <f t="shared" ref="Z313:AC313" si="936">SUM(Z310:Z312)</f>
        <v>1250</v>
      </c>
      <c r="AA313" s="278">
        <f t="shared" si="936"/>
        <v>1500</v>
      </c>
      <c r="AB313" s="278">
        <f t="shared" si="936"/>
        <v>1750</v>
      </c>
      <c r="AC313" s="278">
        <f t="shared" si="936"/>
        <v>2000</v>
      </c>
      <c r="AD313" s="8"/>
      <c r="AE313" s="279">
        <f t="shared" ref="AE313:AG313" si="937">SUM(AE310:AE312)</f>
        <v>3500</v>
      </c>
      <c r="AF313" s="279">
        <f t="shared" si="937"/>
        <v>5000</v>
      </c>
      <c r="AG313" s="279">
        <f t="shared" si="93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8">IFERROR(AVERAGE(V307,V305),0)</f>
        <v>0</v>
      </c>
      <c r="W316" s="278">
        <f t="shared" si="938"/>
        <v>0</v>
      </c>
      <c r="X316" s="278">
        <f t="shared" si="938"/>
        <v>0</v>
      </c>
      <c r="Y316" s="8"/>
      <c r="Z316" s="278">
        <f>IFERROR(AVERAGE(Z307,Z305),0)</f>
        <v>0</v>
      </c>
      <c r="AA316" s="278">
        <f t="shared" ref="AA316:AG316" si="939">IFERROR(AVERAGE(AA307,AA305),0)</f>
        <v>0</v>
      </c>
      <c r="AB316" s="278">
        <f t="shared" si="939"/>
        <v>0</v>
      </c>
      <c r="AC316" s="278">
        <f t="shared" si="939"/>
        <v>0</v>
      </c>
      <c r="AD316" s="8"/>
      <c r="AE316" s="279">
        <f t="shared" si="939"/>
        <v>0</v>
      </c>
      <c r="AF316" s="279">
        <f t="shared" si="939"/>
        <v>0</v>
      </c>
      <c r="AG316" s="279">
        <f t="shared" si="93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9">
        <v>0</v>
      </c>
      <c r="V317" s="489">
        <v>0</v>
      </c>
      <c r="W317" s="489">
        <v>0</v>
      </c>
      <c r="X317" s="489">
        <v>0</v>
      </c>
      <c r="Y317" s="8"/>
      <c r="Z317" s="489">
        <v>0</v>
      </c>
      <c r="AA317" s="489">
        <v>0</v>
      </c>
      <c r="AB317" s="489">
        <v>0</v>
      </c>
      <c r="AC317" s="489">
        <v>0</v>
      </c>
      <c r="AD317" s="8"/>
      <c r="AE317" s="490">
        <v>0</v>
      </c>
      <c r="AF317" s="490">
        <v>0</v>
      </c>
      <c r="AG317" s="490">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0">-(U316*U317)</f>
        <v>0</v>
      </c>
      <c r="V318" s="278">
        <f t="shared" si="940"/>
        <v>0</v>
      </c>
      <c r="W318" s="278">
        <f t="shared" si="940"/>
        <v>0</v>
      </c>
      <c r="X318" s="278">
        <f t="shared" si="940"/>
        <v>0</v>
      </c>
      <c r="Y318" s="8"/>
      <c r="Z318" s="278">
        <f t="shared" ref="Z318:AC318" si="941">-(Z316*Z317)</f>
        <v>0</v>
      </c>
      <c r="AA318" s="278">
        <f t="shared" si="941"/>
        <v>0</v>
      </c>
      <c r="AB318" s="278">
        <f t="shared" si="941"/>
        <v>0</v>
      </c>
      <c r="AC318" s="278">
        <f t="shared" si="941"/>
        <v>0</v>
      </c>
      <c r="AD318" s="8"/>
      <c r="AE318" s="279">
        <f t="shared" ref="AE318:AG318" si="942">-(AE316*AE317)</f>
        <v>0</v>
      </c>
      <c r="AF318" s="279">
        <f t="shared" si="942"/>
        <v>0</v>
      </c>
      <c r="AG318" s="279">
        <f t="shared" si="94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3">AVERAGE(U313,U310)</f>
        <v>125</v>
      </c>
      <c r="V321" s="278">
        <f t="shared" si="943"/>
        <v>375</v>
      </c>
      <c r="W321" s="278">
        <f t="shared" si="943"/>
        <v>625</v>
      </c>
      <c r="X321" s="278">
        <f t="shared" si="943"/>
        <v>875</v>
      </c>
      <c r="Y321" s="8"/>
      <c r="Z321" s="278">
        <f t="shared" ref="Z321:AC321" si="944">AVERAGE(Z313,Z310)</f>
        <v>1125</v>
      </c>
      <c r="AA321" s="278">
        <f t="shared" si="944"/>
        <v>1375</v>
      </c>
      <c r="AB321" s="278">
        <f t="shared" si="944"/>
        <v>1625</v>
      </c>
      <c r="AC321" s="278">
        <f t="shared" si="944"/>
        <v>1875</v>
      </c>
      <c r="AD321" s="8"/>
      <c r="AE321" s="279">
        <f t="shared" ref="AE321:AG321" si="945">AVERAGE(AE313,AE310)</f>
        <v>2750</v>
      </c>
      <c r="AF321" s="279">
        <f t="shared" si="945"/>
        <v>4250</v>
      </c>
      <c r="AG321" s="279">
        <f t="shared" si="94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9">
        <v>0.0525</v>
      </c>
      <c r="V322" s="489">
        <v>0.055</v>
      </c>
      <c r="W322" s="489">
        <v>0.0575</v>
      </c>
      <c r="X322" s="489">
        <v>0.055</v>
      </c>
      <c r="Y322" s="8"/>
      <c r="Z322" s="489">
        <v>0.0518</v>
      </c>
      <c r="AA322" s="489">
        <v>0.0518</v>
      </c>
      <c r="AB322" s="489">
        <v>0.0518</v>
      </c>
      <c r="AC322" s="489">
        <v>0.0518</v>
      </c>
      <c r="AD322" s="8"/>
      <c r="AE322" s="490">
        <v>0.21</v>
      </c>
      <c r="AF322" s="490">
        <v>0.21</v>
      </c>
      <c r="AG322" s="490">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6">-(U321*U322)</f>
        <v>-6.5625</v>
      </c>
      <c r="V323" s="278">
        <f t="shared" si="946"/>
        <v>-20.625</v>
      </c>
      <c r="W323" s="278">
        <f t="shared" si="946"/>
        <v>-35.9375</v>
      </c>
      <c r="X323" s="278">
        <f t="shared" si="946"/>
        <v>-48.125</v>
      </c>
      <c r="Y323" s="8"/>
      <c r="Z323" s="278">
        <f t="shared" ref="Z323:AC323" si="947">-(Z321*Z322)</f>
        <v>-58.275</v>
      </c>
      <c r="AA323" s="278">
        <f t="shared" si="947"/>
        <v>-71.225</v>
      </c>
      <c r="AB323" s="278">
        <f t="shared" si="947"/>
        <v>-84.175</v>
      </c>
      <c r="AC323" s="278">
        <f t="shared" si="947"/>
        <v>-97.125</v>
      </c>
      <c r="AD323" s="8"/>
      <c r="AE323" s="279">
        <f t="shared" ref="AE323:AG323" si="948">-(AE321*AE322)</f>
        <v>-577.5</v>
      </c>
      <c r="AF323" s="279">
        <f t="shared" si="948"/>
        <v>-892.5</v>
      </c>
      <c r="AG323" s="279">
        <f t="shared" si="94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1"/>
      <c r="G325" s="491"/>
      <c r="H325" s="491"/>
      <c r="I325" s="491"/>
      <c r="J325" s="91"/>
      <c r="K325" s="491"/>
      <c r="L325" s="491"/>
      <c r="M325" s="491"/>
      <c r="N325" s="491"/>
      <c r="O325" s="91"/>
      <c r="P325" s="491"/>
      <c r="Q325" s="491"/>
      <c r="R325" s="491"/>
      <c r="S325" s="491"/>
      <c r="T325" s="91"/>
      <c r="U325" s="396">
        <f t="shared" ref="U325:X325" si="949">SUM(U318,U323)</f>
        <v>-841.0967774999999</v>
      </c>
      <c r="V325" s="396">
        <f t="shared" si="949"/>
        <v>-894.899005</v>
      </c>
      <c r="W325" s="396">
        <f t="shared" si="949"/>
        <v>-949.9512325000001</v>
      </c>
      <c r="X325" s="396">
        <f t="shared" si="949"/>
        <v>-922.399005</v>
      </c>
      <c r="Y325" s="91"/>
      <c r="Z325" s="396">
        <f t="shared" ref="Z325:AC325" si="950">SUM(Z318,Z323)</f>
        <v>-881.6821537999999</v>
      </c>
      <c r="AA325" s="396">
        <f t="shared" si="950"/>
        <v>-894.6321538</v>
      </c>
      <c r="AB325" s="396">
        <f t="shared" si="950"/>
        <v>-907.5821538</v>
      </c>
      <c r="AC325" s="396">
        <f t="shared" si="950"/>
        <v>-920.5321538</v>
      </c>
      <c r="AD325" s="91"/>
      <c r="AE325" s="395">
        <f t="shared" ref="AE325:AG325" si="951">SUM(AE318,AE323)</f>
        <v>-3915.6371099999997</v>
      </c>
      <c r="AF325" s="395">
        <f t="shared" si="951"/>
        <v>-4230.63711</v>
      </c>
      <c r="AG325" s="417">
        <f t="shared" si="95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9">
        <f>S329</f>
        <v>0</v>
      </c>
      <c r="V329" s="489">
        <f t="shared" ref="V329" si="952">U329</f>
        <v>0</v>
      </c>
      <c r="W329" s="489">
        <f t="shared" ref="W329" si="953">V329</f>
        <v>0</v>
      </c>
      <c r="X329" s="489">
        <f t="shared" ref="X329" si="954">W329</f>
        <v>0</v>
      </c>
      <c r="Y329" s="8"/>
      <c r="Z329" s="489">
        <f>X329</f>
        <v>0</v>
      </c>
      <c r="AA329" s="489">
        <f t="shared" ref="AA329:AC329" si="955">Z329</f>
        <v>0</v>
      </c>
      <c r="AB329" s="489">
        <f t="shared" si="955"/>
        <v>0</v>
      </c>
      <c r="AC329" s="489">
        <f t="shared" si="955"/>
        <v>0</v>
      </c>
      <c r="AD329" s="8"/>
      <c r="AE329" s="490">
        <f>AC329</f>
        <v>0</v>
      </c>
      <c r="AF329" s="490">
        <f t="shared" ref="AF329:AG329" si="956">AE329</f>
        <v>0</v>
      </c>
      <c r="AG329" s="490">
        <f t="shared" si="95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7">U328*U329</f>
        <v>0</v>
      </c>
      <c r="V330" s="278">
        <f t="shared" si="957"/>
        <v>0</v>
      </c>
      <c r="W330" s="278">
        <f t="shared" si="957"/>
        <v>0</v>
      </c>
      <c r="X330" s="278">
        <f t="shared" si="957"/>
        <v>0</v>
      </c>
      <c r="Y330" s="8"/>
      <c r="Z330" s="278">
        <f t="shared" ref="Z330:AC330" si="958">Z328*Z329</f>
        <v>0</v>
      </c>
      <c r="AA330" s="278">
        <f t="shared" si="958"/>
        <v>0</v>
      </c>
      <c r="AB330" s="278">
        <f t="shared" si="958"/>
        <v>0</v>
      </c>
      <c r="AC330" s="278">
        <f t="shared" si="958"/>
        <v>0</v>
      </c>
      <c r="AD330" s="8"/>
      <c r="AE330" s="279">
        <f t="shared" ref="AE330:AG330" si="959">AE328*AE329</f>
        <v>0</v>
      </c>
      <c r="AF330" s="279">
        <f t="shared" si="959"/>
        <v>0</v>
      </c>
      <c r="AG330" s="279">
        <f t="shared" si="95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1"/>
      <c r="G332" s="491"/>
      <c r="H332" s="491"/>
      <c r="I332" s="491"/>
      <c r="J332" s="91"/>
      <c r="K332" s="491"/>
      <c r="L332" s="491"/>
      <c r="M332" s="491"/>
      <c r="N332" s="491"/>
      <c r="O332" s="91"/>
      <c r="P332" s="491"/>
      <c r="Q332" s="491"/>
      <c r="R332" s="491"/>
      <c r="S332" s="491"/>
      <c r="T332" s="91"/>
      <c r="U332" s="396">
        <f t="shared" ref="U332:X332" si="960">U330</f>
        <v>0</v>
      </c>
      <c r="V332" s="396">
        <f t="shared" si="960"/>
        <v>0</v>
      </c>
      <c r="W332" s="396">
        <f t="shared" si="960"/>
        <v>0</v>
      </c>
      <c r="X332" s="396">
        <f t="shared" si="960"/>
        <v>0</v>
      </c>
      <c r="Y332" s="91"/>
      <c r="Z332" s="396">
        <f t="shared" ref="Z332:AC332" si="961">Z330</f>
        <v>0</v>
      </c>
      <c r="AA332" s="396">
        <f t="shared" si="961"/>
        <v>0</v>
      </c>
      <c r="AB332" s="396">
        <f t="shared" si="961"/>
        <v>0</v>
      </c>
      <c r="AC332" s="396">
        <f t="shared" si="961"/>
        <v>0</v>
      </c>
      <c r="AD332" s="91"/>
      <c r="AE332" s="395">
        <f t="shared" ref="AE332:AG332" si="962">AE330</f>
        <v>0</v>
      </c>
      <c r="AF332" s="395">
        <f t="shared" si="962"/>
        <v>0</v>
      </c>
      <c r="AG332" s="417">
        <f t="shared" si="96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S45" sqref="S45"/>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outlineLevel="1" collapsed="1" customWidth="1"/>
    <col min="20" max="20" width="14.33203125" customWidth="1"/>
    <col min="21" max="24" width="13.1640625"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f>Model!F63</f>
        <v>0</v>
      </c>
      <c r="G5" s="347">
        <f>Model!G63</f>
        <v>0</v>
      </c>
      <c r="H5" s="347">
        <f>Model!H63</f>
        <v>0</v>
      </c>
      <c r="I5" s="347">
        <f>Model!I63</f>
        <v>0</v>
      </c>
      <c r="J5" s="347">
        <f>Model!J63</f>
        <v>2023</v>
      </c>
      <c r="K5" s="347">
        <f>Model!K63</f>
        <v>0</v>
      </c>
      <c r="L5" s="347">
        <f>Model!L63</f>
        <v>0</v>
      </c>
      <c r="M5" s="347">
        <f>Model!M63</f>
        <v>0</v>
      </c>
      <c r="N5" s="347">
        <f>Model!N63</f>
        <v>0</v>
      </c>
      <c r="O5" s="347">
        <f>Model!O63</f>
        <v>2024</v>
      </c>
      <c r="P5" s="347">
        <f>Model!P63</f>
        <v>0</v>
      </c>
      <c r="Q5" s="347">
        <f>Model!Q63</f>
        <v>0</v>
      </c>
      <c r="R5" s="347">
        <f>Model!R63</f>
        <v>0</v>
      </c>
      <c r="S5" s="347">
        <f>Model!S63</f>
        <v>0</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1780.864</v>
      </c>
      <c r="G7" s="311">
        <f t="shared" si="0"/>
        <v>1650.582</v>
      </c>
      <c r="H7" s="311">
        <f t="shared" si="0"/>
        <v>2041.6149999999998</v>
      </c>
      <c r="I7" s="311">
        <f t="shared" si="0"/>
        <v>1968.238</v>
      </c>
      <c r="J7" s="284">
        <f t="shared" ref="J7:J13" si="1">SUM(F7:I7)</f>
        <v>0</v>
      </c>
      <c r="K7" s="311">
        <f t="shared" ref="K7:N7" si="2">SUM(K8:K13)</f>
        <v>2551.942</v>
      </c>
      <c r="L7" s="311">
        <f t="shared" si="2"/>
        <v>2516.296</v>
      </c>
      <c r="M7" s="311">
        <f t="shared" si="2"/>
        <v>2595.589</v>
      </c>
      <c r="N7" s="311">
        <f t="shared" si="2"/>
        <v>2851.242</v>
      </c>
      <c r="O7" s="284">
        <f t="shared" ref="O7:O13" si="3">SUM(K7:N7)</f>
        <v>0</v>
      </c>
      <c r="P7" s="311">
        <f t="shared" ref="P7:S7" si="4">SUM(P8:P13)</f>
        <v>2472.8639999999996</v>
      </c>
      <c r="Q7" s="311">
        <f t="shared" si="4"/>
        <v>2494.315</v>
      </c>
      <c r="R7" s="311">
        <f t="shared" si="4"/>
        <v>2907.674</v>
      </c>
      <c r="S7" s="311">
        <f t="shared" si="4"/>
        <v>2948.824</v>
      </c>
      <c r="T7" s="284">
        <f t="shared" ref="T7:T13" si="5">SUM(P7:S7)</f>
        <v>0</v>
      </c>
      <c r="U7" s="283">
        <f t="shared" ref="U7:X7" si="6">SUM(U8:U13)</f>
        <v>0</v>
      </c>
      <c r="V7" s="283">
        <f t="shared" si="6"/>
        <v>0</v>
      </c>
      <c r="W7" s="283">
        <f t="shared" si="6"/>
        <v>0</v>
      </c>
      <c r="X7" s="283">
        <f t="shared" si="6"/>
        <v>0</v>
      </c>
      <c r="Y7" s="284">
        <f t="shared" ref="Y7:Y13" si="7">SUM(U7:X7)</f>
        <v>0</v>
      </c>
      <c r="Z7" s="283">
        <f t="shared" ref="Z7:AC7" si="8">SUM(Z8:Z13)</f>
        <v>0</v>
      </c>
      <c r="AA7" s="283">
        <f t="shared" si="8"/>
        <v>0</v>
      </c>
      <c r="AB7" s="283">
        <f t="shared" si="8"/>
        <v>0</v>
      </c>
      <c r="AC7" s="283">
        <f t="shared" si="8"/>
        <v>0</v>
      </c>
      <c r="AD7" s="284">
        <f t="shared" ref="AD7:AD13" si="9">SUM(Z7:AC7)</f>
        <v>0</v>
      </c>
      <c r="AE7" s="284">
        <f t="shared" ref="AE7:AG7" si="10">SUM(AE8:AE13)</f>
        <v>0</v>
      </c>
      <c r="AF7" s="284">
        <f t="shared" si="10"/>
        <v>0</v>
      </c>
      <c r="AG7" s="284">
        <f t="shared" si="10"/>
        <v>0</v>
      </c>
    </row>
    <row r="8" spans="1:33" x14ac:dyDescent="0.25">
      <c r="C8" s="131" t="str">
        <f t="shared" ref="C8:C13" si="11">C16&amp;" Revenue"</f>
        <v>Investment Banking &amp; Capital Markets Revenue</v>
      </c>
      <c r="D8" s="8"/>
      <c r="E8" s="8"/>
      <c r="F8" s="355">
        <v>1744.999</v>
      </c>
      <c r="G8" s="355">
        <v>1680.825</v>
      </c>
      <c r="H8" s="355">
        <v>2076.015</v>
      </c>
      <c r="I8" s="355">
        <v>1855.049</v>
      </c>
      <c r="J8" s="492">
        <f t="shared" si="1"/>
        <v>0</v>
      </c>
      <c r="K8" s="355">
        <v>2384.833</v>
      </c>
      <c r="L8" s="355">
        <v>2306.288</v>
      </c>
      <c r="M8" s="355">
        <v>1195.818</v>
      </c>
      <c r="N8" s="355">
        <v>3867.93</v>
      </c>
      <c r="O8" s="492">
        <f t="shared" si="3"/>
        <v>0</v>
      </c>
      <c r="P8" s="355">
        <v>2270.211</v>
      </c>
      <c r="Q8" s="355">
        <v>2359.034</v>
      </c>
      <c r="R8" s="355">
        <v>2747.162</v>
      </c>
      <c r="S8" s="355">
        <v>2758.913</v>
      </c>
      <c r="T8" s="492">
        <f t="shared" si="5"/>
        <v>0</v>
      </c>
      <c r="U8" s="493">
        <f>'Revenue Build'!U32</f>
        <v>0</v>
      </c>
      <c r="V8" s="493">
        <f>'Revenue Build'!V32</f>
        <v>0</v>
      </c>
      <c r="W8" s="493">
        <f>'Revenue Build'!W32</f>
        <v>0</v>
      </c>
      <c r="X8" s="493">
        <f>'Revenue Build'!X32</f>
        <v>0</v>
      </c>
      <c r="Y8" s="492">
        <f t="shared" si="7"/>
        <v>0</v>
      </c>
      <c r="Z8" s="493">
        <f>'Revenue Build'!Z32</f>
        <v>0</v>
      </c>
      <c r="AA8" s="493">
        <f>'Revenue Build'!AA32</f>
        <v>0</v>
      </c>
      <c r="AB8" s="493">
        <f>'Revenue Build'!AB32</f>
        <v>0</v>
      </c>
      <c r="AC8" s="493">
        <f>'Revenue Build'!AC32</f>
        <v>0</v>
      </c>
      <c r="AD8" s="492">
        <f t="shared" si="9"/>
        <v>0</v>
      </c>
      <c r="AE8" s="494">
        <f>'Revenue Build'!AE32</f>
        <v>0</v>
      </c>
      <c r="AF8" s="494">
        <f>'Revenue Build'!AF32</f>
        <v>0</v>
      </c>
      <c r="AG8" s="494">
        <f>'Revenue Build'!AG32</f>
        <v>0</v>
      </c>
    </row>
    <row r="9" spans="1:33" x14ac:dyDescent="0.25">
      <c r="C9" s="131" t="str">
        <f>C17</f>
        <v>Asset Management and Other</v>
      </c>
      <c r="D9" s="8"/>
      <c r="E9" s="8"/>
      <c r="F9" s="355">
        <v>35.865</v>
      </c>
      <c r="G9" s="355">
        <v>-30.243</v>
      </c>
      <c r="H9" s="355">
        <v>-34.4</v>
      </c>
      <c r="I9" s="355">
        <v>113.189</v>
      </c>
      <c r="J9" s="492">
        <f t="shared" si="1"/>
        <v>0</v>
      </c>
      <c r="K9" s="355">
        <v>167.109</v>
      </c>
      <c r="L9" s="355">
        <v>210.008</v>
      </c>
      <c r="M9" s="355">
        <v>1399.7710000000002</v>
      </c>
      <c r="N9" s="355">
        <v>-1016.6879999999996</v>
      </c>
      <c r="O9" s="492">
        <f t="shared" si="3"/>
        <v>0</v>
      </c>
      <c r="P9" s="355">
        <v>202.653</v>
      </c>
      <c r="Q9" s="355">
        <v>135.281</v>
      </c>
      <c r="R9" s="355">
        <v>160.512</v>
      </c>
      <c r="S9" s="355">
        <v>189.911</v>
      </c>
      <c r="T9" s="492">
        <f t="shared" si="5"/>
        <v>0</v>
      </c>
      <c r="U9" s="493">
        <f>'Revenue Build'!U35</f>
        <v>0</v>
      </c>
      <c r="V9" s="493">
        <f>'Revenue Build'!V35</f>
        <v>0</v>
      </c>
      <c r="W9" s="493">
        <f>'Revenue Build'!W35</f>
        <v>0</v>
      </c>
      <c r="X9" s="493">
        <f>'Revenue Build'!X35</f>
        <v>0</v>
      </c>
      <c r="Y9" s="492">
        <f t="shared" si="7"/>
        <v>0</v>
      </c>
      <c r="Z9" s="493">
        <f>'Revenue Build'!Z35</f>
        <v>0</v>
      </c>
      <c r="AA9" s="493">
        <f>'Revenue Build'!AA35</f>
        <v>0</v>
      </c>
      <c r="AB9" s="493">
        <f>'Revenue Build'!AB35</f>
        <v>0</v>
      </c>
      <c r="AC9" s="493">
        <f>'Revenue Build'!AC35</f>
        <v>0</v>
      </c>
      <c r="AD9" s="492">
        <f t="shared" si="9"/>
        <v>0</v>
      </c>
      <c r="AE9" s="494">
        <f>'Revenue Build'!AE35</f>
        <v>0</v>
      </c>
      <c r="AF9" s="494">
        <f>'Revenue Build'!AF35</f>
        <v>0</v>
      </c>
      <c r="AG9" s="494">
        <f>'Revenue Build'!AG35</f>
        <v>0</v>
      </c>
    </row>
    <row r="10" hidden="1" spans="1:33" x14ac:dyDescent="0.25" outlineLevel="1">
      <c r="C10" s="131" t="str">
        <f>C18&amp;" Revenue"</f>
        <v> Revenue</v>
      </c>
      <c r="D10" s="8"/>
      <c r="E10" s="8"/>
      <c r="F10" s="355">
        <v>0</v>
      </c>
      <c r="G10" s="355">
        <v>0</v>
      </c>
      <c r="H10" s="355">
        <v>0</v>
      </c>
      <c r="I10" s="355">
        <v>0</v>
      </c>
      <c r="J10" s="492">
        <f t="shared" si="1"/>
        <v>0</v>
      </c>
      <c r="K10" s="355">
        <v>0</v>
      </c>
      <c r="L10" s="355">
        <v>0</v>
      </c>
      <c r="M10" s="355">
        <v>0</v>
      </c>
      <c r="N10" s="355">
        <v>0</v>
      </c>
      <c r="O10" s="492">
        <f t="shared" si="3"/>
        <v>0</v>
      </c>
      <c r="P10" s="355">
        <v>0</v>
      </c>
      <c r="Q10" s="355">
        <v>0</v>
      </c>
      <c r="R10" s="355">
        <v>0</v>
      </c>
      <c r="S10" s="355">
        <v>0</v>
      </c>
      <c r="T10" s="492">
        <f t="shared" si="5"/>
        <v>0</v>
      </c>
      <c r="U10" s="493">
        <f>'Revenue Build'!U38</f>
        <v>0</v>
      </c>
      <c r="V10" s="493">
        <f>'Revenue Build'!V38</f>
        <v>0</v>
      </c>
      <c r="W10" s="493">
        <f>'Revenue Build'!W38</f>
        <v>0</v>
      </c>
      <c r="X10" s="493">
        <f>'Revenue Build'!X38</f>
        <v>0</v>
      </c>
      <c r="Y10" s="492">
        <f t="shared" si="7"/>
        <v>0</v>
      </c>
      <c r="Z10" s="493">
        <f>'Revenue Build'!Z38</f>
        <v>0</v>
      </c>
      <c r="AA10" s="493">
        <f>'Revenue Build'!AA38</f>
        <v>0</v>
      </c>
      <c r="AB10" s="493">
        <f>'Revenue Build'!AB38</f>
        <v>0</v>
      </c>
      <c r="AC10" s="493">
        <f>'Revenue Build'!AC38</f>
        <v>0</v>
      </c>
      <c r="AD10" s="492">
        <f t="shared" si="9"/>
        <v>0</v>
      </c>
      <c r="AE10" s="494">
        <f>'Revenue Build'!AE38</f>
        <v>0</v>
      </c>
      <c r="AF10" s="494">
        <f>'Revenue Build'!AF38</f>
        <v>0</v>
      </c>
      <c r="AG10" s="494">
        <f>'Revenue Build'!AG38</f>
        <v>0</v>
      </c>
    </row>
    <row r="11" hidden="1" spans="1:33" x14ac:dyDescent="0.25" outlineLevel="1">
      <c r="C11" s="131" t="str">
        <f t="shared" si="11"/>
        <v> Revenue</v>
      </c>
      <c r="D11" s="8"/>
      <c r="E11" s="8"/>
      <c r="F11" s="355">
        <v>0</v>
      </c>
      <c r="G11" s="355">
        <v>0</v>
      </c>
      <c r="H11" s="355">
        <v>0</v>
      </c>
      <c r="I11" s="355">
        <v>0</v>
      </c>
      <c r="J11" s="492">
        <f t="shared" si="1"/>
        <v>0</v>
      </c>
      <c r="K11" s="355">
        <v>0</v>
      </c>
      <c r="L11" s="355">
        <v>0</v>
      </c>
      <c r="M11" s="355">
        <v>0</v>
      </c>
      <c r="N11" s="355">
        <v>0</v>
      </c>
      <c r="O11" s="492">
        <f t="shared" si="3"/>
        <v>0</v>
      </c>
      <c r="P11" s="355">
        <v>0</v>
      </c>
      <c r="Q11" s="355">
        <v>0</v>
      </c>
      <c r="R11" s="355">
        <v>0</v>
      </c>
      <c r="S11" s="355">
        <v>0</v>
      </c>
      <c r="T11" s="492">
        <f t="shared" si="5"/>
        <v>0</v>
      </c>
      <c r="U11" s="493">
        <f>'Revenue Build'!U41</f>
        <v>0</v>
      </c>
      <c r="V11" s="493">
        <f>'Revenue Build'!V41</f>
        <v>0</v>
      </c>
      <c r="W11" s="493">
        <f>'Revenue Build'!W41</f>
        <v>0</v>
      </c>
      <c r="X11" s="493">
        <f>'Revenue Build'!X41</f>
        <v>0</v>
      </c>
      <c r="Y11" s="492">
        <f t="shared" si="7"/>
        <v>0</v>
      </c>
      <c r="Z11" s="493">
        <f>'Revenue Build'!Z41</f>
        <v>0</v>
      </c>
      <c r="AA11" s="493">
        <f>'Revenue Build'!AA41</f>
        <v>0</v>
      </c>
      <c r="AB11" s="493">
        <f>'Revenue Build'!AB41</f>
        <v>0</v>
      </c>
      <c r="AC11" s="493">
        <f>'Revenue Build'!AC41</f>
        <v>0</v>
      </c>
      <c r="AD11" s="492">
        <f t="shared" si="9"/>
        <v>0</v>
      </c>
      <c r="AE11" s="494">
        <f>'Revenue Build'!AE41</f>
        <v>0</v>
      </c>
      <c r="AF11" s="494">
        <f>'Revenue Build'!AF41</f>
        <v>0</v>
      </c>
      <c r="AG11" s="494">
        <f>'Revenue Build'!AG41</f>
        <v>0</v>
      </c>
    </row>
    <row r="12" hidden="1" spans="1:33" x14ac:dyDescent="0.25" outlineLevel="1">
      <c r="C12" s="131" t="str">
        <f t="shared" si="11"/>
        <v> Revenue</v>
      </c>
      <c r="D12" s="8"/>
      <c r="E12" s="8"/>
      <c r="F12" s="355">
        <v>0</v>
      </c>
      <c r="G12" s="355">
        <v>0</v>
      </c>
      <c r="H12" s="355">
        <v>0</v>
      </c>
      <c r="I12" s="355">
        <v>0</v>
      </c>
      <c r="J12" s="492">
        <f t="shared" si="1"/>
        <v>0</v>
      </c>
      <c r="K12" s="355">
        <v>0</v>
      </c>
      <c r="L12" s="355">
        <v>0</v>
      </c>
      <c r="M12" s="355">
        <v>0</v>
      </c>
      <c r="N12" s="355">
        <v>0</v>
      </c>
      <c r="O12" s="492">
        <f t="shared" si="3"/>
        <v>0</v>
      </c>
      <c r="P12" s="355">
        <v>0</v>
      </c>
      <c r="Q12" s="355">
        <v>0</v>
      </c>
      <c r="R12" s="355">
        <v>0</v>
      </c>
      <c r="S12" s="355">
        <v>0</v>
      </c>
      <c r="T12" s="492">
        <f t="shared" si="5"/>
        <v>0</v>
      </c>
      <c r="U12" s="493">
        <f>'Revenue Build'!U44</f>
        <v>0</v>
      </c>
      <c r="V12" s="493">
        <f>'Revenue Build'!V44</f>
        <v>0</v>
      </c>
      <c r="W12" s="493">
        <f>'Revenue Build'!W44</f>
        <v>0</v>
      </c>
      <c r="X12" s="493">
        <f>'Revenue Build'!X44</f>
        <v>0</v>
      </c>
      <c r="Y12" s="492">
        <f t="shared" si="7"/>
        <v>0</v>
      </c>
      <c r="Z12" s="493">
        <f>'Revenue Build'!Z44</f>
        <v>0</v>
      </c>
      <c r="AA12" s="493">
        <f>'Revenue Build'!AA44</f>
        <v>0</v>
      </c>
      <c r="AB12" s="493">
        <f>'Revenue Build'!AB44</f>
        <v>0</v>
      </c>
      <c r="AC12" s="493">
        <f>'Revenue Build'!AC44</f>
        <v>0</v>
      </c>
      <c r="AD12" s="492">
        <f t="shared" si="9"/>
        <v>0</v>
      </c>
      <c r="AE12" s="494">
        <f>'Revenue Build'!AE44</f>
        <v>0</v>
      </c>
      <c r="AF12" s="494">
        <f>'Revenue Build'!AF44</f>
        <v>0</v>
      </c>
      <c r="AG12" s="494">
        <f>'Revenue Build'!AG44</f>
        <v>0</v>
      </c>
    </row>
    <row r="13" hidden="1" spans="1:33" x14ac:dyDescent="0.25" outlineLevel="2" collapsed="1">
      <c r="C13" s="131" t="str">
        <f t="shared" si="11"/>
        <v> Revenue</v>
      </c>
      <c r="D13" s="8"/>
      <c r="E13" s="8"/>
      <c r="F13" s="355">
        <v>0</v>
      </c>
      <c r="G13" s="355">
        <v>0</v>
      </c>
      <c r="H13" s="355">
        <v>0</v>
      </c>
      <c r="I13" s="355">
        <v>0</v>
      </c>
      <c r="J13" s="492">
        <f t="shared" si="1"/>
        <v>0</v>
      </c>
      <c r="K13" s="355">
        <v>0</v>
      </c>
      <c r="L13" s="355">
        <v>0</v>
      </c>
      <c r="M13" s="355">
        <v>0</v>
      </c>
      <c r="N13" s="355">
        <v>0</v>
      </c>
      <c r="O13" s="492">
        <f t="shared" si="3"/>
        <v>0</v>
      </c>
      <c r="P13" s="355">
        <v>0</v>
      </c>
      <c r="Q13" s="355">
        <v>0</v>
      </c>
      <c r="R13" s="355">
        <v>0</v>
      </c>
      <c r="S13" s="355">
        <v>0</v>
      </c>
      <c r="T13" s="492">
        <f t="shared" si="5"/>
        <v>0</v>
      </c>
      <c r="U13" s="493">
        <f>'Revenue Build'!U47</f>
        <v>0</v>
      </c>
      <c r="V13" s="493">
        <f>'Revenue Build'!V47</f>
        <v>0</v>
      </c>
      <c r="W13" s="493">
        <f>'Revenue Build'!W47</f>
        <v>0</v>
      </c>
      <c r="X13" s="493">
        <f>'Revenue Build'!X47</f>
        <v>0</v>
      </c>
      <c r="Y13" s="492">
        <f t="shared" si="7"/>
        <v>0</v>
      </c>
      <c r="Z13" s="493">
        <f>'Revenue Build'!Z47</f>
        <v>0</v>
      </c>
      <c r="AA13" s="493">
        <f>'Revenue Build'!AA47</f>
        <v>0</v>
      </c>
      <c r="AB13" s="493">
        <f>'Revenue Build'!AB47</f>
        <v>0</v>
      </c>
      <c r="AC13" s="493">
        <f>'Revenue Build'!AC47</f>
        <v>0</v>
      </c>
      <c r="AD13" s="492">
        <f t="shared" si="9"/>
        <v>0</v>
      </c>
      <c r="AE13" s="494">
        <f>'Revenue Build'!AE47</f>
        <v>0</v>
      </c>
      <c r="AF13" s="494">
        <f>'Revenue Build'!AF47</f>
        <v>0</v>
      </c>
      <c r="AG13" s="494">
        <f>'Revenue Build'!AG47</f>
        <v>0</v>
      </c>
    </row>
    <row r="14" spans="1:33" x14ac:dyDescent="0.25">
      <c r="C14" s="8"/>
      <c r="D14" s="8"/>
      <c r="E14" s="8"/>
      <c r="F14" s="315"/>
      <c r="G14" s="315"/>
      <c r="H14" s="315"/>
      <c r="I14" s="315"/>
      <c r="J14" s="166"/>
      <c r="K14" s="315"/>
      <c r="L14" s="315"/>
      <c r="M14" s="495"/>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6"/>
      <c r="G15" s="496"/>
      <c r="H15" s="496"/>
      <c r="I15" s="496"/>
      <c r="J15" s="166"/>
      <c r="K15" s="496"/>
      <c r="L15" s="496"/>
      <c r="M15" s="495"/>
      <c r="N15" s="496"/>
      <c r="O15" s="166"/>
      <c r="P15" s="496"/>
      <c r="Q15" s="496"/>
      <c r="R15" s="496"/>
      <c r="S15" s="496"/>
      <c r="T15" s="166"/>
      <c r="U15" s="497"/>
      <c r="V15" s="497"/>
      <c r="W15" s="497"/>
      <c r="X15" s="497"/>
      <c r="Y15" s="166"/>
      <c r="Z15" s="497"/>
      <c r="AA15" s="497"/>
      <c r="AB15" s="497"/>
      <c r="AC15" s="497"/>
      <c r="AD15" s="166"/>
      <c r="AE15" s="166"/>
      <c r="AF15" s="166"/>
      <c r="AG15" s="166"/>
    </row>
    <row r="16" spans="1:33" x14ac:dyDescent="0.25">
      <c r="C16" s="498" t="s">
        <v>437</v>
      </c>
      <c r="D16" s="8"/>
      <c r="E16" s="8"/>
      <c r="F16" s="384" t="str">
        <f t="shared" ref="F16:AG16" si="12">IFERROR(F8/F$7,"N/A")</f>
        <v>N/A</v>
      </c>
      <c r="G16" s="384" t="str">
        <f t="shared" si="12"/>
        <v>N/A</v>
      </c>
      <c r="H16" s="384" t="str">
        <f t="shared" si="12"/>
        <v>N/A</v>
      </c>
      <c r="I16" s="384" t="str">
        <f t="shared" si="12"/>
        <v>N/A</v>
      </c>
      <c r="J16" s="385" t="str">
        <f t="shared" si="12"/>
        <v>N/A</v>
      </c>
      <c r="K16" s="384" t="str">
        <f t="shared" si="12"/>
        <v>N/A</v>
      </c>
      <c r="L16" s="384" t="str">
        <f t="shared" si="12"/>
        <v>N/A</v>
      </c>
      <c r="M16" s="384" t="str">
        <f t="shared" si="12"/>
        <v>N/A</v>
      </c>
      <c r="N16" s="384" t="str">
        <f t="shared" si="12"/>
        <v>N/A</v>
      </c>
      <c r="O16" s="385" t="str">
        <f t="shared" si="12"/>
        <v>N/A</v>
      </c>
      <c r="P16" s="384" t="str">
        <f t="shared" si="12"/>
        <v>N/A</v>
      </c>
      <c r="Q16" s="384" t="str">
        <f t="shared" si="12"/>
        <v>N/A</v>
      </c>
      <c r="R16" s="384" t="str">
        <f t="shared" si="12"/>
        <v>N/A</v>
      </c>
      <c r="S16" s="384" t="str">
        <f t="shared" si="12"/>
        <v>N/A</v>
      </c>
      <c r="T16" s="385" t="str">
        <f t="shared" si="12"/>
        <v>N/A</v>
      </c>
      <c r="U16" s="386" t="str">
        <f t="shared" ref="U16:X16" si="13">IFERROR(U8/U$7,"N/A")</f>
        <v>N/A</v>
      </c>
      <c r="V16" s="386" t="str">
        <f t="shared" si="13"/>
        <v>N/A</v>
      </c>
      <c r="W16" s="386" t="str">
        <f t="shared" si="13"/>
        <v>N/A</v>
      </c>
      <c r="X16" s="386" t="str">
        <f t="shared" si="13"/>
        <v>N/A</v>
      </c>
      <c r="Y16" s="385" t="str">
        <f t="shared" si="12"/>
        <v>N/A</v>
      </c>
      <c r="Z16" s="386" t="str">
        <f t="shared" si="12"/>
        <v>N/A</v>
      </c>
      <c r="AA16" s="386" t="str">
        <f t="shared" si="12"/>
        <v>N/A</v>
      </c>
      <c r="AB16" s="386" t="str">
        <f t="shared" si="12"/>
        <v>N/A</v>
      </c>
      <c r="AC16" s="386" t="str">
        <f t="shared" si="12"/>
        <v>N/A</v>
      </c>
      <c r="AD16" s="385" t="str">
        <f t="shared" si="12"/>
        <v>N/A</v>
      </c>
      <c r="AE16" s="385" t="str">
        <f t="shared" si="12"/>
        <v>N/A</v>
      </c>
      <c r="AF16" s="385" t="str">
        <f t="shared" si="12"/>
        <v>N/A</v>
      </c>
      <c r="AG16" s="385" t="str">
        <f t="shared" si="12"/>
        <v>N/A</v>
      </c>
    </row>
    <row r="17" spans="1:33" x14ac:dyDescent="0.25">
      <c r="C17" s="498" t="s">
        <v>438</v>
      </c>
      <c r="D17" s="8"/>
      <c r="E17" s="8"/>
      <c r="F17" s="384" t="str">
        <f t="shared" ref="F17:AG17" si="14">IFERROR(F9/F$7,"N/A")</f>
        <v>N/A</v>
      </c>
      <c r="G17" s="384" t="str">
        <f t="shared" si="14"/>
        <v>N/A</v>
      </c>
      <c r="H17" s="384" t="str">
        <f t="shared" si="14"/>
        <v>N/A</v>
      </c>
      <c r="I17" s="384" t="str">
        <f t="shared" si="14"/>
        <v>N/A</v>
      </c>
      <c r="J17" s="385" t="str">
        <f t="shared" si="14"/>
        <v>N/A</v>
      </c>
      <c r="K17" s="384" t="str">
        <f t="shared" si="14"/>
        <v>N/A</v>
      </c>
      <c r="L17" s="384" t="str">
        <f t="shared" si="14"/>
        <v>N/A</v>
      </c>
      <c r="M17" s="384" t="str">
        <f t="shared" si="14"/>
        <v>N/A</v>
      </c>
      <c r="N17" s="384" t="str">
        <f t="shared" si="14"/>
        <v>N/A</v>
      </c>
      <c r="O17" s="385" t="str">
        <f t="shared" si="14"/>
        <v>N/A</v>
      </c>
      <c r="P17" s="384" t="str">
        <f t="shared" si="14"/>
        <v>N/A</v>
      </c>
      <c r="Q17" s="384" t="str">
        <f t="shared" si="14"/>
        <v>N/A</v>
      </c>
      <c r="R17" s="384" t="str">
        <f t="shared" si="14"/>
        <v>N/A</v>
      </c>
      <c r="S17" s="384" t="str">
        <f t="shared" si="14"/>
        <v>N/A</v>
      </c>
      <c r="T17" s="385" t="str">
        <f t="shared" si="14"/>
        <v>N/A</v>
      </c>
      <c r="U17" s="386" t="str">
        <f t="shared" ref="U17:X17" si="15">IFERROR(U9/U$7,"N/A")</f>
        <v>N/A</v>
      </c>
      <c r="V17" s="386" t="str">
        <f t="shared" si="15"/>
        <v>N/A</v>
      </c>
      <c r="W17" s="386" t="str">
        <f t="shared" si="15"/>
        <v>N/A</v>
      </c>
      <c r="X17" s="386" t="str">
        <f t="shared" si="15"/>
        <v>N/A</v>
      </c>
      <c r="Y17" s="385" t="str">
        <f t="shared" si="14"/>
        <v>N/A</v>
      </c>
      <c r="Z17" s="386" t="str">
        <f t="shared" si="14"/>
        <v>N/A</v>
      </c>
      <c r="AA17" s="386" t="str">
        <f t="shared" si="14"/>
        <v>N/A</v>
      </c>
      <c r="AB17" s="386" t="str">
        <f t="shared" si="14"/>
        <v>N/A</v>
      </c>
      <c r="AC17" s="386" t="str">
        <f t="shared" si="14"/>
        <v>N/A</v>
      </c>
      <c r="AD17" s="385" t="str">
        <f t="shared" si="14"/>
        <v>N/A</v>
      </c>
      <c r="AE17" s="385" t="str">
        <f t="shared" si="14"/>
        <v>N/A</v>
      </c>
      <c r="AF17" s="385" t="str">
        <f t="shared" si="14"/>
        <v>N/A</v>
      </c>
      <c r="AG17" s="385" t="str">
        <f t="shared" si="14"/>
        <v>N/A</v>
      </c>
    </row>
    <row r="18" hidden="1" spans="1:33" x14ac:dyDescent="0.25" outlineLevel="1">
      <c r="C18" s="498"/>
      <c r="D18" s="8"/>
      <c r="E18" s="8"/>
      <c r="F18" s="384" t="str">
        <f t="shared" ref="F18:AG18" si="16">IFERROR(F10/F$7,"N/A")</f>
        <v>N/A</v>
      </c>
      <c r="G18" s="384" t="str">
        <f t="shared" si="16"/>
        <v>N/A</v>
      </c>
      <c r="H18" s="384" t="str">
        <f t="shared" si="16"/>
        <v>N/A</v>
      </c>
      <c r="I18" s="384" t="str">
        <f t="shared" si="16"/>
        <v>N/A</v>
      </c>
      <c r="J18" s="385" t="str">
        <f t="shared" si="16"/>
        <v>N/A</v>
      </c>
      <c r="K18" s="384" t="str">
        <f t="shared" si="16"/>
        <v>N/A</v>
      </c>
      <c r="L18" s="384" t="str">
        <f t="shared" si="16"/>
        <v>N/A</v>
      </c>
      <c r="M18" s="384" t="str">
        <f t="shared" si="16"/>
        <v>N/A</v>
      </c>
      <c r="N18" s="384" t="str">
        <f t="shared" si="16"/>
        <v>N/A</v>
      </c>
      <c r="O18" s="385" t="str">
        <f t="shared" si="16"/>
        <v>N/A</v>
      </c>
      <c r="P18" s="384" t="str">
        <f t="shared" si="16"/>
        <v>N/A</v>
      </c>
      <c r="Q18" s="384" t="str">
        <f t="shared" si="16"/>
        <v>N/A</v>
      </c>
      <c r="R18" s="384" t="str">
        <f t="shared" si="16"/>
        <v>N/A</v>
      </c>
      <c r="S18" s="384" t="str">
        <f t="shared" si="16"/>
        <v>N/A</v>
      </c>
      <c r="T18" s="385" t="str">
        <f t="shared" si="16"/>
        <v>N/A</v>
      </c>
      <c r="U18" s="386" t="str">
        <f t="shared" ref="U18:X18" si="17">IFERROR(U10/U$7,"N/A")</f>
        <v>N/A</v>
      </c>
      <c r="V18" s="386" t="str">
        <f t="shared" si="17"/>
        <v>N/A</v>
      </c>
      <c r="W18" s="386" t="str">
        <f t="shared" si="17"/>
        <v>N/A</v>
      </c>
      <c r="X18" s="386" t="str">
        <f t="shared" si="17"/>
        <v>N/A</v>
      </c>
      <c r="Y18" s="385" t="str">
        <f t="shared" si="16"/>
        <v>N/A</v>
      </c>
      <c r="Z18" s="386" t="str">
        <f t="shared" si="16"/>
        <v>N/A</v>
      </c>
      <c r="AA18" s="386" t="str">
        <f t="shared" si="16"/>
        <v>N/A</v>
      </c>
      <c r="AB18" s="386" t="str">
        <f t="shared" si="16"/>
        <v>N/A</v>
      </c>
      <c r="AC18" s="386" t="str">
        <f t="shared" si="16"/>
        <v>N/A</v>
      </c>
      <c r="AD18" s="385" t="str">
        <f t="shared" si="16"/>
        <v>N/A</v>
      </c>
      <c r="AE18" s="385" t="str">
        <f t="shared" si="16"/>
        <v>N/A</v>
      </c>
      <c r="AF18" s="385" t="str">
        <f t="shared" si="16"/>
        <v>N/A</v>
      </c>
      <c r="AG18" s="385" t="str">
        <f t="shared" si="16"/>
        <v>N/A</v>
      </c>
    </row>
    <row r="19" hidden="1" spans="1:33" x14ac:dyDescent="0.25" outlineLevel="1">
      <c r="C19" s="498"/>
      <c r="D19" s="8"/>
      <c r="E19" s="8"/>
      <c r="F19" s="384" t="str">
        <f t="shared" ref="F19:AG19" si="18">IFERROR(F11/F$7,"N/A")</f>
        <v>N/A</v>
      </c>
      <c r="G19" s="384" t="str">
        <f t="shared" si="18"/>
        <v>N/A</v>
      </c>
      <c r="H19" s="384" t="str">
        <f t="shared" si="18"/>
        <v>N/A</v>
      </c>
      <c r="I19" s="384" t="str">
        <f t="shared" si="18"/>
        <v>N/A</v>
      </c>
      <c r="J19" s="385" t="str">
        <f t="shared" si="18"/>
        <v>N/A</v>
      </c>
      <c r="K19" s="384" t="str">
        <f t="shared" si="18"/>
        <v>N/A</v>
      </c>
      <c r="L19" s="384" t="str">
        <f t="shared" si="18"/>
        <v>N/A</v>
      </c>
      <c r="M19" s="384" t="str">
        <f t="shared" si="18"/>
        <v>N/A</v>
      </c>
      <c r="N19" s="384" t="str">
        <f t="shared" si="18"/>
        <v>N/A</v>
      </c>
      <c r="O19" s="385" t="str">
        <f t="shared" si="18"/>
        <v>N/A</v>
      </c>
      <c r="P19" s="384" t="str">
        <f t="shared" si="18"/>
        <v>N/A</v>
      </c>
      <c r="Q19" s="384" t="str">
        <f t="shared" si="18"/>
        <v>N/A</v>
      </c>
      <c r="R19" s="384" t="str">
        <f t="shared" si="18"/>
        <v>N/A</v>
      </c>
      <c r="S19" s="384" t="str">
        <f t="shared" si="18"/>
        <v>N/A</v>
      </c>
      <c r="T19" s="385" t="str">
        <f t="shared" si="18"/>
        <v>N/A</v>
      </c>
      <c r="U19" s="386" t="str">
        <f t="shared" ref="U19:X19" si="19">IFERROR(U11/U$7,"N/A")</f>
        <v>N/A</v>
      </c>
      <c r="V19" s="386" t="str">
        <f t="shared" si="19"/>
        <v>N/A</v>
      </c>
      <c r="W19" s="386" t="str">
        <f t="shared" si="19"/>
        <v>N/A</v>
      </c>
      <c r="X19" s="386" t="str">
        <f t="shared" si="19"/>
        <v>N/A</v>
      </c>
      <c r="Y19" s="385" t="str">
        <f t="shared" si="18"/>
        <v>N/A</v>
      </c>
      <c r="Z19" s="386" t="str">
        <f t="shared" si="18"/>
        <v>N/A</v>
      </c>
      <c r="AA19" s="386" t="str">
        <f t="shared" si="18"/>
        <v>N/A</v>
      </c>
      <c r="AB19" s="386" t="str">
        <f t="shared" si="18"/>
        <v>N/A</v>
      </c>
      <c r="AC19" s="386" t="str">
        <f t="shared" si="18"/>
        <v>N/A</v>
      </c>
      <c r="AD19" s="385" t="str">
        <f t="shared" si="18"/>
        <v>N/A</v>
      </c>
      <c r="AE19" s="385" t="str">
        <f t="shared" si="18"/>
        <v>N/A</v>
      </c>
      <c r="AF19" s="385" t="str">
        <f t="shared" si="18"/>
        <v>N/A</v>
      </c>
      <c r="AG19" s="385" t="str">
        <f t="shared" si="18"/>
        <v>N/A</v>
      </c>
    </row>
    <row r="20" hidden="1" spans="1:33" x14ac:dyDescent="0.25" outlineLevel="1">
      <c r="C20" s="498"/>
      <c r="D20" s="8"/>
      <c r="E20" s="8"/>
      <c r="F20" s="384" t="str">
        <f t="shared" ref="F20:AG20" si="20">IFERROR(F12/F$7,"N/A")</f>
        <v>N/A</v>
      </c>
      <c r="G20" s="384" t="str">
        <f t="shared" si="20"/>
        <v>N/A</v>
      </c>
      <c r="H20" s="384" t="str">
        <f t="shared" si="20"/>
        <v>N/A</v>
      </c>
      <c r="I20" s="384" t="str">
        <f t="shared" si="20"/>
        <v>N/A</v>
      </c>
      <c r="J20" s="385" t="str">
        <f t="shared" si="20"/>
        <v>N/A</v>
      </c>
      <c r="K20" s="384" t="str">
        <f t="shared" si="20"/>
        <v>N/A</v>
      </c>
      <c r="L20" s="384" t="str">
        <f t="shared" si="20"/>
        <v>N/A</v>
      </c>
      <c r="M20" s="384" t="str">
        <f t="shared" si="20"/>
        <v>N/A</v>
      </c>
      <c r="N20" s="384" t="str">
        <f t="shared" si="20"/>
        <v>N/A</v>
      </c>
      <c r="O20" s="385" t="str">
        <f t="shared" si="20"/>
        <v>N/A</v>
      </c>
      <c r="P20" s="384" t="str">
        <f t="shared" si="20"/>
        <v>N/A</v>
      </c>
      <c r="Q20" s="384" t="str">
        <f t="shared" si="20"/>
        <v>N/A</v>
      </c>
      <c r="R20" s="384" t="str">
        <f t="shared" si="20"/>
        <v>N/A</v>
      </c>
      <c r="S20" s="384" t="str">
        <f t="shared" si="20"/>
        <v>N/A</v>
      </c>
      <c r="T20" s="385" t="str">
        <f t="shared" si="20"/>
        <v>N/A</v>
      </c>
      <c r="U20" s="386" t="str">
        <f t="shared" ref="U20:X20" si="21">IFERROR(U12/U$7,"N/A")</f>
        <v>N/A</v>
      </c>
      <c r="V20" s="386" t="str">
        <f t="shared" si="21"/>
        <v>N/A</v>
      </c>
      <c r="W20" s="386" t="str">
        <f t="shared" si="21"/>
        <v>N/A</v>
      </c>
      <c r="X20" s="386" t="str">
        <f t="shared" si="21"/>
        <v>N/A</v>
      </c>
      <c r="Y20" s="385" t="str">
        <f t="shared" si="20"/>
        <v>N/A</v>
      </c>
      <c r="Z20" s="386" t="str">
        <f t="shared" si="20"/>
        <v>N/A</v>
      </c>
      <c r="AA20" s="386" t="str">
        <f t="shared" si="20"/>
        <v>N/A</v>
      </c>
      <c r="AB20" s="386" t="str">
        <f t="shared" si="20"/>
        <v>N/A</v>
      </c>
      <c r="AC20" s="386" t="str">
        <f t="shared" si="20"/>
        <v>N/A</v>
      </c>
      <c r="AD20" s="385" t="str">
        <f t="shared" si="20"/>
        <v>N/A</v>
      </c>
      <c r="AE20" s="385" t="str">
        <f t="shared" si="20"/>
        <v>N/A</v>
      </c>
      <c r="AF20" s="385" t="str">
        <f t="shared" si="20"/>
        <v>N/A</v>
      </c>
      <c r="AG20" s="385" t="str">
        <f t="shared" si="20"/>
        <v>N/A</v>
      </c>
    </row>
    <row r="21" ht="15.75" customHeight="1" hidden="1" spans="1:33" x14ac:dyDescent="0.25" outlineLevel="2" collapsed="1">
      <c r="C21" s="498"/>
      <c r="D21" s="8"/>
      <c r="E21" s="8"/>
      <c r="F21" s="384" t="str">
        <f t="shared" ref="F21:AG21" si="22">IFERROR(F13/F$7,"N/A")</f>
        <v>N/A</v>
      </c>
      <c r="G21" s="384" t="str">
        <f t="shared" si="22"/>
        <v>N/A</v>
      </c>
      <c r="H21" s="384" t="str">
        <f t="shared" si="22"/>
        <v>N/A</v>
      </c>
      <c r="I21" s="384" t="str">
        <f t="shared" si="22"/>
        <v>N/A</v>
      </c>
      <c r="J21" s="385" t="str">
        <f t="shared" si="22"/>
        <v>N/A</v>
      </c>
      <c r="K21" s="384" t="str">
        <f t="shared" si="22"/>
        <v>N/A</v>
      </c>
      <c r="L21" s="384" t="str">
        <f t="shared" si="22"/>
        <v>N/A</v>
      </c>
      <c r="M21" s="384" t="str">
        <f t="shared" si="22"/>
        <v>N/A</v>
      </c>
      <c r="N21" s="384" t="str">
        <f t="shared" si="22"/>
        <v>N/A</v>
      </c>
      <c r="O21" s="385" t="str">
        <f t="shared" si="22"/>
        <v>N/A</v>
      </c>
      <c r="P21" s="384" t="str">
        <f t="shared" si="22"/>
        <v>N/A</v>
      </c>
      <c r="Q21" s="384" t="str">
        <f t="shared" si="22"/>
        <v>N/A</v>
      </c>
      <c r="R21" s="384" t="str">
        <f t="shared" si="22"/>
        <v>N/A</v>
      </c>
      <c r="S21" s="384" t="str">
        <f t="shared" si="22"/>
        <v>N/A</v>
      </c>
      <c r="T21" s="385" t="str">
        <f t="shared" si="22"/>
        <v>N/A</v>
      </c>
      <c r="U21" s="386" t="str">
        <f t="shared" ref="U21:X21" si="23">IFERROR(U13/U$7,"N/A")</f>
        <v>N/A</v>
      </c>
      <c r="V21" s="386" t="str">
        <f t="shared" si="23"/>
        <v>N/A</v>
      </c>
      <c r="W21" s="386" t="str">
        <f t="shared" si="23"/>
        <v>N/A</v>
      </c>
      <c r="X21" s="386" t="str">
        <f t="shared" si="23"/>
        <v>N/A</v>
      </c>
      <c r="Y21" s="385" t="str">
        <f t="shared" si="22"/>
        <v>N/A</v>
      </c>
      <c r="Z21" s="386" t="str">
        <f t="shared" si="22"/>
        <v>N/A</v>
      </c>
      <c r="AA21" s="386" t="str">
        <f t="shared" si="22"/>
        <v>N/A</v>
      </c>
      <c r="AB21" s="386" t="str">
        <f t="shared" si="22"/>
        <v>N/A</v>
      </c>
      <c r="AC21" s="386" t="str">
        <f t="shared" si="22"/>
        <v>N/A</v>
      </c>
      <c r="AD21" s="385" t="str">
        <f t="shared" si="22"/>
        <v>N/A</v>
      </c>
      <c r="AE21" s="385" t="str">
        <f t="shared" si="22"/>
        <v>N/A</v>
      </c>
      <c r="AF21" s="385" t="str">
        <f t="shared" si="22"/>
        <v>N/A</v>
      </c>
      <c r="AG21" s="385" t="str">
        <f t="shared" si="22"/>
        <v>N/A</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9">
        <v>0</v>
      </c>
      <c r="G24" s="499">
        <v>0</v>
      </c>
      <c r="H24" s="499">
        <v>0</v>
      </c>
      <c r="I24" s="499">
        <v>0</v>
      </c>
      <c r="J24" s="492">
        <f t="shared" si="25"/>
        <v>0</v>
      </c>
      <c r="K24" s="499">
        <v>0</v>
      </c>
      <c r="L24" s="499">
        <v>0</v>
      </c>
      <c r="M24" s="499">
        <v>0</v>
      </c>
      <c r="N24" s="499">
        <v>0</v>
      </c>
      <c r="O24" s="492">
        <f t="shared" si="27"/>
        <v>0</v>
      </c>
      <c r="P24" s="499">
        <v>0</v>
      </c>
      <c r="Q24" s="499">
        <v>0</v>
      </c>
      <c r="R24" s="499">
        <v>0</v>
      </c>
      <c r="S24" s="499">
        <v>0</v>
      </c>
      <c r="T24" s="492">
        <f t="shared" si="29"/>
        <v>0</v>
      </c>
      <c r="U24" s="500">
        <v>0</v>
      </c>
      <c r="V24" s="500">
        <v>0</v>
      </c>
      <c r="W24" s="500">
        <v>0</v>
      </c>
      <c r="X24" s="500">
        <v>0</v>
      </c>
      <c r="Y24" s="492">
        <f t="shared" si="31"/>
        <v>0</v>
      </c>
      <c r="Z24" s="500">
        <v>0</v>
      </c>
      <c r="AA24" s="500">
        <v>0</v>
      </c>
      <c r="AB24" s="500">
        <v>0</v>
      </c>
      <c r="AC24" s="500">
        <v>0</v>
      </c>
      <c r="AD24" s="492">
        <f t="shared" si="33"/>
        <v>0</v>
      </c>
      <c r="AE24" s="501">
        <v>0</v>
      </c>
      <c r="AF24" s="501">
        <v>0</v>
      </c>
      <c r="AG24" s="501">
        <v>0</v>
      </c>
    </row>
    <row r="25" ht="15.75" customHeight="1" hidden="1" spans="1:33" x14ac:dyDescent="0.25" outlineLevel="1">
      <c r="C25" s="131" t="str">
        <f t="shared" si="35"/>
        <v>Network &amp; Space Systems Revenue</v>
      </c>
      <c r="D25" s="8"/>
      <c r="E25" s="8"/>
      <c r="F25" s="499">
        <v>0</v>
      </c>
      <c r="G25" s="499">
        <v>0</v>
      </c>
      <c r="H25" s="499">
        <v>0</v>
      </c>
      <c r="I25" s="499">
        <v>0</v>
      </c>
      <c r="J25" s="492">
        <f t="shared" si="25"/>
        <v>0</v>
      </c>
      <c r="K25" s="499">
        <v>0</v>
      </c>
      <c r="L25" s="499">
        <v>0</v>
      </c>
      <c r="M25" s="499">
        <v>0</v>
      </c>
      <c r="N25" s="499">
        <v>0</v>
      </c>
      <c r="O25" s="492">
        <f t="shared" si="27"/>
        <v>0</v>
      </c>
      <c r="P25" s="499">
        <v>0</v>
      </c>
      <c r="Q25" s="499">
        <v>0</v>
      </c>
      <c r="R25" s="499">
        <v>0</v>
      </c>
      <c r="S25" s="499">
        <v>0</v>
      </c>
      <c r="T25" s="492">
        <f t="shared" si="29"/>
        <v>0</v>
      </c>
      <c r="U25" s="500">
        <v>0</v>
      </c>
      <c r="V25" s="500">
        <v>0</v>
      </c>
      <c r="W25" s="500">
        <v>0</v>
      </c>
      <c r="X25" s="500">
        <v>0</v>
      </c>
      <c r="Y25" s="492">
        <f t="shared" si="31"/>
        <v>0</v>
      </c>
      <c r="Z25" s="500">
        <v>0</v>
      </c>
      <c r="AA25" s="500">
        <v>0</v>
      </c>
      <c r="AB25" s="500">
        <v>0</v>
      </c>
      <c r="AC25" s="500">
        <v>0</v>
      </c>
      <c r="AD25" s="492">
        <f t="shared" si="33"/>
        <v>0</v>
      </c>
      <c r="AE25" s="501">
        <v>0</v>
      </c>
      <c r="AF25" s="501">
        <v>0</v>
      </c>
      <c r="AG25" s="501">
        <v>0</v>
      </c>
    </row>
    <row r="26" ht="15.75" customHeight="1" hidden="1" spans="1:33" x14ac:dyDescent="0.25" outlineLevel="1">
      <c r="C26" s="131" t="str">
        <f t="shared" si="35"/>
        <v>Global Services &amp; Support Revenue</v>
      </c>
      <c r="D26" s="8"/>
      <c r="E26" s="8"/>
      <c r="F26" s="499">
        <v>0</v>
      </c>
      <c r="G26" s="499">
        <v>0</v>
      </c>
      <c r="H26" s="499">
        <v>0</v>
      </c>
      <c r="I26" s="499">
        <v>0</v>
      </c>
      <c r="J26" s="492">
        <f t="shared" si="25"/>
        <v>0</v>
      </c>
      <c r="K26" s="499">
        <v>0</v>
      </c>
      <c r="L26" s="499">
        <v>0</v>
      </c>
      <c r="M26" s="499">
        <v>0</v>
      </c>
      <c r="N26" s="499">
        <v>0</v>
      </c>
      <c r="O26" s="492">
        <f t="shared" si="27"/>
        <v>0</v>
      </c>
      <c r="P26" s="499">
        <v>0</v>
      </c>
      <c r="Q26" s="499">
        <v>0</v>
      </c>
      <c r="R26" s="499">
        <v>0</v>
      </c>
      <c r="S26" s="499">
        <v>0</v>
      </c>
      <c r="T26" s="492">
        <f t="shared" si="29"/>
        <v>0</v>
      </c>
      <c r="U26" s="500">
        <v>0</v>
      </c>
      <c r="V26" s="500">
        <v>0</v>
      </c>
      <c r="W26" s="500">
        <v>0</v>
      </c>
      <c r="X26" s="500">
        <v>0</v>
      </c>
      <c r="Y26" s="492">
        <f t="shared" si="31"/>
        <v>0</v>
      </c>
      <c r="Z26" s="500">
        <v>0</v>
      </c>
      <c r="AA26" s="500">
        <v>0</v>
      </c>
      <c r="AB26" s="500">
        <v>0</v>
      </c>
      <c r="AC26" s="500">
        <v>0</v>
      </c>
      <c r="AD26" s="492">
        <f t="shared" si="33"/>
        <v>0</v>
      </c>
      <c r="AE26" s="501">
        <v>0</v>
      </c>
      <c r="AF26" s="501">
        <v>0</v>
      </c>
      <c r="AG26" s="501">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6"/>
      <c r="G28" s="496"/>
      <c r="H28" s="496"/>
      <c r="I28" s="496"/>
      <c r="J28" s="166"/>
      <c r="K28" s="496"/>
      <c r="L28" s="496"/>
      <c r="M28" s="496"/>
      <c r="N28" s="496"/>
      <c r="O28" s="166"/>
      <c r="P28" s="496"/>
      <c r="Q28" s="496"/>
      <c r="R28" s="496"/>
      <c r="S28" s="496"/>
      <c r="T28" s="166"/>
      <c r="U28" s="497"/>
      <c r="V28" s="497"/>
      <c r="W28" s="497"/>
      <c r="X28" s="497"/>
      <c r="Y28" s="166"/>
      <c r="Z28" s="497"/>
      <c r="AA28" s="497"/>
      <c r="AB28" s="497"/>
      <c r="AC28" s="497"/>
      <c r="AD28" s="166"/>
      <c r="AE28" s="166"/>
      <c r="AF28" s="166"/>
      <c r="AG28" s="166"/>
    </row>
    <row r="29" ht="15.75" customHeight="1" hidden="1" spans="1:33" x14ac:dyDescent="0.25" outlineLevel="1">
      <c r="C29" s="498" t="s">
        <v>440</v>
      </c>
      <c r="D29" s="8"/>
      <c r="E29" s="8"/>
      <c r="F29" s="496" t="str">
        <f t="shared" ref="F29:AG29" si="36">IFERROR(F24/F$23,"N/A")</f>
        <v>N/A</v>
      </c>
      <c r="G29" s="496" t="str">
        <f t="shared" si="36"/>
        <v>N/A</v>
      </c>
      <c r="H29" s="496" t="str">
        <f t="shared" si="36"/>
        <v>N/A</v>
      </c>
      <c r="I29" s="496" t="str">
        <f t="shared" si="36"/>
        <v>N/A</v>
      </c>
      <c r="J29" s="502" t="str">
        <f t="shared" si="36"/>
        <v>N/A</v>
      </c>
      <c r="K29" s="496" t="str">
        <f t="shared" si="36"/>
        <v>N/A</v>
      </c>
      <c r="L29" s="496" t="str">
        <f t="shared" si="36"/>
        <v>N/A</v>
      </c>
      <c r="M29" s="496" t="str">
        <f t="shared" si="36"/>
        <v>N/A</v>
      </c>
      <c r="N29" s="496" t="str">
        <f t="shared" si="36"/>
        <v>N/A</v>
      </c>
      <c r="O29" s="502" t="str">
        <f t="shared" si="36"/>
        <v>N/A</v>
      </c>
      <c r="P29" s="496" t="str">
        <f t="shared" si="36"/>
        <v>N/A</v>
      </c>
      <c r="Q29" s="496" t="str">
        <f t="shared" si="36"/>
        <v>N/A</v>
      </c>
      <c r="R29" s="496" t="str">
        <f t="shared" si="36"/>
        <v>N/A</v>
      </c>
      <c r="S29" s="496" t="str">
        <f t="shared" si="36"/>
        <v>N/A</v>
      </c>
      <c r="T29" s="502" t="str">
        <f t="shared" si="36"/>
        <v>N/A</v>
      </c>
      <c r="U29" s="497" t="str">
        <f t="shared" ref="U29:X29" si="37">IFERROR(U24/U$23,"N/A")</f>
        <v>N/A</v>
      </c>
      <c r="V29" s="497" t="str">
        <f t="shared" si="37"/>
        <v>N/A</v>
      </c>
      <c r="W29" s="497" t="str">
        <f t="shared" si="37"/>
        <v>N/A</v>
      </c>
      <c r="X29" s="497" t="str">
        <f t="shared" si="37"/>
        <v>N/A</v>
      </c>
      <c r="Y29" s="502" t="str">
        <f t="shared" si="36"/>
        <v>N/A</v>
      </c>
      <c r="Z29" s="497" t="str">
        <f t="shared" si="36"/>
        <v>N/A</v>
      </c>
      <c r="AA29" s="497" t="str">
        <f t="shared" si="36"/>
        <v>N/A</v>
      </c>
      <c r="AB29" s="497" t="str">
        <f t="shared" si="36"/>
        <v>N/A</v>
      </c>
      <c r="AC29" s="497" t="str">
        <f t="shared" si="36"/>
        <v>N/A</v>
      </c>
      <c r="AD29" s="502" t="str">
        <f t="shared" si="36"/>
        <v>N/A</v>
      </c>
      <c r="AE29" s="502" t="str">
        <f t="shared" si="36"/>
        <v>N/A</v>
      </c>
      <c r="AF29" s="502" t="str">
        <f t="shared" si="36"/>
        <v>N/A</v>
      </c>
      <c r="AG29" s="502" t="str">
        <f t="shared" si="36"/>
        <v>N/A</v>
      </c>
    </row>
    <row r="30" ht="15.75" customHeight="1" hidden="1" spans="1:33" x14ac:dyDescent="0.25" outlineLevel="1">
      <c r="C30" s="498" t="s">
        <v>441</v>
      </c>
      <c r="D30" s="8"/>
      <c r="E30" s="8"/>
      <c r="F30" s="496" t="str">
        <f t="shared" ref="F30:AG30" si="38">IFERROR(F25/F$23,"N/A")</f>
        <v>N/A</v>
      </c>
      <c r="G30" s="496" t="str">
        <f t="shared" si="38"/>
        <v>N/A</v>
      </c>
      <c r="H30" s="496" t="str">
        <f t="shared" si="38"/>
        <v>N/A</v>
      </c>
      <c r="I30" s="496" t="str">
        <f t="shared" si="38"/>
        <v>N/A</v>
      </c>
      <c r="J30" s="502" t="str">
        <f t="shared" si="38"/>
        <v>N/A</v>
      </c>
      <c r="K30" s="496" t="str">
        <f t="shared" si="38"/>
        <v>N/A</v>
      </c>
      <c r="L30" s="496" t="str">
        <f t="shared" si="38"/>
        <v>N/A</v>
      </c>
      <c r="M30" s="496" t="str">
        <f t="shared" si="38"/>
        <v>N/A</v>
      </c>
      <c r="N30" s="496" t="str">
        <f t="shared" si="38"/>
        <v>N/A</v>
      </c>
      <c r="O30" s="502" t="str">
        <f t="shared" si="38"/>
        <v>N/A</v>
      </c>
      <c r="P30" s="496" t="str">
        <f t="shared" si="38"/>
        <v>N/A</v>
      </c>
      <c r="Q30" s="496" t="str">
        <f t="shared" si="38"/>
        <v>N/A</v>
      </c>
      <c r="R30" s="496" t="str">
        <f t="shared" si="38"/>
        <v>N/A</v>
      </c>
      <c r="S30" s="496" t="str">
        <f t="shared" si="38"/>
        <v>N/A</v>
      </c>
      <c r="T30" s="502" t="str">
        <f t="shared" si="38"/>
        <v>N/A</v>
      </c>
      <c r="U30" s="497" t="str">
        <f t="shared" ref="U30:X30" si="39">IFERROR(U25/U$23,"N/A")</f>
        <v>N/A</v>
      </c>
      <c r="V30" s="497" t="str">
        <f t="shared" si="39"/>
        <v>N/A</v>
      </c>
      <c r="W30" s="497" t="str">
        <f t="shared" si="39"/>
        <v>N/A</v>
      </c>
      <c r="X30" s="497" t="str">
        <f t="shared" si="39"/>
        <v>N/A</v>
      </c>
      <c r="Y30" s="502" t="str">
        <f t="shared" si="38"/>
        <v>N/A</v>
      </c>
      <c r="Z30" s="497" t="str">
        <f t="shared" si="38"/>
        <v>N/A</v>
      </c>
      <c r="AA30" s="497" t="str">
        <f t="shared" si="38"/>
        <v>N/A</v>
      </c>
      <c r="AB30" s="497" t="str">
        <f t="shared" si="38"/>
        <v>N/A</v>
      </c>
      <c r="AC30" s="497" t="str">
        <f t="shared" si="38"/>
        <v>N/A</v>
      </c>
      <c r="AD30" s="502" t="str">
        <f t="shared" si="38"/>
        <v>N/A</v>
      </c>
      <c r="AE30" s="502" t="str">
        <f t="shared" si="38"/>
        <v>N/A</v>
      </c>
      <c r="AF30" s="502" t="str">
        <f t="shared" si="38"/>
        <v>N/A</v>
      </c>
      <c r="AG30" s="502" t="str">
        <f t="shared" si="38"/>
        <v>N/A</v>
      </c>
    </row>
    <row r="31" ht="15.75" customHeight="1" hidden="1" spans="1:33" x14ac:dyDescent="0.25" outlineLevel="1">
      <c r="C31" s="498" t="s">
        <v>442</v>
      </c>
      <c r="D31" s="8"/>
      <c r="E31" s="8"/>
      <c r="F31" s="496" t="str">
        <f t="shared" ref="F31:AG31" si="40">IFERROR(F26/F$23,"N/A")</f>
        <v>N/A</v>
      </c>
      <c r="G31" s="496" t="str">
        <f t="shared" si="40"/>
        <v>N/A</v>
      </c>
      <c r="H31" s="496" t="str">
        <f t="shared" si="40"/>
        <v>N/A</v>
      </c>
      <c r="I31" s="496" t="str">
        <f t="shared" si="40"/>
        <v>N/A</v>
      </c>
      <c r="J31" s="502" t="str">
        <f t="shared" si="40"/>
        <v>N/A</v>
      </c>
      <c r="K31" s="496" t="str">
        <f t="shared" si="40"/>
        <v>N/A</v>
      </c>
      <c r="L31" s="496" t="str">
        <f t="shared" si="40"/>
        <v>N/A</v>
      </c>
      <c r="M31" s="496" t="str">
        <f t="shared" si="40"/>
        <v>N/A</v>
      </c>
      <c r="N31" s="496" t="str">
        <f t="shared" si="40"/>
        <v>N/A</v>
      </c>
      <c r="O31" s="502" t="str">
        <f t="shared" si="40"/>
        <v>N/A</v>
      </c>
      <c r="P31" s="496" t="str">
        <f t="shared" si="40"/>
        <v>N/A</v>
      </c>
      <c r="Q31" s="496" t="str">
        <f t="shared" si="40"/>
        <v>N/A</v>
      </c>
      <c r="R31" s="496" t="str">
        <f t="shared" si="40"/>
        <v>N/A</v>
      </c>
      <c r="S31" s="496" t="str">
        <f t="shared" si="40"/>
        <v>N/A</v>
      </c>
      <c r="T31" s="502" t="str">
        <f t="shared" si="40"/>
        <v>N/A</v>
      </c>
      <c r="U31" s="497" t="str">
        <f t="shared" ref="U31:X31" si="41">IFERROR(U26/U$23,"N/A")</f>
        <v>N/A</v>
      </c>
      <c r="V31" s="497" t="str">
        <f t="shared" si="41"/>
        <v>N/A</v>
      </c>
      <c r="W31" s="497" t="str">
        <f t="shared" si="41"/>
        <v>N/A</v>
      </c>
      <c r="X31" s="497" t="str">
        <f t="shared" si="41"/>
        <v>N/A</v>
      </c>
      <c r="Y31" s="502" t="str">
        <f t="shared" si="40"/>
        <v>N/A</v>
      </c>
      <c r="Z31" s="497" t="str">
        <f t="shared" si="40"/>
        <v>N/A</v>
      </c>
      <c r="AA31" s="497" t="str">
        <f t="shared" si="40"/>
        <v>N/A</v>
      </c>
      <c r="AB31" s="497" t="str">
        <f t="shared" si="40"/>
        <v>N/A</v>
      </c>
      <c r="AC31" s="497" t="str">
        <f t="shared" si="40"/>
        <v>N/A</v>
      </c>
      <c r="AD31" s="502" t="str">
        <f t="shared" si="40"/>
        <v>N/A</v>
      </c>
      <c r="AE31" s="502" t="str">
        <f t="shared" si="40"/>
        <v>N/A</v>
      </c>
      <c r="AF31" s="502" t="str">
        <f t="shared" si="40"/>
        <v>N/A</v>
      </c>
      <c r="AG31" s="502" t="str">
        <f t="shared" si="40"/>
        <v>N/A</v>
      </c>
    </row>
    <row r="32" ht="15.75" customHeight="1" spans="1:33" x14ac:dyDescent="0.25">
      <c r="C32" s="498"/>
      <c r="D32" s="8"/>
      <c r="E32" s="8"/>
      <c r="F32" s="496"/>
      <c r="G32" s="496"/>
      <c r="H32" s="496"/>
      <c r="I32" s="496"/>
      <c r="J32" s="502"/>
      <c r="K32" s="496"/>
      <c r="L32" s="496"/>
      <c r="M32" s="496"/>
      <c r="N32" s="496"/>
      <c r="O32" s="502"/>
      <c r="P32" s="496"/>
      <c r="Q32" s="496"/>
      <c r="R32" s="496"/>
      <c r="S32" s="496"/>
      <c r="T32" s="502"/>
      <c r="U32" s="497"/>
      <c r="V32" s="497"/>
      <c r="W32" s="497"/>
      <c r="X32" s="497"/>
      <c r="Y32" s="502"/>
      <c r="Z32" s="497"/>
      <c r="AA32" s="497"/>
      <c r="AB32" s="497"/>
      <c r="AC32" s="497"/>
      <c r="AD32" s="502"/>
      <c r="AE32" s="502"/>
      <c r="AF32" s="502"/>
      <c r="AG32" s="502"/>
    </row>
    <row r="33" ht="15.75" customHeight="1" spans="1:33" x14ac:dyDescent="0.25">
      <c r="C33" s="503" t="s">
        <v>443</v>
      </c>
      <c r="D33" s="8"/>
      <c r="E33" s="8"/>
      <c r="F33" s="311">
        <f t="shared" ref="F33:I33" si="42">SUM(F34:F39)</f>
        <v>158.018</v>
      </c>
      <c r="G33" s="311">
        <f t="shared" si="42"/>
        <v>17.918999999999997</v>
      </c>
      <c r="H33" s="311">
        <f t="shared" si="42"/>
        <v>91.071</v>
      </c>
      <c r="I33" s="311">
        <f t="shared" si="42"/>
        <v>87.261</v>
      </c>
      <c r="J33" s="284">
        <f t="shared" ref="J33:J39" si="43">SUM(F33:I33)</f>
        <v>0</v>
      </c>
      <c r="K33" s="311">
        <f t="shared" ref="K33:N33" si="44">SUM(K34:K39)</f>
        <v>220.24200000000002</v>
      </c>
      <c r="L33" s="311">
        <f t="shared" si="44"/>
        <v>227.754</v>
      </c>
      <c r="M33" s="311">
        <f t="shared" si="44"/>
        <v>252.687</v>
      </c>
      <c r="N33" s="311">
        <f t="shared" si="44"/>
        <v>702.863</v>
      </c>
      <c r="O33" s="284">
        <f t="shared" ref="O33:O39" si="45">SUM(K33:N33)</f>
        <v>577</v>
      </c>
      <c r="P33" s="311">
        <f t="shared" ref="P33:S33" si="46">SUM(P34:P39)</f>
        <v>151.065</v>
      </c>
      <c r="Q33" s="311">
        <f t="shared" si="46"/>
        <v>134.901</v>
      </c>
      <c r="R33" s="311">
        <f t="shared" si="46"/>
        <v>331.815</v>
      </c>
      <c r="S33" s="311">
        <f t="shared" si="46"/>
        <v>746.2080000000001</v>
      </c>
      <c r="T33" s="284">
        <f t="shared" ref="T33:T39" si="47">SUM(P33:S33)</f>
        <v>608</v>
      </c>
      <c r="U33" s="283">
        <f t="shared" ref="U33:X33" si="48">SUM(U34:U39)</f>
        <v>0</v>
      </c>
      <c r="V33" s="283">
        <f t="shared" si="48"/>
        <v>0</v>
      </c>
      <c r="W33" s="283">
        <f t="shared" si="48"/>
        <v>0</v>
      </c>
      <c r="X33" s="283">
        <f t="shared" si="48"/>
        <v>0</v>
      </c>
      <c r="Y33" s="284">
        <f t="shared" ref="Y33:Y39" si="49">SUM(U33:X33)</f>
        <v>0</v>
      </c>
      <c r="Z33" s="283">
        <f t="shared" ref="Z33:AC33" si="50">SUM(Z34:Z39)</f>
        <v>0</v>
      </c>
      <c r="AA33" s="283">
        <f t="shared" si="50"/>
        <v>0</v>
      </c>
      <c r="AB33" s="283">
        <f t="shared" si="50"/>
        <v>0</v>
      </c>
      <c r="AC33" s="283">
        <f t="shared" si="50"/>
        <v>0</v>
      </c>
      <c r="AD33" s="284">
        <f t="shared" ref="AD33:AD39" si="51">SUM(Z33:AC33)</f>
        <v>0</v>
      </c>
      <c r="AE33" s="284">
        <f t="shared" ref="AE33:AG33" si="52">SUM(AE34:AE39)</f>
        <v>0</v>
      </c>
      <c r="AF33" s="284">
        <f t="shared" si="52"/>
        <v>0</v>
      </c>
      <c r="AG33" s="284">
        <f t="shared" si="52"/>
        <v>0</v>
      </c>
    </row>
    <row r="34" ht="15.75" customHeight="1" spans="1:33" x14ac:dyDescent="0.25">
      <c r="C34" s="458" t="str">
        <f t="shared" ref="C34:C39" si="53">C16&amp;" Operating Income"</f>
        <v>Investment Banking &amp; Capital Markets Operating Income</v>
      </c>
      <c r="D34" s="8"/>
      <c r="E34" s="8"/>
      <c r="F34" s="499">
        <v>172.2</v>
      </c>
      <c r="G34" s="499">
        <v>104.5</v>
      </c>
      <c r="H34" s="499">
        <v>155.1</v>
      </c>
      <c r="I34" s="499">
        <v>77.5</v>
      </c>
      <c r="J34" s="492">
        <f t="shared" si="43"/>
        <v>0</v>
      </c>
      <c r="K34" s="499">
        <v>155</v>
      </c>
      <c r="L34" s="499">
        <v>251.3</v>
      </c>
      <c r="M34" s="499">
        <v>368.5</v>
      </c>
      <c r="N34" s="499">
        <v>248</v>
      </c>
      <c r="O34" s="492">
        <f t="shared" si="45"/>
        <v>0</v>
      </c>
      <c r="P34" s="499">
        <v>167</v>
      </c>
      <c r="Q34" s="499">
        <v>188.3</v>
      </c>
      <c r="R34" s="499">
        <v>336.3</v>
      </c>
      <c r="S34" s="499">
        <v>290.5</v>
      </c>
      <c r="T34" s="492">
        <f t="shared" si="47"/>
        <v>0</v>
      </c>
      <c r="U34" s="504">
        <f>U8*Drivers!U$7</f>
        <v>0</v>
      </c>
      <c r="V34" s="504">
        <f>V8*Drivers!V$7</f>
        <v>0</v>
      </c>
      <c r="W34" s="504">
        <f>W8*Drivers!W$7</f>
        <v>0</v>
      </c>
      <c r="X34" s="504">
        <f>X8*Drivers!X$7</f>
        <v>0</v>
      </c>
      <c r="Y34" s="492">
        <f t="shared" si="49"/>
        <v>0</v>
      </c>
      <c r="Z34" s="504">
        <f>Z8*Drivers!Z$7</f>
        <v>0</v>
      </c>
      <c r="AA34" s="504">
        <f>AA8*Drivers!AA$7</f>
        <v>0</v>
      </c>
      <c r="AB34" s="504">
        <f>AB8*Drivers!AB$7</f>
        <v>0</v>
      </c>
      <c r="AC34" s="504">
        <f>AC8*Drivers!AC$7</f>
        <v>0</v>
      </c>
      <c r="AD34" s="492">
        <f t="shared" si="51"/>
        <v>0</v>
      </c>
      <c r="AE34" s="492">
        <f>AE8*Drivers!AE$7</f>
        <v>0</v>
      </c>
      <c r="AF34" s="492">
        <f>AF8*Drivers!AF$7</f>
        <v>0</v>
      </c>
      <c r="AG34" s="492">
        <f>AG8*Drivers!AG$7</f>
        <v>0</v>
      </c>
    </row>
    <row r="35" ht="15.75" customHeight="1" spans="1:33" x14ac:dyDescent="0.25">
      <c r="C35" s="458" t="str">
        <f t="shared" si="53"/>
        <v>Asset Management and Other Operating Income</v>
      </c>
      <c r="D35" s="8"/>
      <c r="E35" s="8"/>
      <c r="F35" s="499">
        <v>-14.181999999999988</v>
      </c>
      <c r="G35" s="499">
        <v>-86.581</v>
      </c>
      <c r="H35" s="499">
        <v>-64.029</v>
      </c>
      <c r="I35" s="499">
        <v>9.760999999999996</v>
      </c>
      <c r="J35" s="492">
        <f t="shared" si="43"/>
        <v>0</v>
      </c>
      <c r="K35" s="499">
        <v>65.24200000000002</v>
      </c>
      <c r="L35" s="499">
        <v>-23.54600000000002</v>
      </c>
      <c r="M35" s="499">
        <v>-115.81299999999999</v>
      </c>
      <c r="N35" s="499">
        <v>-122.137</v>
      </c>
      <c r="O35" s="492">
        <f t="shared" si="45"/>
        <v>0</v>
      </c>
      <c r="P35" s="499">
        <v>-15.935000000000002</v>
      </c>
      <c r="Q35" s="499">
        <v>-53.399</v>
      </c>
      <c r="R35" s="499">
        <v>-4.485000000000014</v>
      </c>
      <c r="S35" s="499">
        <v>-152.29199999999997</v>
      </c>
      <c r="T35" s="492">
        <f t="shared" si="47"/>
        <v>0</v>
      </c>
      <c r="U35" s="504">
        <f>U9*Drivers!U$12</f>
        <v>0</v>
      </c>
      <c r="V35" s="504">
        <f>V9*Drivers!V$12</f>
        <v>0</v>
      </c>
      <c r="W35" s="504">
        <f>W9*Drivers!W$12</f>
        <v>0</v>
      </c>
      <c r="X35" s="504">
        <f>X9*Drivers!X$12</f>
        <v>0</v>
      </c>
      <c r="Y35" s="492">
        <f t="shared" si="49"/>
        <v>0</v>
      </c>
      <c r="Z35" s="504">
        <f>Z9*Drivers!Z$12</f>
        <v>0</v>
      </c>
      <c r="AA35" s="504">
        <f>AA9*Drivers!AA$12</f>
        <v>0</v>
      </c>
      <c r="AB35" s="504">
        <f>AB9*Drivers!AB$12</f>
        <v>0</v>
      </c>
      <c r="AC35" s="504">
        <f>AC9*Drivers!AC$12</f>
        <v>0</v>
      </c>
      <c r="AD35" s="492">
        <f t="shared" si="51"/>
        <v>0</v>
      </c>
      <c r="AE35" s="492">
        <f>AE9*Drivers!AE$12</f>
        <v>0</v>
      </c>
      <c r="AF35" s="492">
        <f>AF9*Drivers!AF$12</f>
        <v>0</v>
      </c>
      <c r="AG35" s="492">
        <f>AG9*Drivers!AG$12</f>
        <v>0</v>
      </c>
    </row>
    <row r="36" ht="15.75" customHeight="1" hidden="1" spans="1:33" x14ac:dyDescent="0.25" outlineLevel="1">
      <c r="C36" s="131" t="str">
        <f t="shared" si="53"/>
        <v> Operating Income</v>
      </c>
      <c r="D36" s="8"/>
      <c r="E36" s="8"/>
      <c r="F36" s="499"/>
      <c r="G36" s="499"/>
      <c r="H36" s="499"/>
      <c r="I36" s="499"/>
      <c r="J36" s="492">
        <f t="shared" si="43"/>
        <v>0</v>
      </c>
      <c r="K36" s="499">
        <v>0</v>
      </c>
      <c r="L36" s="499">
        <v>0</v>
      </c>
      <c r="M36" s="499">
        <v>0</v>
      </c>
      <c r="N36" s="499">
        <f>386-SUM(K36:M36)</f>
        <v>386</v>
      </c>
      <c r="O36" s="492">
        <f t="shared" si="45"/>
        <v>386</v>
      </c>
      <c r="P36" s="499">
        <v>0</v>
      </c>
      <c r="Q36" s="499">
        <v>0</v>
      </c>
      <c r="R36" s="499">
        <v>0</v>
      </c>
      <c r="S36" s="499">
        <f>351-SUM(P36:R36)</f>
        <v>351</v>
      </c>
      <c r="T36" s="492">
        <f t="shared" si="47"/>
        <v>351</v>
      </c>
      <c r="U36" s="504">
        <f>U10*Drivers!U$17</f>
        <v>0</v>
      </c>
      <c r="V36" s="504">
        <f>V10*Drivers!V$17</f>
        <v>0</v>
      </c>
      <c r="W36" s="504">
        <f>W10*Drivers!W$17</f>
        <v>0</v>
      </c>
      <c r="X36" s="504">
        <f>X10*Drivers!X$17</f>
        <v>0</v>
      </c>
      <c r="Y36" s="492">
        <f t="shared" si="49"/>
        <v>0</v>
      </c>
      <c r="Z36" s="504">
        <f>Z10*Drivers!Z$17</f>
        <v>0</v>
      </c>
      <c r="AA36" s="504">
        <f>AA10*Drivers!AA$17</f>
        <v>0</v>
      </c>
      <c r="AB36" s="504">
        <f>AB10*Drivers!AB$17</f>
        <v>0</v>
      </c>
      <c r="AC36" s="504">
        <f>AC10*Drivers!AC$17</f>
        <v>0</v>
      </c>
      <c r="AD36" s="492">
        <f t="shared" si="51"/>
        <v>0</v>
      </c>
      <c r="AE36" s="492">
        <f>AE10*Drivers!AE$17</f>
        <v>0</v>
      </c>
      <c r="AF36" s="492">
        <f>AF10*Drivers!AF$17</f>
        <v>0</v>
      </c>
      <c r="AG36" s="492">
        <f>AG10*Drivers!AG$17</f>
        <v>0</v>
      </c>
    </row>
    <row r="37" ht="15.75" customHeight="1" hidden="1" spans="1:33" x14ac:dyDescent="0.25" outlineLevel="1">
      <c r="C37" s="131" t="str">
        <f t="shared" si="53"/>
        <v> Operating Income</v>
      </c>
      <c r="D37" s="8"/>
      <c r="E37" s="8"/>
      <c r="F37" s="499"/>
      <c r="G37" s="499"/>
      <c r="H37" s="499"/>
      <c r="I37" s="499"/>
      <c r="J37" s="492">
        <f t="shared" si="43"/>
        <v>0</v>
      </c>
      <c r="K37" s="499">
        <v>0</v>
      </c>
      <c r="L37" s="499">
        <v>0</v>
      </c>
      <c r="M37" s="499">
        <v>0</v>
      </c>
      <c r="N37" s="499">
        <f>382-SUM(K37:M37)</f>
        <v>382</v>
      </c>
      <c r="O37" s="492">
        <f t="shared" si="45"/>
        <v>382</v>
      </c>
      <c r="P37" s="499">
        <v>0</v>
      </c>
      <c r="Q37" s="499">
        <v>0</v>
      </c>
      <c r="R37" s="499">
        <v>0</v>
      </c>
      <c r="S37" s="499">
        <f>371-SUM(P37:R37)</f>
        <v>371</v>
      </c>
      <c r="T37" s="492">
        <f t="shared" si="47"/>
        <v>371</v>
      </c>
      <c r="U37" s="504">
        <f>U11*Drivers!U$22</f>
        <v>0</v>
      </c>
      <c r="V37" s="504">
        <f>V11*Drivers!V$22</f>
        <v>0</v>
      </c>
      <c r="W37" s="504">
        <f>W11*Drivers!W$22</f>
        <v>0</v>
      </c>
      <c r="X37" s="504">
        <f>X11*Drivers!X$22</f>
        <v>0</v>
      </c>
      <c r="Y37" s="492">
        <f t="shared" si="49"/>
        <v>0</v>
      </c>
      <c r="Z37" s="504">
        <f>Z11*Drivers!Z$22</f>
        <v>0</v>
      </c>
      <c r="AA37" s="504">
        <f>AA11*Drivers!AA$22</f>
        <v>0</v>
      </c>
      <c r="AB37" s="504">
        <f>AB11*Drivers!AB$22</f>
        <v>0</v>
      </c>
      <c r="AC37" s="504">
        <f>AC11*Drivers!AC$22</f>
        <v>0</v>
      </c>
      <c r="AD37" s="492">
        <f t="shared" si="51"/>
        <v>0</v>
      </c>
      <c r="AE37" s="492">
        <f>AE11*Drivers!AE$22</f>
        <v>0</v>
      </c>
      <c r="AF37" s="492">
        <f>AF11*Drivers!AF$22</f>
        <v>0</v>
      </c>
      <c r="AG37" s="492">
        <f>AG11*Drivers!AG$22</f>
        <v>0</v>
      </c>
    </row>
    <row r="38" ht="15.75" customHeight="1" hidden="1" spans="1:33" x14ac:dyDescent="0.25" outlineLevel="1">
      <c r="C38" s="131" t="str">
        <f t="shared" si="53"/>
        <v> Operating Income</v>
      </c>
      <c r="D38" s="8"/>
      <c r="E38" s="8"/>
      <c r="F38" s="499"/>
      <c r="G38" s="499"/>
      <c r="H38" s="499"/>
      <c r="I38" s="499"/>
      <c r="J38" s="492">
        <f t="shared" si="43"/>
        <v>0</v>
      </c>
      <c r="K38" s="499">
        <v>0</v>
      </c>
      <c r="L38" s="499">
        <v>0</v>
      </c>
      <c r="M38" s="499">
        <v>0</v>
      </c>
      <c r="N38" s="499">
        <f>-191-SUM(K38:M38)</f>
        <v>-191</v>
      </c>
      <c r="O38" s="492">
        <f t="shared" si="45"/>
        <v>-191</v>
      </c>
      <c r="P38" s="499">
        <v>0</v>
      </c>
      <c r="Q38" s="499">
        <v>0</v>
      </c>
      <c r="R38" s="499">
        <v>0</v>
      </c>
      <c r="S38" s="499">
        <f>-114-SUM(P38:R38)</f>
        <v>-114</v>
      </c>
      <c r="T38" s="492">
        <f t="shared" si="47"/>
        <v>-114</v>
      </c>
      <c r="U38" s="504">
        <f>U12*Drivers!U$27</f>
        <v>0</v>
      </c>
      <c r="V38" s="504">
        <f>V12*Drivers!V$27</f>
        <v>0</v>
      </c>
      <c r="W38" s="504">
        <f>W12*Drivers!W$27</f>
        <v>0</v>
      </c>
      <c r="X38" s="504">
        <f>X12*Drivers!X$27</f>
        <v>0</v>
      </c>
      <c r="Y38" s="492">
        <f t="shared" si="49"/>
        <v>0</v>
      </c>
      <c r="Z38" s="504">
        <f>Z12*Drivers!Z$27</f>
        <v>0</v>
      </c>
      <c r="AA38" s="504">
        <f>AA12*Drivers!AA$27</f>
        <v>0</v>
      </c>
      <c r="AB38" s="504">
        <f>AB12*Drivers!AB$27</f>
        <v>0</v>
      </c>
      <c r="AC38" s="504">
        <f>AC12*Drivers!AC$27</f>
        <v>0</v>
      </c>
      <c r="AD38" s="492">
        <f t="shared" si="51"/>
        <v>0</v>
      </c>
      <c r="AE38" s="492">
        <f>AE12*Drivers!AE$27</f>
        <v>0</v>
      </c>
      <c r="AF38" s="492">
        <f>AF12*Drivers!AF$27</f>
        <v>0</v>
      </c>
      <c r="AG38" s="492">
        <f>AG12*Drivers!AG$27</f>
        <v>0</v>
      </c>
    </row>
    <row r="39" ht="15.75" customHeight="1" hidden="1" spans="1:33" x14ac:dyDescent="0.25" outlineLevel="1">
      <c r="C39" s="131" t="str">
        <f t="shared" si="53"/>
        <v> Operating Income</v>
      </c>
      <c r="D39" s="8"/>
      <c r="E39" s="8"/>
      <c r="F39" s="499"/>
      <c r="G39" s="499"/>
      <c r="H39" s="499"/>
      <c r="I39" s="499"/>
      <c r="J39" s="492">
        <f t="shared" si="43"/>
        <v>0</v>
      </c>
      <c r="K39" s="499">
        <v>0</v>
      </c>
      <c r="L39" s="499">
        <v>0</v>
      </c>
      <c r="M39" s="499">
        <v>0</v>
      </c>
      <c r="N39" s="499">
        <v>0</v>
      </c>
      <c r="O39" s="492">
        <f t="shared" si="45"/>
        <v>0</v>
      </c>
      <c r="P39" s="499">
        <v>0</v>
      </c>
      <c r="Q39" s="499">
        <v>0</v>
      </c>
      <c r="R39" s="499">
        <v>0</v>
      </c>
      <c r="S39" s="499">
        <v>0</v>
      </c>
      <c r="T39" s="492">
        <f t="shared" si="47"/>
        <v>0</v>
      </c>
      <c r="U39" s="504">
        <f>U13*Drivers!U$32</f>
        <v>0</v>
      </c>
      <c r="V39" s="504">
        <f>V13*Drivers!V$32</f>
        <v>0</v>
      </c>
      <c r="W39" s="504">
        <f>W13*Drivers!W$32</f>
        <v>0</v>
      </c>
      <c r="X39" s="504">
        <f>X13*Drivers!X$32</f>
        <v>0</v>
      </c>
      <c r="Y39" s="492">
        <f t="shared" si="49"/>
        <v>0</v>
      </c>
      <c r="Z39" s="504">
        <f>Z13*Drivers!Z$32</f>
        <v>0</v>
      </c>
      <c r="AA39" s="504">
        <f>AA13*Drivers!AA$32</f>
        <v>0</v>
      </c>
      <c r="AB39" s="504">
        <f>AB13*Drivers!AB$32</f>
        <v>0</v>
      </c>
      <c r="AC39" s="504">
        <f>AC13*Drivers!AC$32</f>
        <v>0</v>
      </c>
      <c r="AD39" s="492">
        <f t="shared" si="51"/>
        <v>0</v>
      </c>
      <c r="AE39" s="492">
        <f>AE13*Drivers!AE$32</f>
        <v>0</v>
      </c>
      <c r="AF39" s="492">
        <f>AF13*Drivers!AF$32</f>
        <v>0</v>
      </c>
      <c r="AG39" s="492">
        <f>AG13*Drivers!AG$32</f>
        <v>0</v>
      </c>
    </row>
    <row r="40" ht="15.75" customHeight="1" spans="1:33" x14ac:dyDescent="0.25">
      <c r="C40" s="131"/>
      <c r="D40" s="8"/>
      <c r="E40" s="8"/>
      <c r="F40" s="505"/>
      <c r="G40" s="505"/>
      <c r="H40" s="505"/>
      <c r="I40" s="505"/>
      <c r="J40" s="166"/>
      <c r="K40" s="505"/>
      <c r="L40" s="505"/>
      <c r="M40" s="505"/>
      <c r="N40" s="505"/>
      <c r="O40" s="166"/>
      <c r="P40" s="505"/>
      <c r="Q40" s="505"/>
      <c r="R40" s="505"/>
      <c r="S40" s="505"/>
      <c r="T40" s="166"/>
      <c r="U40" s="506"/>
      <c r="V40" s="506"/>
      <c r="W40" s="506"/>
      <c r="X40" s="506"/>
      <c r="Y40" s="166"/>
      <c r="Z40" s="506"/>
      <c r="AA40" s="506"/>
      <c r="AB40" s="506"/>
      <c r="AC40" s="506"/>
      <c r="AD40" s="166"/>
      <c r="AE40" s="166"/>
      <c r="AF40" s="166"/>
      <c r="AG40" s="166"/>
    </row>
    <row r="41" ht="15.75" customHeight="1" spans="1:33" x14ac:dyDescent="0.25">
      <c r="C41" s="111" t="s">
        <v>444</v>
      </c>
      <c r="D41" s="8"/>
      <c r="E41" s="8"/>
      <c r="F41" s="507">
        <f t="shared" ref="F41:AG41" si="54">F33-SUM(F34:F39)</f>
        <v>0</v>
      </c>
      <c r="G41" s="507">
        <f t="shared" si="54"/>
        <v>0</v>
      </c>
      <c r="H41" s="507">
        <f t="shared" si="54"/>
        <v>0</v>
      </c>
      <c r="I41" s="507">
        <f t="shared" si="54"/>
        <v>0</v>
      </c>
      <c r="J41" s="508">
        <f t="shared" si="54"/>
        <v>0</v>
      </c>
      <c r="K41" s="507">
        <f t="shared" si="54"/>
        <v>0</v>
      </c>
      <c r="L41" s="507">
        <f t="shared" si="54"/>
        <v>0</v>
      </c>
      <c r="M41" s="507">
        <f t="shared" si="54"/>
        <v>0</v>
      </c>
      <c r="N41" s="507">
        <f t="shared" si="54"/>
        <v>0</v>
      </c>
      <c r="O41" s="508">
        <f t="shared" si="54"/>
        <v>0</v>
      </c>
      <c r="P41" s="507">
        <f t="shared" si="54"/>
        <v>0</v>
      </c>
      <c r="Q41" s="507">
        <f t="shared" si="54"/>
        <v>0</v>
      </c>
      <c r="R41" s="507">
        <f t="shared" si="54"/>
        <v>0</v>
      </c>
      <c r="S41" s="507">
        <f t="shared" si="54"/>
        <v>0</v>
      </c>
      <c r="T41" s="508">
        <f t="shared" si="54"/>
        <v>0</v>
      </c>
      <c r="U41" s="509">
        <f t="shared" ref="U41:X41" si="55">U33-SUM(U34:U39)</f>
        <v>0</v>
      </c>
      <c r="V41" s="509">
        <f t="shared" si="55"/>
        <v>0</v>
      </c>
      <c r="W41" s="509">
        <f t="shared" si="55"/>
        <v>0</v>
      </c>
      <c r="X41" s="509">
        <f t="shared" si="55"/>
        <v>0</v>
      </c>
      <c r="Y41" s="508">
        <f t="shared" si="54"/>
        <v>0</v>
      </c>
      <c r="Z41" s="509">
        <f t="shared" si="54"/>
        <v>0</v>
      </c>
      <c r="AA41" s="509">
        <f t="shared" si="54"/>
        <v>0</v>
      </c>
      <c r="AB41" s="509">
        <f t="shared" si="54"/>
        <v>0</v>
      </c>
      <c r="AC41" s="509">
        <f t="shared" si="54"/>
        <v>0</v>
      </c>
      <c r="AD41" s="508">
        <f t="shared" si="54"/>
        <v>0</v>
      </c>
      <c r="AE41" s="508">
        <f t="shared" si="54"/>
        <v>0</v>
      </c>
      <c r="AF41" s="508">
        <f t="shared" si="54"/>
        <v>0</v>
      </c>
      <c r="AG41" s="508">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6"/>
      <c r="G43" s="496"/>
      <c r="H43" s="496"/>
      <c r="I43" s="496"/>
      <c r="J43" s="166"/>
      <c r="K43" s="496"/>
      <c r="L43" s="496"/>
      <c r="M43" s="496"/>
      <c r="N43" s="496"/>
      <c r="O43" s="166"/>
      <c r="P43" s="496"/>
      <c r="Q43" s="496"/>
      <c r="R43" s="496"/>
      <c r="S43" s="496"/>
      <c r="T43" s="166"/>
      <c r="U43" s="497"/>
      <c r="V43" s="497"/>
      <c r="W43" s="497"/>
      <c r="X43" s="497"/>
      <c r="Y43" s="166"/>
      <c r="Z43" s="497"/>
      <c r="AA43" s="497"/>
      <c r="AB43" s="497"/>
      <c r="AC43" s="497"/>
      <c r="AD43" s="166"/>
      <c r="AE43" s="166"/>
      <c r="AF43" s="166"/>
      <c r="AG43" s="166"/>
    </row>
    <row r="44" ht="15.75" customHeight="1" spans="1:33" x14ac:dyDescent="0.25">
      <c r="C44" s="131" t="str">
        <f t="shared" ref="C44:C49" si="56">C16</f>
        <v>Investment Banking &amp; Capital Markets</v>
      </c>
      <c r="D44" s="8"/>
      <c r="E44" s="8"/>
      <c r="F44" s="384" t="str">
        <f t="shared" ref="F44:AG44" si="57">IFERROR(F34/F$33,"N/A")</f>
        <v>N/A</v>
      </c>
      <c r="G44" s="384" t="str">
        <f t="shared" si="57"/>
        <v>N/A</v>
      </c>
      <c r="H44" s="384" t="str">
        <f t="shared" si="57"/>
        <v>N/A</v>
      </c>
      <c r="I44" s="384" t="str">
        <f t="shared" si="57"/>
        <v>N/A</v>
      </c>
      <c r="J44" s="385" t="str">
        <f t="shared" si="57"/>
        <v>N/A</v>
      </c>
      <c r="K44" s="384">
        <f t="shared" si="57"/>
        <v>0</v>
      </c>
      <c r="L44" s="384">
        <f t="shared" si="57"/>
        <v>0</v>
      </c>
      <c r="M44" s="384">
        <f t="shared" si="57"/>
        <v>0</v>
      </c>
      <c r="N44" s="384">
        <f t="shared" si="57"/>
        <v>0</v>
      </c>
      <c r="O44" s="385">
        <f t="shared" si="57"/>
        <v>0</v>
      </c>
      <c r="P44" s="384">
        <f t="shared" si="57"/>
        <v>0</v>
      </c>
      <c r="Q44" s="384">
        <f t="shared" si="57"/>
        <v>0</v>
      </c>
      <c r="R44" s="384">
        <f t="shared" si="57"/>
        <v>0</v>
      </c>
      <c r="S44" s="384">
        <f t="shared" si="57"/>
        <v>0</v>
      </c>
      <c r="T44" s="385">
        <f t="shared" si="57"/>
        <v>0</v>
      </c>
      <c r="U44" s="386" t="str">
        <f t="shared" ref="U44:X44" si="58">IFERROR(U34/U$33,"N/A")</f>
        <v>N/A</v>
      </c>
      <c r="V44" s="386" t="str">
        <f t="shared" si="58"/>
        <v>N/A</v>
      </c>
      <c r="W44" s="386" t="str">
        <f t="shared" si="58"/>
        <v>N/A</v>
      </c>
      <c r="X44" s="386" t="str">
        <f t="shared" si="58"/>
        <v>N/A</v>
      </c>
      <c r="Y44" s="385" t="str">
        <f t="shared" si="57"/>
        <v>N/A</v>
      </c>
      <c r="Z44" s="386" t="str">
        <f t="shared" si="57"/>
        <v>N/A</v>
      </c>
      <c r="AA44" s="386" t="str">
        <f t="shared" si="57"/>
        <v>N/A</v>
      </c>
      <c r="AB44" s="386" t="str">
        <f t="shared" si="57"/>
        <v>N/A</v>
      </c>
      <c r="AC44" s="386" t="str">
        <f t="shared" si="57"/>
        <v>N/A</v>
      </c>
      <c r="AD44" s="385" t="str">
        <f t="shared" si="57"/>
        <v>N/A</v>
      </c>
      <c r="AE44" s="385" t="str">
        <f t="shared" si="57"/>
        <v>N/A</v>
      </c>
      <c r="AF44" s="385" t="str">
        <f t="shared" si="57"/>
        <v>N/A</v>
      </c>
      <c r="AG44" s="385" t="str">
        <f t="shared" si="57"/>
        <v>N/A</v>
      </c>
    </row>
    <row r="45" ht="15.75" customHeight="1" spans="1:33" x14ac:dyDescent="0.25">
      <c r="C45" s="131" t="str">
        <f t="shared" si="56"/>
        <v>Asset Management and Other</v>
      </c>
      <c r="D45" s="8"/>
      <c r="E45" s="8"/>
      <c r="F45" s="384" t="str">
        <f t="shared" ref="F45:AG45" si="59">IFERROR(F35/F$33,"N/A")</f>
        <v>N/A</v>
      </c>
      <c r="G45" s="384" t="str">
        <f t="shared" si="59"/>
        <v>N/A</v>
      </c>
      <c r="H45" s="384" t="str">
        <f t="shared" si="59"/>
        <v>N/A</v>
      </c>
      <c r="I45" s="384" t="str">
        <f t="shared" si="59"/>
        <v>N/A</v>
      </c>
      <c r="J45" s="385" t="str">
        <f t="shared" si="59"/>
        <v>N/A</v>
      </c>
      <c r="K45" s="384">
        <f t="shared" si="59"/>
        <v>0</v>
      </c>
      <c r="L45" s="384">
        <f t="shared" si="59"/>
        <v>0</v>
      </c>
      <c r="M45" s="384">
        <f t="shared" si="59"/>
        <v>0</v>
      </c>
      <c r="N45" s="384">
        <f t="shared" si="59"/>
        <v>0</v>
      </c>
      <c r="O45" s="385">
        <f t="shared" si="59"/>
        <v>0</v>
      </c>
      <c r="P45" s="384">
        <f t="shared" si="59"/>
        <v>0</v>
      </c>
      <c r="Q45" s="384">
        <f t="shared" si="59"/>
        <v>0</v>
      </c>
      <c r="R45" s="384">
        <f t="shared" si="59"/>
        <v>0</v>
      </c>
      <c r="S45" s="384">
        <f t="shared" si="59"/>
        <v>0</v>
      </c>
      <c r="T45" s="385">
        <f t="shared" si="59"/>
        <v>0</v>
      </c>
      <c r="U45" s="386" t="str">
        <f t="shared" ref="U45:X45" si="60">IFERROR(U35/U$33,"N/A")</f>
        <v>N/A</v>
      </c>
      <c r="V45" s="386" t="str">
        <f t="shared" si="60"/>
        <v>N/A</v>
      </c>
      <c r="W45" s="386" t="str">
        <f t="shared" si="60"/>
        <v>N/A</v>
      </c>
      <c r="X45" s="386" t="str">
        <f t="shared" si="60"/>
        <v>N/A</v>
      </c>
      <c r="Y45" s="385" t="str">
        <f t="shared" si="59"/>
        <v>N/A</v>
      </c>
      <c r="Z45" s="386" t="str">
        <f t="shared" si="59"/>
        <v>N/A</v>
      </c>
      <c r="AA45" s="386" t="str">
        <f t="shared" si="59"/>
        <v>N/A</v>
      </c>
      <c r="AB45" s="386" t="str">
        <f t="shared" si="59"/>
        <v>N/A</v>
      </c>
      <c r="AC45" s="386" t="str">
        <f t="shared" si="59"/>
        <v>N/A</v>
      </c>
      <c r="AD45" s="385" t="str">
        <f t="shared" si="59"/>
        <v>N/A</v>
      </c>
      <c r="AE45" s="385" t="str">
        <f t="shared" si="59"/>
        <v>N/A</v>
      </c>
      <c r="AF45" s="385" t="str">
        <f t="shared" si="59"/>
        <v>N/A</v>
      </c>
      <c r="AG45" s="385" t="str">
        <f t="shared" si="59"/>
        <v>N/A</v>
      </c>
    </row>
    <row r="46" ht="15.75" customHeight="1" hidden="1" spans="1:33" x14ac:dyDescent="0.25" outlineLevel="1">
      <c r="C46" s="131">
        <f t="shared" si="56"/>
        <v>0</v>
      </c>
      <c r="D46" s="8"/>
      <c r="E46" s="8"/>
      <c r="F46" s="384" t="str">
        <f t="shared" ref="F46:AG46" si="61">IFERROR(F36/F$33,"N/A")</f>
        <v>N/A</v>
      </c>
      <c r="G46" s="384" t="str">
        <f t="shared" si="61"/>
        <v>N/A</v>
      </c>
      <c r="H46" s="384" t="str">
        <f t="shared" si="61"/>
        <v>N/A</v>
      </c>
      <c r="I46" s="384" t="str">
        <f t="shared" si="61"/>
        <v>N/A</v>
      </c>
      <c r="J46" s="385" t="str">
        <f t="shared" si="61"/>
        <v>N/A</v>
      </c>
      <c r="K46" s="384">
        <f t="shared" si="61"/>
        <v>0.6604938271604939</v>
      </c>
      <c r="L46" s="384">
        <f t="shared" si="61"/>
        <v>0.7744360902255639</v>
      </c>
      <c r="M46" s="384">
        <f t="shared" si="61"/>
        <v>0.9029126213592233</v>
      </c>
      <c r="N46" s="384">
        <f t="shared" si="61"/>
        <v>0.46368715083798884</v>
      </c>
      <c r="O46" s="385">
        <f t="shared" si="61"/>
        <v>0.6689774696707106</v>
      </c>
      <c r="P46" s="384">
        <f t="shared" si="61"/>
        <v>0.3418803418803419</v>
      </c>
      <c r="Q46" s="384">
        <f t="shared" si="61"/>
        <v>0.5466666666666666</v>
      </c>
      <c r="R46" s="384">
        <f t="shared" si="61"/>
        <v>0.8165137614678899</v>
      </c>
      <c r="S46" s="384">
        <f t="shared" si="61"/>
        <v>0.8695652173913043</v>
      </c>
      <c r="T46" s="385">
        <f t="shared" si="61"/>
        <v>0.5773026315789473</v>
      </c>
      <c r="U46" s="386" t="str">
        <f t="shared" ref="U46:X46" si="62">IFERROR(U36/U$33,"N/A")</f>
        <v>N/A</v>
      </c>
      <c r="V46" s="386" t="str">
        <f t="shared" si="62"/>
        <v>N/A</v>
      </c>
      <c r="W46" s="386" t="str">
        <f t="shared" si="62"/>
        <v>N/A</v>
      </c>
      <c r="X46" s="386" t="str">
        <f t="shared" si="62"/>
        <v>N/A</v>
      </c>
      <c r="Y46" s="385" t="str">
        <f t="shared" si="61"/>
        <v>N/A</v>
      </c>
      <c r="Z46" s="386" t="str">
        <f t="shared" si="61"/>
        <v>N/A</v>
      </c>
      <c r="AA46" s="386" t="str">
        <f t="shared" si="61"/>
        <v>N/A</v>
      </c>
      <c r="AB46" s="386" t="str">
        <f t="shared" si="61"/>
        <v>N/A</v>
      </c>
      <c r="AC46" s="386" t="str">
        <f t="shared" si="61"/>
        <v>N/A</v>
      </c>
      <c r="AD46" s="385" t="str">
        <f t="shared" si="61"/>
        <v>N/A</v>
      </c>
      <c r="AE46" s="385" t="str">
        <f t="shared" si="61"/>
        <v>N/A</v>
      </c>
      <c r="AF46" s="385" t="str">
        <f t="shared" si="61"/>
        <v>N/A</v>
      </c>
      <c r="AG46" s="385" t="str">
        <f t="shared" si="61"/>
        <v>N/A</v>
      </c>
    </row>
    <row r="47" ht="15.75" customHeight="1" hidden="1" spans="1:33" x14ac:dyDescent="0.25" outlineLevel="1">
      <c r="C47" s="131">
        <f t="shared" si="56"/>
        <v>0</v>
      </c>
      <c r="D47" s="8"/>
      <c r="E47" s="8"/>
      <c r="F47" s="384" t="str">
        <f t="shared" ref="F47:AG47" si="63">IFERROR(F37/F$33,"N/A")</f>
        <v>N/A</v>
      </c>
      <c r="G47" s="384" t="str">
        <f t="shared" si="63"/>
        <v>N/A</v>
      </c>
      <c r="H47" s="384" t="str">
        <f t="shared" si="63"/>
        <v>N/A</v>
      </c>
      <c r="I47" s="384" t="str">
        <f t="shared" si="63"/>
        <v>N/A</v>
      </c>
      <c r="J47" s="385" t="str">
        <f t="shared" si="63"/>
        <v>N/A</v>
      </c>
      <c r="K47" s="384">
        <f t="shared" si="63"/>
        <v>0.6296296296296297</v>
      </c>
      <c r="L47" s="384">
        <f t="shared" si="63"/>
        <v>0.6240601503759399</v>
      </c>
      <c r="M47" s="384">
        <f t="shared" si="63"/>
        <v>0.7184466019417476</v>
      </c>
      <c r="N47" s="384">
        <f t="shared" si="63"/>
        <v>0.6871508379888268</v>
      </c>
      <c r="O47" s="385">
        <f t="shared" si="63"/>
        <v>0.6620450606585788</v>
      </c>
      <c r="P47" s="384">
        <f t="shared" si="63"/>
        <v>0.5811965811965812</v>
      </c>
      <c r="Q47" s="384">
        <f t="shared" si="63"/>
        <v>0.6066666666666667</v>
      </c>
      <c r="R47" s="384">
        <f t="shared" si="63"/>
        <v>0.6055045871559633</v>
      </c>
      <c r="S47" s="384">
        <f t="shared" si="63"/>
        <v>0.6782608695652174</v>
      </c>
      <c r="T47" s="385">
        <f t="shared" si="63"/>
        <v>0.6101973684210527</v>
      </c>
      <c r="U47" s="386" t="str">
        <f t="shared" ref="U47:X47" si="64">IFERROR(U37/U$33,"N/A")</f>
        <v>N/A</v>
      </c>
      <c r="V47" s="386" t="str">
        <f t="shared" si="64"/>
        <v>N/A</v>
      </c>
      <c r="W47" s="386" t="str">
        <f t="shared" si="64"/>
        <v>N/A</v>
      </c>
      <c r="X47" s="386" t="str">
        <f t="shared" si="64"/>
        <v>N/A</v>
      </c>
      <c r="Y47" s="385" t="str">
        <f t="shared" si="63"/>
        <v>N/A</v>
      </c>
      <c r="Z47" s="386" t="str">
        <f t="shared" si="63"/>
        <v>N/A</v>
      </c>
      <c r="AA47" s="386" t="str">
        <f t="shared" si="63"/>
        <v>N/A</v>
      </c>
      <c r="AB47" s="386" t="str">
        <f t="shared" si="63"/>
        <v>N/A</v>
      </c>
      <c r="AC47" s="386" t="str">
        <f t="shared" si="63"/>
        <v>N/A</v>
      </c>
      <c r="AD47" s="385" t="str">
        <f t="shared" si="63"/>
        <v>N/A</v>
      </c>
      <c r="AE47" s="385" t="str">
        <f t="shared" si="63"/>
        <v>N/A</v>
      </c>
      <c r="AF47" s="385" t="str">
        <f t="shared" si="63"/>
        <v>N/A</v>
      </c>
      <c r="AG47" s="385" t="str">
        <f t="shared" si="63"/>
        <v>N/A</v>
      </c>
    </row>
    <row r="48" ht="15.75" customHeight="1" hidden="1" spans="1:33" x14ac:dyDescent="0.25" outlineLevel="1">
      <c r="C48" s="131">
        <f t="shared" si="56"/>
        <v>0</v>
      </c>
      <c r="D48" s="8"/>
      <c r="E48" s="8"/>
      <c r="F48" s="384" t="str">
        <f t="shared" ref="F48:AG48" si="65">IFERROR(F38/F$33,"N/A")</f>
        <v>N/A</v>
      </c>
      <c r="G48" s="384" t="str">
        <f t="shared" si="65"/>
        <v>N/A</v>
      </c>
      <c r="H48" s="384" t="str">
        <f t="shared" si="65"/>
        <v>N/A</v>
      </c>
      <c r="I48" s="384" t="str">
        <f t="shared" si="65"/>
        <v>N/A</v>
      </c>
      <c r="J48" s="385" t="str">
        <f t="shared" si="65"/>
        <v>N/A</v>
      </c>
      <c r="K48" s="384">
        <f t="shared" si="65"/>
        <v>-0.29012345679012347</v>
      </c>
      <c r="L48" s="384">
        <f t="shared" si="65"/>
        <v>-0.39849624060150374</v>
      </c>
      <c r="M48" s="384">
        <f t="shared" si="65"/>
        <v>-0.6213592233009708</v>
      </c>
      <c r="N48" s="384">
        <f t="shared" si="65"/>
        <v>-0.15083798882681565</v>
      </c>
      <c r="O48" s="385">
        <f t="shared" si="65"/>
        <v>-0.3310225303292894</v>
      </c>
      <c r="P48" s="384">
        <f t="shared" si="65"/>
        <v>0.07692307692307693</v>
      </c>
      <c r="Q48" s="384">
        <f t="shared" si="65"/>
        <v>-0.15333333333333332</v>
      </c>
      <c r="R48" s="384">
        <f t="shared" si="65"/>
        <v>-0.42201834862385323</v>
      </c>
      <c r="S48" s="384">
        <f t="shared" si="65"/>
        <v>-0.5478260869565217</v>
      </c>
      <c r="T48" s="385">
        <f t="shared" si="65"/>
        <v>-0.1875</v>
      </c>
      <c r="U48" s="386" t="str">
        <f t="shared" ref="U48:X48" si="66">IFERROR(U38/U$33,"N/A")</f>
        <v>N/A</v>
      </c>
      <c r="V48" s="386" t="str">
        <f t="shared" si="66"/>
        <v>N/A</v>
      </c>
      <c r="W48" s="386" t="str">
        <f t="shared" si="66"/>
        <v>N/A</v>
      </c>
      <c r="X48" s="386" t="str">
        <f t="shared" si="66"/>
        <v>N/A</v>
      </c>
      <c r="Y48" s="385" t="str">
        <f t="shared" si="65"/>
        <v>N/A</v>
      </c>
      <c r="Z48" s="386" t="str">
        <f t="shared" si="65"/>
        <v>N/A</v>
      </c>
      <c r="AA48" s="386" t="str">
        <f t="shared" si="65"/>
        <v>N/A</v>
      </c>
      <c r="AB48" s="386" t="str">
        <f t="shared" si="65"/>
        <v>N/A</v>
      </c>
      <c r="AC48" s="386" t="str">
        <f t="shared" si="65"/>
        <v>N/A</v>
      </c>
      <c r="AD48" s="385" t="str">
        <f t="shared" si="65"/>
        <v>N/A</v>
      </c>
      <c r="AE48" s="385" t="str">
        <f t="shared" si="65"/>
        <v>N/A</v>
      </c>
      <c r="AF48" s="385" t="str">
        <f t="shared" si="65"/>
        <v>N/A</v>
      </c>
      <c r="AG48" s="385" t="str">
        <f t="shared" si="65"/>
        <v>N/A</v>
      </c>
    </row>
    <row r="49" ht="15.75" customHeight="1" hidden="1" spans="1:33" x14ac:dyDescent="0.25" outlineLevel="1">
      <c r="C49" s="131">
        <f t="shared" si="56"/>
        <v>0</v>
      </c>
      <c r="D49" s="8"/>
      <c r="E49" s="8"/>
      <c r="F49" s="384" t="str">
        <f t="shared" ref="F49:AG49" si="67">IFERROR(F39/F$33,"N/A")</f>
        <v>N/A</v>
      </c>
      <c r="G49" s="384" t="str">
        <f t="shared" si="67"/>
        <v>N/A</v>
      </c>
      <c r="H49" s="384" t="str">
        <f t="shared" si="67"/>
        <v>N/A</v>
      </c>
      <c r="I49" s="384" t="str">
        <f t="shared" si="67"/>
        <v>N/A</v>
      </c>
      <c r="J49" s="385" t="str">
        <f t="shared" si="67"/>
        <v>N/A</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t="str">
        <f t="shared" ref="U49:X49" si="68">IFERROR(U39/U$33,"N/A")</f>
        <v>N/A</v>
      </c>
      <c r="V49" s="386" t="str">
        <f t="shared" si="68"/>
        <v>N/A</v>
      </c>
      <c r="W49" s="386" t="str">
        <f t="shared" si="68"/>
        <v>N/A</v>
      </c>
      <c r="X49" s="386" t="str">
        <f t="shared" si="68"/>
        <v>N/A</v>
      </c>
      <c r="Y49" s="385" t="str">
        <f t="shared" si="67"/>
        <v>N/A</v>
      </c>
      <c r="Z49" s="386" t="str">
        <f t="shared" si="67"/>
        <v>N/A</v>
      </c>
      <c r="AA49" s="386" t="str">
        <f t="shared" si="67"/>
        <v>N/A</v>
      </c>
      <c r="AB49" s="386" t="str">
        <f t="shared" si="67"/>
        <v>N/A</v>
      </c>
      <c r="AC49" s="386" t="str">
        <f t="shared" si="67"/>
        <v>N/A</v>
      </c>
      <c r="AD49" s="385" t="str">
        <f t="shared" si="67"/>
        <v>N/A</v>
      </c>
      <c r="AE49" s="385" t="str">
        <f t="shared" si="67"/>
        <v>N/A</v>
      </c>
      <c r="AF49" s="385" t="str">
        <f t="shared" si="67"/>
        <v>N/A</v>
      </c>
      <c r="AG49" s="385" t="str">
        <f t="shared" si="67"/>
        <v>N/A</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3" t="s">
        <v>446</v>
      </c>
      <c r="D51" s="8"/>
      <c r="E51" s="8"/>
      <c r="F51" s="311">
        <f t="shared" ref="F51:T51" si="69">SUM(F52:F57)</f>
        <v>0</v>
      </c>
      <c r="G51" s="311">
        <f t="shared" si="69"/>
        <v>64</v>
      </c>
      <c r="H51" s="311">
        <f t="shared" si="69"/>
        <v>33</v>
      </c>
      <c r="I51" s="311">
        <f t="shared" si="69"/>
        <v>37</v>
      </c>
      <c r="J51" s="284">
        <f t="shared" si="69"/>
        <v>134</v>
      </c>
      <c r="K51" s="311">
        <f t="shared" si="69"/>
        <v>0</v>
      </c>
      <c r="L51" s="311">
        <f t="shared" si="69"/>
        <v>69</v>
      </c>
      <c r="M51" s="311">
        <f t="shared" si="69"/>
        <v>36</v>
      </c>
      <c r="N51" s="311">
        <f t="shared" si="69"/>
        <v>40</v>
      </c>
      <c r="O51" s="284">
        <f t="shared" si="69"/>
        <v>145</v>
      </c>
      <c r="P51" s="311">
        <f t="shared" si="69"/>
        <v>0</v>
      </c>
      <c r="Q51" s="311">
        <f t="shared" si="69"/>
        <v>81</v>
      </c>
      <c r="R51" s="311">
        <f t="shared" si="69"/>
        <v>42</v>
      </c>
      <c r="S51" s="311">
        <f t="shared" si="69"/>
        <v>132.8</v>
      </c>
      <c r="T51" s="284">
        <f t="shared" si="69"/>
        <v>165</v>
      </c>
      <c r="U51" s="510">
        <f>Model!U76</f>
        <v>0</v>
      </c>
      <c r="V51" s="510">
        <f>Model!V76</f>
        <v>0</v>
      </c>
      <c r="W51" s="510">
        <f>Model!W76</f>
        <v>0</v>
      </c>
      <c r="X51" s="510">
        <f>Model!X76</f>
        <v>0</v>
      </c>
      <c r="Y51" s="284">
        <f>SUM(Y52:Y57)</f>
        <v>0</v>
      </c>
      <c r="Z51" s="510">
        <f>Model!Z76</f>
        <v>0</v>
      </c>
      <c r="AA51" s="510">
        <f>Model!AA76</f>
        <v>0</v>
      </c>
      <c r="AB51" s="510">
        <f>Model!AB76</f>
        <v>0</v>
      </c>
      <c r="AC51" s="510">
        <f>Model!AC76</f>
        <v>0</v>
      </c>
      <c r="AD51" s="284">
        <f>SUM(AD52:AD57)</f>
        <v>0</v>
      </c>
      <c r="AE51" s="282">
        <f>Model!AE76</f>
        <v>0</v>
      </c>
      <c r="AF51" s="282">
        <f>Model!AF76</f>
        <v>0</v>
      </c>
      <c r="AG51" s="282">
        <f>Model!AG76</f>
        <v>0</v>
      </c>
    </row>
    <row r="52" ht="15.75" customHeight="1" hidden="1" spans="1:33" x14ac:dyDescent="0.25">
      <c r="C52" s="458" t="str">
        <f t="shared" ref="C52:C57" si="70">C16&amp;" D&amp;A"</f>
        <v>Investment Banking &amp; Capital Markets D&amp;A</v>
      </c>
      <c r="D52" s="8"/>
      <c r="E52" s="8"/>
      <c r="F52" s="499">
        <v>0</v>
      </c>
      <c r="G52" s="499">
        <f>64-F52</f>
        <v>64</v>
      </c>
      <c r="H52" s="499">
        <f>97-SUM(F52:G52)</f>
        <v>33</v>
      </c>
      <c r="I52" s="499">
        <f>134-SUM(F52:H52)</f>
        <v>37</v>
      </c>
      <c r="J52" s="511">
        <f t="shared" ref="J52:J57" si="71">SUM(F52:I52)</f>
        <v>134</v>
      </c>
      <c r="K52" s="499">
        <v>0</v>
      </c>
      <c r="L52" s="499">
        <f>69-SUM(K52)</f>
        <v>69</v>
      </c>
      <c r="M52" s="499">
        <f>105-SUM(K52:L52)</f>
        <v>36</v>
      </c>
      <c r="N52" s="499">
        <f>145-SUM(K52:M52)</f>
        <v>40</v>
      </c>
      <c r="O52" s="511">
        <f t="shared" ref="O52:O57" si="72">SUM(K52:N52)</f>
        <v>145</v>
      </c>
      <c r="P52" s="499">
        <v>0</v>
      </c>
      <c r="Q52" s="499">
        <f>81-P52</f>
        <v>81</v>
      </c>
      <c r="R52" s="499">
        <f>123-SUM(P52:Q52)</f>
        <v>42</v>
      </c>
      <c r="S52" s="499">
        <f>165-SUM(P52:R52)</f>
        <v>42</v>
      </c>
      <c r="T52" s="511">
        <f t="shared" ref="T52:T57" si="73">SUM(P52:S52)</f>
        <v>165</v>
      </c>
      <c r="U52" s="512">
        <f t="shared" ref="U52:X52" si="74">U62*U$51</f>
        <v>0</v>
      </c>
      <c r="V52" s="512">
        <f t="shared" si="74"/>
        <v>0</v>
      </c>
      <c r="W52" s="512">
        <f t="shared" si="74"/>
        <v>0</v>
      </c>
      <c r="X52" s="512">
        <f t="shared" si="74"/>
        <v>0</v>
      </c>
      <c r="Y52" s="492">
        <f t="shared" ref="Y52:Y57" si="75">SUM(U52:X52)</f>
        <v>0</v>
      </c>
      <c r="Z52" s="512">
        <f t="shared" ref="Z52:AC52" si="76">Z62*Z$51</f>
        <v>0</v>
      </c>
      <c r="AA52" s="512">
        <f t="shared" si="76"/>
        <v>0</v>
      </c>
      <c r="AB52" s="512">
        <f t="shared" si="76"/>
        <v>0</v>
      </c>
      <c r="AC52" s="512">
        <f t="shared" si="76"/>
        <v>0</v>
      </c>
      <c r="AD52" s="492">
        <f t="shared" ref="AD52:AD57" si="77">SUM(Z52:AC52)</f>
        <v>0</v>
      </c>
      <c r="AE52" s="492">
        <f t="shared" ref="AE52:AG52" si="78">AE62*AE$51</f>
        <v>0</v>
      </c>
      <c r="AF52" s="492">
        <f t="shared" si="78"/>
        <v>0</v>
      </c>
      <c r="AG52" s="492">
        <f t="shared" si="78"/>
        <v>0</v>
      </c>
    </row>
    <row r="53" ht="15.75" customHeight="1" hidden="1" spans="1:33" x14ac:dyDescent="0.25">
      <c r="C53" s="458" t="str">
        <f t="shared" si="70"/>
        <v>Asset Management and Other D&amp;A</v>
      </c>
      <c r="D53" s="8"/>
      <c r="E53" s="8"/>
      <c r="F53" s="499">
        <v>0</v>
      </c>
      <c r="G53" s="499">
        <v>0</v>
      </c>
      <c r="H53" s="499">
        <v>0</v>
      </c>
      <c r="I53" s="499">
        <v>0</v>
      </c>
      <c r="J53" s="511">
        <f t="shared" si="71"/>
        <v>0</v>
      </c>
      <c r="K53" s="499">
        <v>0</v>
      </c>
      <c r="L53" s="499">
        <v>0</v>
      </c>
      <c r="M53" s="499">
        <v>0</v>
      </c>
      <c r="N53" s="499">
        <v>0</v>
      </c>
      <c r="O53" s="511">
        <f t="shared" si="72"/>
        <v>0</v>
      </c>
      <c r="P53" s="499">
        <v>0</v>
      </c>
      <c r="Q53" s="499">
        <v>0</v>
      </c>
      <c r="R53" s="499">
        <v>0</v>
      </c>
      <c r="S53" s="499">
        <v>90.8</v>
      </c>
      <c r="T53" s="511">
        <f t="shared" si="73"/>
        <v>0</v>
      </c>
      <c r="U53" s="512">
        <f t="shared" ref="U53:X53" si="79">U63*U$51</f>
        <v>0</v>
      </c>
      <c r="V53" s="512">
        <f t="shared" si="79"/>
        <v>0</v>
      </c>
      <c r="W53" s="512">
        <f t="shared" si="79"/>
        <v>0</v>
      </c>
      <c r="X53" s="512">
        <f t="shared" si="79"/>
        <v>0</v>
      </c>
      <c r="Y53" s="492">
        <f t="shared" si="75"/>
        <v>0</v>
      </c>
      <c r="Z53" s="512">
        <f t="shared" ref="Z53:AC53" si="80">Z63*Z$51</f>
        <v>0</v>
      </c>
      <c r="AA53" s="512">
        <f t="shared" si="80"/>
        <v>0</v>
      </c>
      <c r="AB53" s="512">
        <f t="shared" si="80"/>
        <v>0</v>
      </c>
      <c r="AC53" s="512">
        <f t="shared" si="80"/>
        <v>0</v>
      </c>
      <c r="AD53" s="492">
        <f t="shared" si="77"/>
        <v>0</v>
      </c>
      <c r="AE53" s="492">
        <f t="shared" ref="AE53:AG53" si="81">AE63*AE$51</f>
        <v>0</v>
      </c>
      <c r="AF53" s="492">
        <f t="shared" si="81"/>
        <v>0</v>
      </c>
      <c r="AG53" s="492">
        <f t="shared" si="81"/>
        <v>0</v>
      </c>
    </row>
    <row r="54" ht="15.75" customHeight="1" hidden="1" spans="1:33" x14ac:dyDescent="0.25" outlineLevel="1">
      <c r="C54" s="131" t="str">
        <f t="shared" si="70"/>
        <v> D&amp;A</v>
      </c>
      <c r="D54" s="8"/>
      <c r="E54" s="8"/>
      <c r="F54" s="499">
        <v>0</v>
      </c>
      <c r="G54" s="499">
        <v>0</v>
      </c>
      <c r="H54" s="499">
        <v>0</v>
      </c>
      <c r="I54" s="499">
        <v>0</v>
      </c>
      <c r="J54" s="511">
        <f t="shared" si="71"/>
        <v>0</v>
      </c>
      <c r="K54" s="499">
        <v>0</v>
      </c>
      <c r="L54" s="499">
        <v>0</v>
      </c>
      <c r="M54" s="499">
        <v>0</v>
      </c>
      <c r="N54" s="499">
        <v>0</v>
      </c>
      <c r="O54" s="511">
        <f t="shared" si="72"/>
        <v>0</v>
      </c>
      <c r="P54" s="499">
        <v>0</v>
      </c>
      <c r="Q54" s="499">
        <v>0</v>
      </c>
      <c r="R54" s="499">
        <v>0</v>
      </c>
      <c r="S54" s="499">
        <v>0</v>
      </c>
      <c r="T54" s="511">
        <f t="shared" si="73"/>
        <v>0</v>
      </c>
      <c r="U54" s="512">
        <f t="shared" ref="U54:X54" si="82">U64*U$51</f>
        <v>0</v>
      </c>
      <c r="V54" s="512">
        <f t="shared" si="82"/>
        <v>0</v>
      </c>
      <c r="W54" s="512">
        <f t="shared" si="82"/>
        <v>0</v>
      </c>
      <c r="X54" s="512">
        <f t="shared" si="82"/>
        <v>0</v>
      </c>
      <c r="Y54" s="492">
        <f t="shared" si="75"/>
        <v>0</v>
      </c>
      <c r="Z54" s="512">
        <f t="shared" ref="Z54:AC54" si="83">Z64*Z$51</f>
        <v>0</v>
      </c>
      <c r="AA54" s="512">
        <f t="shared" si="83"/>
        <v>0</v>
      </c>
      <c r="AB54" s="512">
        <f t="shared" si="83"/>
        <v>0</v>
      </c>
      <c r="AC54" s="512">
        <f t="shared" si="83"/>
        <v>0</v>
      </c>
      <c r="AD54" s="492">
        <f t="shared" si="77"/>
        <v>0</v>
      </c>
      <c r="AE54" s="492">
        <f t="shared" ref="AE54:AG54" si="84">AE64*AE$51</f>
        <v>0</v>
      </c>
      <c r="AF54" s="492">
        <f t="shared" si="84"/>
        <v>0</v>
      </c>
      <c r="AG54" s="492">
        <f t="shared" si="84"/>
        <v>0</v>
      </c>
    </row>
    <row r="55" ht="15.75" customHeight="1" hidden="1" spans="1:33" x14ac:dyDescent="0.25" outlineLevel="1">
      <c r="C55" s="131" t="str">
        <f t="shared" si="70"/>
        <v> D&amp;A</v>
      </c>
      <c r="D55" s="8"/>
      <c r="E55" s="8"/>
      <c r="F55" s="499">
        <v>0</v>
      </c>
      <c r="G55" s="499">
        <v>0</v>
      </c>
      <c r="H55" s="499">
        <v>0</v>
      </c>
      <c r="I55" s="499">
        <v>0</v>
      </c>
      <c r="J55" s="511">
        <f t="shared" si="71"/>
        <v>0</v>
      </c>
      <c r="K55" s="499">
        <v>0</v>
      </c>
      <c r="L55" s="499">
        <v>0</v>
      </c>
      <c r="M55" s="499">
        <v>0</v>
      </c>
      <c r="N55" s="499">
        <v>0</v>
      </c>
      <c r="O55" s="511">
        <f t="shared" si="72"/>
        <v>0</v>
      </c>
      <c r="P55" s="499">
        <v>0</v>
      </c>
      <c r="Q55" s="499">
        <v>0</v>
      </c>
      <c r="R55" s="499">
        <v>0</v>
      </c>
      <c r="S55" s="499">
        <v>0</v>
      </c>
      <c r="T55" s="511">
        <f t="shared" si="73"/>
        <v>0</v>
      </c>
      <c r="U55" s="512">
        <f t="shared" ref="U55:X55" si="85">U65*U$51</f>
        <v>0</v>
      </c>
      <c r="V55" s="512">
        <f t="shared" si="85"/>
        <v>0</v>
      </c>
      <c r="W55" s="512">
        <f t="shared" si="85"/>
        <v>0</v>
      </c>
      <c r="X55" s="512">
        <f t="shared" si="85"/>
        <v>0</v>
      </c>
      <c r="Y55" s="492">
        <f t="shared" si="75"/>
        <v>0</v>
      </c>
      <c r="Z55" s="512">
        <f t="shared" ref="Z55:AC55" si="86">Z65*Z$51</f>
        <v>0</v>
      </c>
      <c r="AA55" s="512">
        <f t="shared" si="86"/>
        <v>0</v>
      </c>
      <c r="AB55" s="512">
        <f t="shared" si="86"/>
        <v>0</v>
      </c>
      <c r="AC55" s="512">
        <f t="shared" si="86"/>
        <v>0</v>
      </c>
      <c r="AD55" s="492">
        <f t="shared" si="77"/>
        <v>0</v>
      </c>
      <c r="AE55" s="492">
        <f t="shared" ref="AE55:AG55" si="87">AE65*AE$51</f>
        <v>0</v>
      </c>
      <c r="AF55" s="492">
        <f t="shared" si="87"/>
        <v>0</v>
      </c>
      <c r="AG55" s="492">
        <f t="shared" si="87"/>
        <v>0</v>
      </c>
    </row>
    <row r="56" ht="15.75" customHeight="1" hidden="1" spans="1:33" x14ac:dyDescent="0.25" outlineLevel="2" collapsed="1">
      <c r="C56" s="131" t="str">
        <f t="shared" si="70"/>
        <v> D&amp;A</v>
      </c>
      <c r="D56" s="8"/>
      <c r="E56" s="8"/>
      <c r="F56" s="499">
        <v>0</v>
      </c>
      <c r="G56" s="499">
        <v>0</v>
      </c>
      <c r="H56" s="499">
        <v>0</v>
      </c>
      <c r="I56" s="499">
        <v>0</v>
      </c>
      <c r="J56" s="511">
        <f t="shared" si="71"/>
        <v>0</v>
      </c>
      <c r="K56" s="499">
        <v>0</v>
      </c>
      <c r="L56" s="499">
        <v>0</v>
      </c>
      <c r="M56" s="499">
        <v>0</v>
      </c>
      <c r="N56" s="499">
        <v>0</v>
      </c>
      <c r="O56" s="511">
        <f t="shared" si="72"/>
        <v>0</v>
      </c>
      <c r="P56" s="499">
        <v>0</v>
      </c>
      <c r="Q56" s="499">
        <v>0</v>
      </c>
      <c r="R56" s="499">
        <v>0</v>
      </c>
      <c r="S56" s="499">
        <v>0</v>
      </c>
      <c r="T56" s="511">
        <f t="shared" si="73"/>
        <v>0</v>
      </c>
      <c r="U56" s="512">
        <f t="shared" ref="U56:X56" si="88">U66*U$51</f>
        <v>0</v>
      </c>
      <c r="V56" s="512">
        <f t="shared" si="88"/>
        <v>0</v>
      </c>
      <c r="W56" s="512">
        <f t="shared" si="88"/>
        <v>0</v>
      </c>
      <c r="X56" s="512">
        <f t="shared" si="88"/>
        <v>0</v>
      </c>
      <c r="Y56" s="492">
        <f t="shared" si="75"/>
        <v>0</v>
      </c>
      <c r="Z56" s="512">
        <f t="shared" ref="Z56:AC56" si="89">Z66*Z$51</f>
        <v>0</v>
      </c>
      <c r="AA56" s="512">
        <f t="shared" si="89"/>
        <v>0</v>
      </c>
      <c r="AB56" s="512">
        <f t="shared" si="89"/>
        <v>0</v>
      </c>
      <c r="AC56" s="512">
        <f t="shared" si="89"/>
        <v>0</v>
      </c>
      <c r="AD56" s="492">
        <f t="shared" si="77"/>
        <v>0</v>
      </c>
      <c r="AE56" s="492">
        <f t="shared" ref="AE56:AG56" si="90">AE66*AE$51</f>
        <v>0</v>
      </c>
      <c r="AF56" s="492">
        <f t="shared" si="90"/>
        <v>0</v>
      </c>
      <c r="AG56" s="492">
        <f t="shared" si="90"/>
        <v>0</v>
      </c>
    </row>
    <row r="57" ht="15.75" customHeight="1" hidden="1" spans="1:33" x14ac:dyDescent="0.25" outlineLevel="2" collapsed="1">
      <c r="C57" s="131" t="str">
        <f t="shared" si="70"/>
        <v> D&amp;A</v>
      </c>
      <c r="D57" s="8"/>
      <c r="E57" s="8"/>
      <c r="F57" s="499">
        <v>0</v>
      </c>
      <c r="G57" s="499">
        <v>0</v>
      </c>
      <c r="H57" s="499">
        <v>0</v>
      </c>
      <c r="I57" s="499">
        <v>0</v>
      </c>
      <c r="J57" s="511">
        <f t="shared" si="71"/>
        <v>0</v>
      </c>
      <c r="K57" s="499">
        <v>0</v>
      </c>
      <c r="L57" s="499">
        <v>0</v>
      </c>
      <c r="M57" s="499">
        <v>0</v>
      </c>
      <c r="N57" s="499">
        <v>0</v>
      </c>
      <c r="O57" s="511">
        <f t="shared" si="72"/>
        <v>0</v>
      </c>
      <c r="P57" s="499">
        <v>0</v>
      </c>
      <c r="Q57" s="499">
        <v>0</v>
      </c>
      <c r="R57" s="499">
        <v>0</v>
      </c>
      <c r="S57" s="499">
        <v>0</v>
      </c>
      <c r="T57" s="511">
        <f t="shared" si="73"/>
        <v>0</v>
      </c>
      <c r="U57" s="512">
        <f t="shared" ref="U57:X57" si="91">U67*U$51</f>
        <v>0</v>
      </c>
      <c r="V57" s="512">
        <f t="shared" si="91"/>
        <v>0</v>
      </c>
      <c r="W57" s="512">
        <f t="shared" si="91"/>
        <v>0</v>
      </c>
      <c r="X57" s="512">
        <f t="shared" si="91"/>
        <v>0</v>
      </c>
      <c r="Y57" s="492">
        <f t="shared" si="75"/>
        <v>0</v>
      </c>
      <c r="Z57" s="512">
        <f t="shared" ref="Z57:AC57" si="92">Z67*Z$51</f>
        <v>0</v>
      </c>
      <c r="AA57" s="512">
        <f t="shared" si="92"/>
        <v>0</v>
      </c>
      <c r="AB57" s="512">
        <f t="shared" si="92"/>
        <v>0</v>
      </c>
      <c r="AC57" s="512">
        <f t="shared" si="92"/>
        <v>0</v>
      </c>
      <c r="AD57" s="492">
        <f t="shared" si="77"/>
        <v>0</v>
      </c>
      <c r="AE57" s="492">
        <f t="shared" ref="AE57:AG57" si="93">AE67*AE$51</f>
        <v>0</v>
      </c>
      <c r="AF57" s="492">
        <f t="shared" si="93"/>
        <v>0</v>
      </c>
      <c r="AG57" s="492">
        <f t="shared" si="93"/>
        <v>0</v>
      </c>
    </row>
    <row r="58" ht="15.75" customHeight="1" hidden="1" spans="1:33" x14ac:dyDescent="0.25">
      <c r="C58" s="131"/>
      <c r="D58" s="8"/>
      <c r="E58" s="8"/>
      <c r="F58" s="495"/>
      <c r="G58" s="495"/>
      <c r="H58" s="495"/>
      <c r="I58" s="495"/>
      <c r="J58" s="501"/>
      <c r="K58" s="495"/>
      <c r="L58" s="495"/>
      <c r="M58" s="495"/>
      <c r="N58" s="495"/>
      <c r="O58" s="492"/>
      <c r="P58" s="495"/>
      <c r="Q58" s="495"/>
      <c r="R58" s="495"/>
      <c r="S58" s="507"/>
      <c r="T58" s="385"/>
      <c r="U58" s="509"/>
      <c r="V58" s="509"/>
      <c r="W58" s="509"/>
      <c r="X58" s="386"/>
      <c r="Y58" s="492"/>
      <c r="Z58" s="509"/>
      <c r="AA58" s="509"/>
      <c r="AB58" s="509"/>
      <c r="AC58" s="386"/>
      <c r="AD58" s="385"/>
      <c r="AE58" s="385"/>
      <c r="AF58" s="385"/>
      <c r="AG58" s="385"/>
    </row>
    <row r="59" ht="15.75" customHeight="1" hidden="1" spans="1:33" x14ac:dyDescent="0.25">
      <c r="C59" s="111" t="s">
        <v>447</v>
      </c>
      <c r="D59" s="8"/>
      <c r="E59" s="8"/>
      <c r="F59" s="513">
        <f>F51-Model!F60</f>
        <v>0</v>
      </c>
      <c r="G59" s="513">
        <f>G51-Model!G60</f>
        <v>64</v>
      </c>
      <c r="H59" s="513">
        <f>H51-Model!H60</f>
        <v>33</v>
      </c>
      <c r="I59" s="513">
        <f>I51-Model!I60</f>
        <v>37</v>
      </c>
      <c r="J59" s="508">
        <f>J51-Model!J60</f>
        <v>134</v>
      </c>
      <c r="K59" s="513">
        <f>K51-Model!K60</f>
        <v>0</v>
      </c>
      <c r="L59" s="513">
        <f>L51-Model!L60</f>
        <v>69</v>
      </c>
      <c r="M59" s="513">
        <f>M51-Model!M60</f>
        <v>36</v>
      </c>
      <c r="N59" s="513">
        <f>N51-Model!N60</f>
        <v>40</v>
      </c>
      <c r="O59" s="508">
        <f>O51-Model!O60</f>
        <v>145</v>
      </c>
      <c r="P59" s="513">
        <f>P51-Model!P60</f>
        <v>-30.988</v>
      </c>
      <c r="Q59" s="513">
        <f>Q51-Model!Q60</f>
        <v>28.747</v>
      </c>
      <c r="R59" s="513">
        <f>R51-Model!R60</f>
        <v>-11.229999999999997</v>
      </c>
      <c r="S59" s="513">
        <f>S51-Model!S60</f>
        <v>76.99000000000001</v>
      </c>
      <c r="T59" s="508">
        <f>T51-Model!T60</f>
        <v>-27.281000000000006</v>
      </c>
      <c r="U59" s="514">
        <f t="shared" ref="U59:X59" si="94">U51-SUM(U52:U57)</f>
        <v>0</v>
      </c>
      <c r="V59" s="514">
        <f t="shared" si="94"/>
        <v>0</v>
      </c>
      <c r="W59" s="514">
        <f t="shared" si="94"/>
        <v>0</v>
      </c>
      <c r="X59" s="514">
        <f t="shared" si="94"/>
        <v>0</v>
      </c>
      <c r="Y59" s="508">
        <f t="shared" ref="Y59:AG59" si="95">Y51-SUM(Y52:Y57)</f>
        <v>0</v>
      </c>
      <c r="Z59" s="514">
        <f t="shared" si="95"/>
        <v>0</v>
      </c>
      <c r="AA59" s="514">
        <f t="shared" si="95"/>
        <v>0</v>
      </c>
      <c r="AB59" s="514">
        <f t="shared" si="95"/>
        <v>0</v>
      </c>
      <c r="AC59" s="514">
        <f t="shared" si="95"/>
        <v>0</v>
      </c>
      <c r="AD59" s="508">
        <f t="shared" si="95"/>
        <v>0</v>
      </c>
      <c r="AE59" s="508">
        <f t="shared" si="95"/>
        <v>0</v>
      </c>
      <c r="AF59" s="508">
        <f t="shared" si="95"/>
        <v>0</v>
      </c>
      <c r="AG59" s="508">
        <f t="shared" si="95"/>
        <v>0</v>
      </c>
    </row>
    <row r="60" ht="15.75" customHeight="1" hidden="1" spans="1:33" x14ac:dyDescent="0.25">
      <c r="C60" s="131"/>
      <c r="D60" s="8"/>
      <c r="E60" s="8"/>
      <c r="F60" s="495"/>
      <c r="G60" s="495"/>
      <c r="H60" s="495"/>
      <c r="I60" s="495"/>
      <c r="J60" s="501"/>
      <c r="K60" s="495"/>
      <c r="L60" s="495"/>
      <c r="M60" s="495"/>
      <c r="N60" s="495"/>
      <c r="O60" s="492"/>
      <c r="P60" s="495"/>
      <c r="Q60" s="495"/>
      <c r="R60" s="495"/>
      <c r="S60" s="507"/>
      <c r="T60" s="385"/>
      <c r="U60" s="509"/>
      <c r="V60" s="509"/>
      <c r="W60" s="509"/>
      <c r="X60" s="386"/>
      <c r="Y60" s="492"/>
      <c r="Z60" s="509"/>
      <c r="AA60" s="509"/>
      <c r="AB60" s="509"/>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5"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6" t="e">
        <f t="shared" ref="Y62:Y67" si="98">Y52/Y$51</f>
        <v>#DIV/0!</v>
      </c>
      <c r="Z62" s="387">
        <f>Drivers!Z78</f>
        <v>1</v>
      </c>
      <c r="AA62" s="387">
        <f>Drivers!AA78</f>
        <v>1</v>
      </c>
      <c r="AB62" s="387">
        <f>Drivers!AB78</f>
        <v>1</v>
      </c>
      <c r="AC62" s="387">
        <f>Drivers!AC78</f>
        <v>1</v>
      </c>
      <c r="AD62" s="516" t="e">
        <f t="shared" ref="AD62:AD67" si="99">AD52/AD$51</f>
        <v>#DIV/0!</v>
      </c>
      <c r="AE62" s="388">
        <f>Drivers!AE78</f>
        <v>1</v>
      </c>
      <c r="AF62" s="388">
        <f>Drivers!AF78</f>
        <v>1</v>
      </c>
      <c r="AG62" s="388">
        <f>Drivers!AG78</f>
        <v>1</v>
      </c>
    </row>
    <row r="63" ht="15.75" customHeight="1" hidden="1" spans="1:33" x14ac:dyDescent="0.25">
      <c r="C63" s="515"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6" t="e">
        <f t="shared" si="98"/>
        <v>#DIV/0!</v>
      </c>
      <c r="Z63" s="387">
        <f>Drivers!Z79</f>
        <v>0</v>
      </c>
      <c r="AA63" s="387">
        <f>Drivers!AA79</f>
        <v>0</v>
      </c>
      <c r="AB63" s="387">
        <f>Drivers!AB79</f>
        <v>0</v>
      </c>
      <c r="AC63" s="387">
        <f>Drivers!AC79</f>
        <v>0</v>
      </c>
      <c r="AD63" s="516" t="e">
        <f t="shared" si="99"/>
        <v>#DIV/0!</v>
      </c>
      <c r="AE63" s="388">
        <f>Drivers!AE79</f>
        <v>0</v>
      </c>
      <c r="AF63" s="388">
        <f>Drivers!AF79</f>
        <v>0</v>
      </c>
      <c r="AG63" s="388">
        <f>Drivers!AG79</f>
        <v>0</v>
      </c>
    </row>
    <row r="64" ht="15.75" customHeight="1" hidden="1" spans="1:33" x14ac:dyDescent="0.25" outlineLevel="1">
      <c r="C64" s="515">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6" t="e">
        <f t="shared" si="98"/>
        <v>#DIV/0!</v>
      </c>
      <c r="Z64" s="387">
        <f>Drivers!Z80</f>
        <v>0</v>
      </c>
      <c r="AA64" s="387">
        <f>Drivers!AA80</f>
        <v>0</v>
      </c>
      <c r="AB64" s="387">
        <f>Drivers!AB80</f>
        <v>0</v>
      </c>
      <c r="AC64" s="387">
        <f>Drivers!AC80</f>
        <v>0</v>
      </c>
      <c r="AD64" s="516" t="e">
        <f t="shared" si="99"/>
        <v>#DIV/0!</v>
      </c>
      <c r="AE64" s="388">
        <f>Drivers!AE80</f>
        <v>0</v>
      </c>
      <c r="AF64" s="388">
        <f>Drivers!AF80</f>
        <v>0</v>
      </c>
      <c r="AG64" s="388">
        <f>Drivers!AG80</f>
        <v>0</v>
      </c>
    </row>
    <row r="65" ht="15.75" customHeight="1" hidden="1" spans="1:33" x14ac:dyDescent="0.25" outlineLevel="1">
      <c r="C65" s="515">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6" t="e">
        <f t="shared" si="98"/>
        <v>#DIV/0!</v>
      </c>
      <c r="Z65" s="387">
        <f>Drivers!Z81</f>
        <v>0</v>
      </c>
      <c r="AA65" s="387">
        <f>Drivers!AA81</f>
        <v>0</v>
      </c>
      <c r="AB65" s="387">
        <f>Drivers!AB81</f>
        <v>0</v>
      </c>
      <c r="AC65" s="387">
        <f>Drivers!AC81</f>
        <v>0</v>
      </c>
      <c r="AD65" s="516" t="e">
        <f t="shared" si="99"/>
        <v>#DIV/0!</v>
      </c>
      <c r="AE65" s="388">
        <f>Drivers!AE81</f>
        <v>0</v>
      </c>
      <c r="AF65" s="388">
        <f>Drivers!AF81</f>
        <v>0</v>
      </c>
      <c r="AG65" s="388">
        <f>Drivers!AG81</f>
        <v>0</v>
      </c>
    </row>
    <row r="66" ht="15.75" customHeight="1" hidden="1" spans="1:33" x14ac:dyDescent="0.25" outlineLevel="2" collapsed="1">
      <c r="C66" s="515">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6" t="e">
        <f t="shared" si="98"/>
        <v>#DIV/0!</v>
      </c>
      <c r="Z66" s="387">
        <f>Drivers!Z82</f>
        <v>0</v>
      </c>
      <c r="AA66" s="387">
        <f>Drivers!AA82</f>
        <v>0</v>
      </c>
      <c r="AB66" s="387">
        <f>Drivers!AB82</f>
        <v>0</v>
      </c>
      <c r="AC66" s="387">
        <f>Drivers!AC82</f>
        <v>0</v>
      </c>
      <c r="AD66" s="516" t="e">
        <f t="shared" si="99"/>
        <v>#DIV/0!</v>
      </c>
      <c r="AE66" s="388">
        <f>Drivers!AE82</f>
        <v>0</v>
      </c>
      <c r="AF66" s="388">
        <f>Drivers!AF82</f>
        <v>0</v>
      </c>
      <c r="AG66" s="388">
        <f>Drivers!AG82</f>
        <v>0</v>
      </c>
    </row>
    <row r="67" ht="15.75" customHeight="1" hidden="1" spans="1:33" x14ac:dyDescent="0.25" outlineLevel="2" collapsed="1">
      <c r="C67" s="515">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6" t="e">
        <f t="shared" si="98"/>
        <v>#DIV/0!</v>
      </c>
      <c r="Z67" s="387">
        <f>Drivers!Z83</f>
        <v>0</v>
      </c>
      <c r="AA67" s="387">
        <f>Drivers!AA83</f>
        <v>0</v>
      </c>
      <c r="AB67" s="387">
        <f>Drivers!AB83</f>
        <v>0</v>
      </c>
      <c r="AC67" s="387">
        <f>Drivers!AC83</f>
        <v>0</v>
      </c>
      <c r="AD67" s="516" t="e">
        <f t="shared" si="99"/>
        <v>#DIV/0!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158.018</v>
      </c>
      <c r="G69" s="311">
        <f t="shared" si="105"/>
        <v>81.919</v>
      </c>
      <c r="H69" s="311">
        <f t="shared" si="105"/>
        <v>124.071</v>
      </c>
      <c r="I69" s="311">
        <f t="shared" si="105"/>
        <v>124.261</v>
      </c>
      <c r="J69" s="284">
        <f t="shared" si="105"/>
        <v>134</v>
      </c>
      <c r="K69" s="311">
        <f t="shared" si="105"/>
        <v>220.24200000000002</v>
      </c>
      <c r="L69" s="311">
        <f t="shared" si="105"/>
        <v>296.754</v>
      </c>
      <c r="M69" s="311">
        <f t="shared" si="105"/>
        <v>288.687</v>
      </c>
      <c r="N69" s="311">
        <f t="shared" si="105"/>
        <v>742.863</v>
      </c>
      <c r="O69" s="284">
        <f t="shared" si="105"/>
        <v>722</v>
      </c>
      <c r="P69" s="311">
        <f t="shared" si="105"/>
        <v>151.065</v>
      </c>
      <c r="Q69" s="311">
        <f t="shared" si="105"/>
        <v>215.901</v>
      </c>
      <c r="R69" s="311">
        <f t="shared" si="105"/>
        <v>373.815</v>
      </c>
      <c r="S69" s="311">
        <f t="shared" si="105"/>
        <v>879.008</v>
      </c>
      <c r="T69" s="284">
        <f t="shared" si="105"/>
        <v>773</v>
      </c>
      <c r="U69" s="517">
        <f t="shared" ref="U69:X69" si="106">U51+U33</f>
        <v>0</v>
      </c>
      <c r="V69" s="517">
        <f t="shared" si="106"/>
        <v>0</v>
      </c>
      <c r="W69" s="517">
        <f t="shared" si="106"/>
        <v>0</v>
      </c>
      <c r="X69" s="517">
        <f t="shared" si="106"/>
        <v>0</v>
      </c>
      <c r="Y69" s="284">
        <f t="shared" si="105"/>
        <v>0</v>
      </c>
      <c r="Z69" s="517">
        <f t="shared" si="105"/>
        <v>0</v>
      </c>
      <c r="AA69" s="517">
        <f t="shared" si="105"/>
        <v>0</v>
      </c>
      <c r="AB69" s="517">
        <f t="shared" si="105"/>
        <v>0</v>
      </c>
      <c r="AC69" s="517">
        <f t="shared" si="105"/>
        <v>0</v>
      </c>
      <c r="AD69" s="284">
        <f t="shared" si="105"/>
        <v>0</v>
      </c>
      <c r="AE69" s="284">
        <f t="shared" si="105"/>
        <v>0</v>
      </c>
      <c r="AF69" s="284">
        <f t="shared" si="105"/>
        <v>0</v>
      </c>
      <c r="AG69" s="284">
        <f t="shared" si="105"/>
        <v>0</v>
      </c>
    </row>
    <row r="70" ht="15.75" customHeight="1" spans="1:33" x14ac:dyDescent="0.25">
      <c r="C70" s="131" t="str">
        <f t="shared" ref="C70:C75" si="107">C16&amp;" EBITDA"</f>
        <v>Investment Banking &amp; Capital Markets EBITDA</v>
      </c>
      <c r="D70" s="8"/>
      <c r="E70" s="8"/>
      <c r="F70" s="311">
        <f t="shared" ref="F70:AG70" si="108">F52+F34</f>
        <v>172.2</v>
      </c>
      <c r="G70" s="311">
        <f t="shared" si="108"/>
        <v>168.5</v>
      </c>
      <c r="H70" s="311">
        <f t="shared" si="108"/>
        <v>188.1</v>
      </c>
      <c r="I70" s="311">
        <f t="shared" si="108"/>
        <v>114.5</v>
      </c>
      <c r="J70" s="518">
        <f t="shared" si="108"/>
        <v>134</v>
      </c>
      <c r="K70" s="311">
        <f t="shared" si="108"/>
        <v>155</v>
      </c>
      <c r="L70" s="311">
        <f t="shared" si="108"/>
        <v>320.3</v>
      </c>
      <c r="M70" s="311">
        <f t="shared" si="108"/>
        <v>404.5</v>
      </c>
      <c r="N70" s="311">
        <f t="shared" si="108"/>
        <v>288</v>
      </c>
      <c r="O70" s="518">
        <f t="shared" si="108"/>
        <v>145</v>
      </c>
      <c r="P70" s="311">
        <f t="shared" si="108"/>
        <v>167</v>
      </c>
      <c r="Q70" s="311">
        <f t="shared" si="108"/>
        <v>269.3</v>
      </c>
      <c r="R70" s="311">
        <f t="shared" si="108"/>
        <v>378.3</v>
      </c>
      <c r="S70" s="311">
        <f t="shared" si="108"/>
        <v>332.5</v>
      </c>
      <c r="T70" s="518">
        <f t="shared" si="108"/>
        <v>165</v>
      </c>
      <c r="U70" s="517">
        <f t="shared" ref="U70:X70" si="109">U52+U34</f>
        <v>0</v>
      </c>
      <c r="V70" s="517">
        <f t="shared" si="109"/>
        <v>0</v>
      </c>
      <c r="W70" s="517">
        <f t="shared" si="109"/>
        <v>0</v>
      </c>
      <c r="X70" s="517">
        <f t="shared" si="109"/>
        <v>0</v>
      </c>
      <c r="Y70" s="518">
        <f t="shared" si="108"/>
        <v>0</v>
      </c>
      <c r="Z70" s="517">
        <f t="shared" si="108"/>
        <v>0</v>
      </c>
      <c r="AA70" s="517">
        <f t="shared" si="108"/>
        <v>0</v>
      </c>
      <c r="AB70" s="517">
        <f t="shared" si="108"/>
        <v>0</v>
      </c>
      <c r="AC70" s="517">
        <f t="shared" si="108"/>
        <v>0</v>
      </c>
      <c r="AD70" s="518">
        <f t="shared" si="108"/>
        <v>0</v>
      </c>
      <c r="AE70" s="518">
        <f t="shared" si="108"/>
        <v>0</v>
      </c>
      <c r="AF70" s="518">
        <f t="shared" si="108"/>
        <v>0</v>
      </c>
      <c r="AG70" s="518">
        <f t="shared" si="108"/>
        <v>0</v>
      </c>
    </row>
    <row r="71" ht="15.75" customHeight="1" spans="1:33" x14ac:dyDescent="0.25">
      <c r="C71" s="131" t="str">
        <f t="shared" si="107"/>
        <v>Asset Management and Other EBITDA</v>
      </c>
      <c r="D71" s="8"/>
      <c r="E71" s="8"/>
      <c r="F71" s="311">
        <f t="shared" ref="F71:AG71" si="110">F53+F35</f>
        <v>-14.181999999999988</v>
      </c>
      <c r="G71" s="311">
        <f t="shared" si="110"/>
        <v>-86.581</v>
      </c>
      <c r="H71" s="311">
        <f t="shared" si="110"/>
        <v>-64.029</v>
      </c>
      <c r="I71" s="311">
        <f t="shared" si="110"/>
        <v>9.760999999999996</v>
      </c>
      <c r="J71" s="518">
        <f t="shared" si="110"/>
        <v>0</v>
      </c>
      <c r="K71" s="311">
        <f t="shared" si="110"/>
        <v>65.24200000000002</v>
      </c>
      <c r="L71" s="311">
        <f t="shared" si="110"/>
        <v>-23.54600000000002</v>
      </c>
      <c r="M71" s="311">
        <f t="shared" si="110"/>
        <v>-115.81299999999999</v>
      </c>
      <c r="N71" s="311">
        <f t="shared" si="110"/>
        <v>-122.137</v>
      </c>
      <c r="O71" s="518">
        <f t="shared" si="110"/>
        <v>0</v>
      </c>
      <c r="P71" s="311">
        <f t="shared" si="110"/>
        <v>-15.935000000000002</v>
      </c>
      <c r="Q71" s="311">
        <f t="shared" si="110"/>
        <v>-53.399</v>
      </c>
      <c r="R71" s="311">
        <f t="shared" si="110"/>
        <v>-4.485000000000014</v>
      </c>
      <c r="S71" s="311">
        <f t="shared" si="110"/>
        <v>-61.491999999999976</v>
      </c>
      <c r="T71" s="518">
        <f t="shared" si="110"/>
        <v>0</v>
      </c>
      <c r="U71" s="517">
        <f t="shared" ref="U71:X71" si="111">U53+U35</f>
        <v>0</v>
      </c>
      <c r="V71" s="517">
        <f t="shared" si="111"/>
        <v>0</v>
      </c>
      <c r="W71" s="517">
        <f t="shared" si="111"/>
        <v>0</v>
      </c>
      <c r="X71" s="517">
        <f t="shared" si="111"/>
        <v>0</v>
      </c>
      <c r="Y71" s="518">
        <f t="shared" si="110"/>
        <v>0</v>
      </c>
      <c r="Z71" s="517">
        <f t="shared" si="110"/>
        <v>0</v>
      </c>
      <c r="AA71" s="517">
        <f t="shared" si="110"/>
        <v>0</v>
      </c>
      <c r="AB71" s="517">
        <f t="shared" si="110"/>
        <v>0</v>
      </c>
      <c r="AC71" s="517">
        <f t="shared" si="110"/>
        <v>0</v>
      </c>
      <c r="AD71" s="518">
        <f t="shared" si="110"/>
        <v>0</v>
      </c>
      <c r="AE71" s="518">
        <f t="shared" si="110"/>
        <v>0</v>
      </c>
      <c r="AF71" s="518">
        <f t="shared" si="110"/>
        <v>0</v>
      </c>
      <c r="AG71" s="518">
        <f t="shared" si="110"/>
        <v>0</v>
      </c>
    </row>
    <row r="72" ht="15.75" customHeight="1" hidden="1" spans="1:33" x14ac:dyDescent="0.25" outlineLevel="1">
      <c r="C72" s="131" t="str">
        <f t="shared" si="107"/>
        <v> EBITDA</v>
      </c>
      <c r="D72" s="8"/>
      <c r="E72" s="8"/>
      <c r="F72" s="311">
        <f t="shared" ref="F72:AG72" si="112">F54+F36</f>
        <v>0</v>
      </c>
      <c r="G72" s="311">
        <f t="shared" si="112"/>
        <v>0</v>
      </c>
      <c r="H72" s="311">
        <f t="shared" si="112"/>
        <v>0</v>
      </c>
      <c r="I72" s="311">
        <f t="shared" si="112"/>
        <v>0</v>
      </c>
      <c r="J72" s="518">
        <f t="shared" si="112"/>
        <v>0</v>
      </c>
      <c r="K72" s="311">
        <f t="shared" si="112"/>
        <v>0</v>
      </c>
      <c r="L72" s="311">
        <f t="shared" si="112"/>
        <v>0</v>
      </c>
      <c r="M72" s="311">
        <f t="shared" si="112"/>
        <v>0</v>
      </c>
      <c r="N72" s="311">
        <f t="shared" si="112"/>
        <v>386</v>
      </c>
      <c r="O72" s="518">
        <f t="shared" si="112"/>
        <v>386</v>
      </c>
      <c r="P72" s="311">
        <f t="shared" si="112"/>
        <v>0</v>
      </c>
      <c r="Q72" s="311">
        <f t="shared" si="112"/>
        <v>0</v>
      </c>
      <c r="R72" s="311">
        <f t="shared" si="112"/>
        <v>0</v>
      </c>
      <c r="S72" s="311">
        <f t="shared" si="112"/>
        <v>351</v>
      </c>
      <c r="T72" s="518">
        <f t="shared" si="112"/>
        <v>351</v>
      </c>
      <c r="U72" s="517">
        <f t="shared" ref="U72:X72" si="113">U54+U36</f>
        <v>0</v>
      </c>
      <c r="V72" s="517">
        <f t="shared" si="113"/>
        <v>0</v>
      </c>
      <c r="W72" s="517">
        <f t="shared" si="113"/>
        <v>0</v>
      </c>
      <c r="X72" s="517">
        <f t="shared" si="113"/>
        <v>0</v>
      </c>
      <c r="Y72" s="518">
        <f t="shared" si="112"/>
        <v>0</v>
      </c>
      <c r="Z72" s="517">
        <f t="shared" si="112"/>
        <v>0</v>
      </c>
      <c r="AA72" s="517">
        <f t="shared" si="112"/>
        <v>0</v>
      </c>
      <c r="AB72" s="517">
        <f t="shared" si="112"/>
        <v>0</v>
      </c>
      <c r="AC72" s="517">
        <f t="shared" si="112"/>
        <v>0</v>
      </c>
      <c r="AD72" s="518">
        <f t="shared" si="112"/>
        <v>0</v>
      </c>
      <c r="AE72" s="518">
        <f t="shared" si="112"/>
        <v>0</v>
      </c>
      <c r="AF72" s="518">
        <f t="shared" si="112"/>
        <v>0</v>
      </c>
      <c r="AG72" s="518">
        <f t="shared" si="112"/>
        <v>0</v>
      </c>
    </row>
    <row r="73" ht="15.75" customHeight="1" hidden="1" spans="1:33" x14ac:dyDescent="0.25" outlineLevel="1">
      <c r="C73" s="131" t="str">
        <f t="shared" si="107"/>
        <v> EBITDA</v>
      </c>
      <c r="D73" s="8"/>
      <c r="E73" s="8"/>
      <c r="F73" s="311">
        <f t="shared" ref="F73:AG73" si="114">F55+F37</f>
        <v>0</v>
      </c>
      <c r="G73" s="311">
        <f t="shared" si="114"/>
        <v>0</v>
      </c>
      <c r="H73" s="311">
        <f t="shared" si="114"/>
        <v>0</v>
      </c>
      <c r="I73" s="311">
        <f t="shared" si="114"/>
        <v>0</v>
      </c>
      <c r="J73" s="518">
        <f t="shared" si="114"/>
        <v>0</v>
      </c>
      <c r="K73" s="311">
        <f t="shared" si="114"/>
        <v>0</v>
      </c>
      <c r="L73" s="311">
        <f t="shared" si="114"/>
        <v>0</v>
      </c>
      <c r="M73" s="311">
        <f t="shared" si="114"/>
        <v>0</v>
      </c>
      <c r="N73" s="311">
        <f t="shared" si="114"/>
        <v>382</v>
      </c>
      <c r="O73" s="518">
        <f t="shared" si="114"/>
        <v>382</v>
      </c>
      <c r="P73" s="311">
        <f t="shared" si="114"/>
        <v>0</v>
      </c>
      <c r="Q73" s="311">
        <f t="shared" si="114"/>
        <v>0</v>
      </c>
      <c r="R73" s="311">
        <f t="shared" si="114"/>
        <v>0</v>
      </c>
      <c r="S73" s="311">
        <f t="shared" si="114"/>
        <v>371</v>
      </c>
      <c r="T73" s="518">
        <f t="shared" si="114"/>
        <v>371</v>
      </c>
      <c r="U73" s="517">
        <f t="shared" ref="U73:X73" si="115">U55+U37</f>
        <v>0</v>
      </c>
      <c r="V73" s="517">
        <f t="shared" si="115"/>
        <v>0</v>
      </c>
      <c r="W73" s="517">
        <f t="shared" si="115"/>
        <v>0</v>
      </c>
      <c r="X73" s="517">
        <f t="shared" si="115"/>
        <v>0</v>
      </c>
      <c r="Y73" s="518">
        <f t="shared" si="114"/>
        <v>0</v>
      </c>
      <c r="Z73" s="517">
        <f t="shared" si="114"/>
        <v>0</v>
      </c>
      <c r="AA73" s="517">
        <f t="shared" si="114"/>
        <v>0</v>
      </c>
      <c r="AB73" s="517">
        <f t="shared" si="114"/>
        <v>0</v>
      </c>
      <c r="AC73" s="517">
        <f t="shared" si="114"/>
        <v>0</v>
      </c>
      <c r="AD73" s="518">
        <f t="shared" si="114"/>
        <v>0</v>
      </c>
      <c r="AE73" s="518">
        <f t="shared" si="114"/>
        <v>0</v>
      </c>
      <c r="AF73" s="518">
        <f t="shared" si="114"/>
        <v>0</v>
      </c>
      <c r="AG73" s="518">
        <f t="shared" si="114"/>
        <v>0</v>
      </c>
    </row>
    <row r="74" ht="15.75" customHeight="1" hidden="1" spans="1:33" x14ac:dyDescent="0.25" outlineLevel="2" collapsed="1">
      <c r="C74" s="131" t="str">
        <f t="shared" si="107"/>
        <v> EBITDA</v>
      </c>
      <c r="D74" s="8"/>
      <c r="E74" s="8"/>
      <c r="F74" s="311">
        <f t="shared" ref="F74:AG74" si="116">F56+F38</f>
        <v>0</v>
      </c>
      <c r="G74" s="311">
        <f t="shared" si="116"/>
        <v>0</v>
      </c>
      <c r="H74" s="311">
        <f t="shared" si="116"/>
        <v>0</v>
      </c>
      <c r="I74" s="311">
        <f t="shared" si="116"/>
        <v>0</v>
      </c>
      <c r="J74" s="518">
        <f t="shared" si="116"/>
        <v>0</v>
      </c>
      <c r="K74" s="311">
        <f t="shared" si="116"/>
        <v>0</v>
      </c>
      <c r="L74" s="311">
        <f t="shared" si="116"/>
        <v>0</v>
      </c>
      <c r="M74" s="311">
        <f t="shared" si="116"/>
        <v>0</v>
      </c>
      <c r="N74" s="311">
        <f t="shared" si="116"/>
        <v>-191</v>
      </c>
      <c r="O74" s="518">
        <f t="shared" si="116"/>
        <v>-191</v>
      </c>
      <c r="P74" s="311">
        <f t="shared" si="116"/>
        <v>0</v>
      </c>
      <c r="Q74" s="311">
        <f t="shared" si="116"/>
        <v>0</v>
      </c>
      <c r="R74" s="311">
        <f t="shared" si="116"/>
        <v>0</v>
      </c>
      <c r="S74" s="311">
        <f t="shared" si="116"/>
        <v>-114</v>
      </c>
      <c r="T74" s="518">
        <f t="shared" si="116"/>
        <v>-114</v>
      </c>
      <c r="U74" s="517">
        <f t="shared" ref="U74:X74" si="117">U56+U38</f>
        <v>0</v>
      </c>
      <c r="V74" s="517">
        <f t="shared" si="117"/>
        <v>0</v>
      </c>
      <c r="W74" s="517">
        <f t="shared" si="117"/>
        <v>0</v>
      </c>
      <c r="X74" s="517">
        <f t="shared" si="117"/>
        <v>0</v>
      </c>
      <c r="Y74" s="518">
        <f t="shared" si="116"/>
        <v>0</v>
      </c>
      <c r="Z74" s="517">
        <f t="shared" si="116"/>
        <v>0</v>
      </c>
      <c r="AA74" s="517">
        <f t="shared" si="116"/>
        <v>0</v>
      </c>
      <c r="AB74" s="517">
        <f t="shared" si="116"/>
        <v>0</v>
      </c>
      <c r="AC74" s="517">
        <f t="shared" si="116"/>
        <v>0</v>
      </c>
      <c r="AD74" s="518">
        <f t="shared" si="116"/>
        <v>0</v>
      </c>
      <c r="AE74" s="518">
        <f t="shared" si="116"/>
        <v>0</v>
      </c>
      <c r="AF74" s="518">
        <f t="shared" si="116"/>
        <v>0</v>
      </c>
      <c r="AG74" s="518">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8">
        <f t="shared" si="118"/>
        <v>0</v>
      </c>
      <c r="K75" s="311">
        <f t="shared" si="118"/>
        <v>0</v>
      </c>
      <c r="L75" s="311">
        <f t="shared" si="118"/>
        <v>0</v>
      </c>
      <c r="M75" s="311">
        <f t="shared" si="118"/>
        <v>0</v>
      </c>
      <c r="N75" s="311">
        <f t="shared" si="118"/>
        <v>0</v>
      </c>
      <c r="O75" s="518">
        <f t="shared" si="118"/>
        <v>0</v>
      </c>
      <c r="P75" s="311">
        <f t="shared" si="118"/>
        <v>0</v>
      </c>
      <c r="Q75" s="311">
        <f t="shared" si="118"/>
        <v>0</v>
      </c>
      <c r="R75" s="311">
        <f t="shared" si="118"/>
        <v>0</v>
      </c>
      <c r="S75" s="311">
        <f t="shared" si="118"/>
        <v>0</v>
      </c>
      <c r="T75" s="518">
        <f t="shared" si="118"/>
        <v>0</v>
      </c>
      <c r="U75" s="517">
        <f t="shared" ref="U75:X75" si="119">U57+U39</f>
        <v>0</v>
      </c>
      <c r="V75" s="517">
        <f t="shared" si="119"/>
        <v>0</v>
      </c>
      <c r="W75" s="517">
        <f t="shared" si="119"/>
        <v>0</v>
      </c>
      <c r="X75" s="517">
        <f t="shared" si="119"/>
        <v>0</v>
      </c>
      <c r="Y75" s="518">
        <f t="shared" si="118"/>
        <v>0</v>
      </c>
      <c r="Z75" s="517">
        <f t="shared" si="118"/>
        <v>0</v>
      </c>
      <c r="AA75" s="517">
        <f t="shared" si="118"/>
        <v>0</v>
      </c>
      <c r="AB75" s="517">
        <f t="shared" si="118"/>
        <v>0</v>
      </c>
      <c r="AC75" s="517">
        <f t="shared" si="118"/>
        <v>0</v>
      </c>
      <c r="AD75" s="518">
        <f t="shared" si="118"/>
        <v>0</v>
      </c>
      <c r="AE75" s="518">
        <f t="shared" si="118"/>
        <v>0</v>
      </c>
      <c r="AF75" s="518">
        <f t="shared" si="118"/>
        <v>0</v>
      </c>
      <c r="AG75" s="518">
        <f t="shared" si="118"/>
        <v>0</v>
      </c>
    </row>
    <row r="76" ht="15.75" customHeight="1" spans="1:33" x14ac:dyDescent="0.25">
      <c r="C76" s="8"/>
      <c r="D76" s="8"/>
      <c r="E76" s="8"/>
      <c r="F76" s="315"/>
      <c r="G76" s="315"/>
      <c r="H76" s="315"/>
      <c r="I76" s="315"/>
      <c r="J76" s="166"/>
      <c r="K76" s="315"/>
      <c r="L76" s="315"/>
      <c r="M76" s="315"/>
      <c r="N76" s="315"/>
      <c r="O76" s="166"/>
      <c r="P76" s="315"/>
      <c r="Q76" s="315"/>
      <c r="R76" s="315"/>
      <c r="S76" s="496"/>
      <c r="T76" s="385"/>
      <c r="U76" s="497"/>
      <c r="V76" s="497"/>
      <c r="W76" s="497"/>
      <c r="X76" s="386"/>
      <c r="Y76" s="166"/>
      <c r="Z76" s="497"/>
      <c r="AA76" s="497"/>
      <c r="AB76" s="497"/>
      <c r="AC76" s="386"/>
      <c r="AD76" s="385"/>
      <c r="AE76" s="385"/>
      <c r="AF76" s="385"/>
      <c r="AG76" s="385"/>
    </row>
    <row r="77" ht="15.75" customHeight="1" spans="1:33" x14ac:dyDescent="0.25">
      <c r="C77" s="8" t="s">
        <v>450</v>
      </c>
      <c r="D77" s="8"/>
      <c r="E77" s="8"/>
      <c r="F77" s="496"/>
      <c r="G77" s="496"/>
      <c r="H77" s="496"/>
      <c r="I77" s="496"/>
      <c r="J77" s="166"/>
      <c r="K77" s="496"/>
      <c r="L77" s="496"/>
      <c r="M77" s="496"/>
      <c r="N77" s="496"/>
      <c r="O77" s="166"/>
      <c r="P77" s="496"/>
      <c r="Q77" s="496"/>
      <c r="R77" s="496"/>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1</v>
      </c>
      <c r="G78" s="384">
        <f t="shared" si="121"/>
        <v>1</v>
      </c>
      <c r="H78" s="384">
        <f t="shared" si="121"/>
        <v>1</v>
      </c>
      <c r="I78" s="384">
        <f t="shared" si="121"/>
        <v>1</v>
      </c>
      <c r="J78" s="385">
        <f t="shared" si="121"/>
        <v>1</v>
      </c>
      <c r="K78" s="384">
        <f t="shared" si="121"/>
        <v>0.17766497461928935</v>
      </c>
      <c r="L78" s="384">
        <f t="shared" si="121"/>
        <v>0.20359281437125748</v>
      </c>
      <c r="M78" s="384">
        <f t="shared" si="121"/>
        <v>0.2589928057553957</v>
      </c>
      <c r="N78" s="384">
        <f t="shared" si="121"/>
        <v>0.182648401826484</v>
      </c>
      <c r="O78" s="385">
        <f t="shared" si="121"/>
        <v>0.20083102493074792</v>
      </c>
      <c r="P78" s="384">
        <f t="shared" si="121"/>
        <v>0.145985401459854</v>
      </c>
      <c r="Q78" s="384">
        <f t="shared" si="121"/>
        <v>0.21465968586387435</v>
      </c>
      <c r="R78" s="384">
        <f t="shared" si="121"/>
        <v>0.2781456953642384</v>
      </c>
      <c r="S78" s="384">
        <f t="shared" si="121"/>
        <v>0.267515923566879</v>
      </c>
      <c r="T78" s="385">
        <f t="shared" si="121"/>
        <v>0.21345407503234154</v>
      </c>
      <c r="U78" s="386" t="str">
        <f t="shared" ref="U78:X78" si="122">IFERROR(U70/U$69,"N/A")</f>
        <v>N/A</v>
      </c>
      <c r="V78" s="386" t="str">
        <f t="shared" si="122"/>
        <v>N/A</v>
      </c>
      <c r="W78" s="386" t="str">
        <f t="shared" si="122"/>
        <v>N/A</v>
      </c>
      <c r="X78" s="386" t="str">
        <f t="shared" si="122"/>
        <v>N/A</v>
      </c>
      <c r="Y78" s="385" t="str">
        <f t="shared" si="121"/>
        <v>N/A</v>
      </c>
      <c r="Z78" s="386" t="str">
        <f t="shared" si="121"/>
        <v>N/A</v>
      </c>
      <c r="AA78" s="386" t="str">
        <f t="shared" si="121"/>
        <v>N/A</v>
      </c>
      <c r="AB78" s="386" t="str">
        <f t="shared" si="121"/>
        <v>N/A</v>
      </c>
      <c r="AC78" s="386" t="str">
        <f t="shared" si="121"/>
        <v>N/A</v>
      </c>
      <c r="AD78" s="385" t="str">
        <f t="shared" si="121"/>
        <v>N/A</v>
      </c>
      <c r="AE78" s="385" t="str">
        <f t="shared" si="121"/>
        <v>N/A</v>
      </c>
      <c r="AF78" s="385" t="str">
        <f t="shared" si="121"/>
        <v>N/A</v>
      </c>
      <c r="AG78" s="385" t="str">
        <f t="shared" si="121"/>
        <v>N/A</v>
      </c>
    </row>
    <row r="79" ht="15.75" customHeight="1" spans="1:33" x14ac:dyDescent="0.25">
      <c r="C79" s="131" t="str">
        <f t="shared" si="120"/>
        <v>Asset Management and Other</v>
      </c>
      <c r="D79" s="8"/>
      <c r="E79" s="8"/>
      <c r="F79" s="384">
        <f t="shared" ref="F79:AG79" si="123">IFERROR(F71/F$69,"N/A")</f>
        <v>0</v>
      </c>
      <c r="G79" s="384">
        <f t="shared" si="123"/>
        <v>0</v>
      </c>
      <c r="H79" s="384">
        <f t="shared" si="123"/>
        <v>0</v>
      </c>
      <c r="I79" s="384">
        <f t="shared" si="123"/>
        <v>0</v>
      </c>
      <c r="J79" s="385">
        <f t="shared" si="123"/>
        <v>0</v>
      </c>
      <c r="K79" s="384">
        <f t="shared" si="123"/>
        <v>0</v>
      </c>
      <c r="L79" s="384">
        <f t="shared" si="123"/>
        <v>0</v>
      </c>
      <c r="M79" s="384">
        <f t="shared" si="123"/>
        <v>0</v>
      </c>
      <c r="N79" s="384">
        <f t="shared" si="123"/>
        <v>0</v>
      </c>
      <c r="O79" s="385">
        <f t="shared" si="123"/>
        <v>0</v>
      </c>
      <c r="P79" s="384">
        <f t="shared" si="123"/>
        <v>0</v>
      </c>
      <c r="Q79" s="384">
        <f t="shared" si="123"/>
        <v>0</v>
      </c>
      <c r="R79" s="384">
        <f t="shared" si="123"/>
        <v>0</v>
      </c>
      <c r="S79" s="384">
        <f t="shared" si="123"/>
        <v>0</v>
      </c>
      <c r="T79" s="385">
        <f t="shared" si="123"/>
        <v>0</v>
      </c>
      <c r="U79" s="386" t="str">
        <f t="shared" ref="U79:X79" si="124">IFERROR(U71/U$69,"N/A")</f>
        <v>N/A</v>
      </c>
      <c r="V79" s="386" t="str">
        <f t="shared" si="124"/>
        <v>N/A</v>
      </c>
      <c r="W79" s="386" t="str">
        <f t="shared" si="124"/>
        <v>N/A</v>
      </c>
      <c r="X79" s="386" t="str">
        <f t="shared" si="124"/>
        <v>N/A</v>
      </c>
      <c r="Y79" s="385" t="str">
        <f t="shared" si="123"/>
        <v>N/A</v>
      </c>
      <c r="Z79" s="386" t="str">
        <f t="shared" si="123"/>
        <v>N/A</v>
      </c>
      <c r="AA79" s="386" t="str">
        <f t="shared" si="123"/>
        <v>N/A</v>
      </c>
      <c r="AB79" s="386" t="str">
        <f t="shared" si="123"/>
        <v>N/A</v>
      </c>
      <c r="AC79" s="386" t="str">
        <f t="shared" si="123"/>
        <v>N/A</v>
      </c>
      <c r="AD79" s="385" t="str">
        <f t="shared" si="123"/>
        <v>N/A</v>
      </c>
      <c r="AE79" s="385" t="str">
        <f t="shared" si="123"/>
        <v>N/A</v>
      </c>
      <c r="AF79" s="385" t="str">
        <f t="shared" si="123"/>
        <v>N/A</v>
      </c>
      <c r="AG79" s="385" t="str">
        <f t="shared" si="123"/>
        <v>N/A</v>
      </c>
    </row>
    <row r="80" ht="15.75" customHeight="1" hidden="1" spans="1:33" x14ac:dyDescent="0.25" outlineLevel="1">
      <c r="C80" s="131">
        <f t="shared" si="120"/>
        <v>0</v>
      </c>
      <c r="D80" s="8"/>
      <c r="E80" s="8"/>
      <c r="F80" s="384">
        <f t="shared" ref="F80:AG80" si="125">IFERROR(F72/F$69,"N/A")</f>
        <v>0</v>
      </c>
      <c r="G80" s="384">
        <f t="shared" si="125"/>
        <v>0</v>
      </c>
      <c r="H80" s="384">
        <f t="shared" si="125"/>
        <v>0</v>
      </c>
      <c r="I80" s="384">
        <f t="shared" si="125"/>
        <v>0</v>
      </c>
      <c r="J80" s="385">
        <f t="shared" si="125"/>
        <v>0</v>
      </c>
      <c r="K80" s="384">
        <f t="shared" si="125"/>
        <v>0.5431472081218274</v>
      </c>
      <c r="L80" s="384">
        <f t="shared" si="125"/>
        <v>0.6167664670658682</v>
      </c>
      <c r="M80" s="384">
        <f t="shared" si="125"/>
        <v>0.6690647482014388</v>
      </c>
      <c r="N80" s="384">
        <f t="shared" si="125"/>
        <v>0.3789954337899543</v>
      </c>
      <c r="O80" s="385">
        <f t="shared" si="125"/>
        <v>0.5346260387811634</v>
      </c>
      <c r="P80" s="384">
        <f t="shared" si="125"/>
        <v>0.291970802919708</v>
      </c>
      <c r="Q80" s="384">
        <f t="shared" si="125"/>
        <v>0.4293193717277487</v>
      </c>
      <c r="R80" s="384">
        <f t="shared" si="125"/>
        <v>0.5894039735099338</v>
      </c>
      <c r="S80" s="384">
        <f t="shared" si="125"/>
        <v>0.6369426751592356</v>
      </c>
      <c r="T80" s="385">
        <f t="shared" si="125"/>
        <v>0.4540750323415265</v>
      </c>
      <c r="U80" s="386" t="str">
        <f t="shared" ref="U80:X80" si="126">IFERROR(U72/U$69,"N/A")</f>
        <v>N/A</v>
      </c>
      <c r="V80" s="386" t="str">
        <f t="shared" si="126"/>
        <v>N/A</v>
      </c>
      <c r="W80" s="386" t="str">
        <f t="shared" si="126"/>
        <v>N/A</v>
      </c>
      <c r="X80" s="386" t="str">
        <f t="shared" si="126"/>
        <v>N/A</v>
      </c>
      <c r="Y80" s="385" t="str">
        <f t="shared" si="125"/>
        <v>N/A</v>
      </c>
      <c r="Z80" s="386" t="str">
        <f t="shared" si="125"/>
        <v>N/A</v>
      </c>
      <c r="AA80" s="386" t="str">
        <f t="shared" si="125"/>
        <v>N/A</v>
      </c>
      <c r="AB80" s="386" t="str">
        <f t="shared" si="125"/>
        <v>N/A</v>
      </c>
      <c r="AC80" s="386" t="str">
        <f t="shared" si="125"/>
        <v>N/A</v>
      </c>
      <c r="AD80" s="385" t="str">
        <f t="shared" si="125"/>
        <v>N/A</v>
      </c>
      <c r="AE80" s="385" t="str">
        <f t="shared" si="125"/>
        <v>N/A</v>
      </c>
      <c r="AF80" s="385" t="str">
        <f t="shared" si="125"/>
        <v>N/A</v>
      </c>
      <c r="AG80" s="385" t="str">
        <f t="shared" si="125"/>
        <v>N/A</v>
      </c>
    </row>
    <row r="81" ht="15.75" customHeight="1" hidden="1" spans="1:33" x14ac:dyDescent="0.25" outlineLevel="1">
      <c r="C81" s="131">
        <f t="shared" si="120"/>
        <v>0</v>
      </c>
      <c r="D81" s="8"/>
      <c r="E81" s="8"/>
      <c r="F81" s="384">
        <f t="shared" ref="F81:AG81" si="127">IFERROR(F73/F$69,"N/A")</f>
        <v>0</v>
      </c>
      <c r="G81" s="384">
        <f t="shared" si="127"/>
        <v>0</v>
      </c>
      <c r="H81" s="384">
        <f t="shared" si="127"/>
        <v>0</v>
      </c>
      <c r="I81" s="384">
        <f t="shared" si="127"/>
        <v>0</v>
      </c>
      <c r="J81" s="385">
        <f t="shared" si="127"/>
        <v>0</v>
      </c>
      <c r="K81" s="384">
        <f t="shared" si="127"/>
        <v>0.5177664974619289</v>
      </c>
      <c r="L81" s="384">
        <f t="shared" si="127"/>
        <v>0.49700598802395207</v>
      </c>
      <c r="M81" s="384">
        <f t="shared" si="127"/>
        <v>0.5323741007194245</v>
      </c>
      <c r="N81" s="384">
        <f t="shared" si="127"/>
        <v>0.5616438356164384</v>
      </c>
      <c r="O81" s="385">
        <f t="shared" si="127"/>
        <v>0.5290858725761773</v>
      </c>
      <c r="P81" s="384">
        <f t="shared" si="127"/>
        <v>0.49635036496350365</v>
      </c>
      <c r="Q81" s="384">
        <f t="shared" si="127"/>
        <v>0.47643979057591623</v>
      </c>
      <c r="R81" s="384">
        <f t="shared" si="127"/>
        <v>0.4370860927152318</v>
      </c>
      <c r="S81" s="384">
        <f t="shared" si="127"/>
        <v>0.4968152866242038</v>
      </c>
      <c r="T81" s="385">
        <f t="shared" si="127"/>
        <v>0.4799482535575679</v>
      </c>
      <c r="U81" s="386" t="str">
        <f t="shared" ref="U81:X81" si="128">IFERROR(U73/U$69,"N/A")</f>
        <v>N/A</v>
      </c>
      <c r="V81" s="386" t="str">
        <f t="shared" si="128"/>
        <v>N/A</v>
      </c>
      <c r="W81" s="386" t="str">
        <f t="shared" si="128"/>
        <v>N/A</v>
      </c>
      <c r="X81" s="386" t="str">
        <f t="shared" si="128"/>
        <v>N/A</v>
      </c>
      <c r="Y81" s="385" t="str">
        <f t="shared" si="127"/>
        <v>N/A</v>
      </c>
      <c r="Z81" s="386" t="str">
        <f t="shared" si="127"/>
        <v>N/A</v>
      </c>
      <c r="AA81" s="386" t="str">
        <f t="shared" si="127"/>
        <v>N/A</v>
      </c>
      <c r="AB81" s="386" t="str">
        <f t="shared" si="127"/>
        <v>N/A</v>
      </c>
      <c r="AC81" s="386" t="str">
        <f t="shared" si="127"/>
        <v>N/A</v>
      </c>
      <c r="AD81" s="385" t="str">
        <f t="shared" si="127"/>
        <v>N/A</v>
      </c>
      <c r="AE81" s="385" t="str">
        <f t="shared" si="127"/>
        <v>N/A</v>
      </c>
      <c r="AF81" s="385" t="str">
        <f t="shared" si="127"/>
        <v>N/A</v>
      </c>
      <c r="AG81" s="385" t="str">
        <f t="shared" si="127"/>
        <v>N/A</v>
      </c>
    </row>
    <row r="82" ht="15.75" customHeight="1" hidden="1" spans="1:33" x14ac:dyDescent="0.25" outlineLevel="1">
      <c r="C82" s="131">
        <f t="shared" si="120"/>
        <v>0</v>
      </c>
      <c r="D82" s="8"/>
      <c r="E82" s="8"/>
      <c r="F82" s="384">
        <f t="shared" ref="F82:AG82" si="129">IFERROR(F74/F$69,"N/A")</f>
        <v>0</v>
      </c>
      <c r="G82" s="384">
        <f t="shared" si="129"/>
        <v>0</v>
      </c>
      <c r="H82" s="384">
        <f t="shared" si="129"/>
        <v>0</v>
      </c>
      <c r="I82" s="384">
        <f t="shared" si="129"/>
        <v>0</v>
      </c>
      <c r="J82" s="385">
        <f t="shared" si="129"/>
        <v>0</v>
      </c>
      <c r="K82" s="384">
        <f t="shared" si="129"/>
        <v>-0.23857868020304568</v>
      </c>
      <c r="L82" s="384">
        <f t="shared" si="129"/>
        <v>-0.31736526946107785</v>
      </c>
      <c r="M82" s="384">
        <f t="shared" si="129"/>
        <v>-0.460431654676259</v>
      </c>
      <c r="N82" s="384">
        <f t="shared" si="129"/>
        <v>-0.1232876712328767</v>
      </c>
      <c r="O82" s="385">
        <f t="shared" si="129"/>
        <v>-0.26454293628808867</v>
      </c>
      <c r="P82" s="384">
        <f t="shared" si="129"/>
        <v>0.06569343065693431</v>
      </c>
      <c r="Q82" s="384">
        <f t="shared" si="129"/>
        <v>-0.12041884816753927</v>
      </c>
      <c r="R82" s="384">
        <f t="shared" si="129"/>
        <v>-0.304635761589404</v>
      </c>
      <c r="S82" s="384">
        <f t="shared" si="129"/>
        <v>-0.4012738853503185</v>
      </c>
      <c r="T82" s="385">
        <f t="shared" si="129"/>
        <v>-0.14747736093143596</v>
      </c>
      <c r="U82" s="386" t="str">
        <f t="shared" ref="U82:X82" si="130">IFERROR(U74/U$69,"N/A")</f>
        <v>N/A</v>
      </c>
      <c r="V82" s="386" t="str">
        <f t="shared" si="130"/>
        <v>N/A</v>
      </c>
      <c r="W82" s="386" t="str">
        <f t="shared" si="130"/>
        <v>N/A</v>
      </c>
      <c r="X82" s="386" t="str">
        <f t="shared" si="130"/>
        <v>N/A</v>
      </c>
      <c r="Y82" s="385" t="str">
        <f t="shared" si="129"/>
        <v>N/A</v>
      </c>
      <c r="Z82" s="386" t="str">
        <f t="shared" si="129"/>
        <v>N/A</v>
      </c>
      <c r="AA82" s="386" t="str">
        <f t="shared" si="129"/>
        <v>N/A</v>
      </c>
      <c r="AB82" s="386" t="str">
        <f t="shared" si="129"/>
        <v>N/A</v>
      </c>
      <c r="AC82" s="386" t="str">
        <f t="shared" si="129"/>
        <v>N/A</v>
      </c>
      <c r="AD82" s="385" t="str">
        <f t="shared" si="129"/>
        <v>N/A</v>
      </c>
      <c r="AE82" s="385" t="str">
        <f t="shared" si="129"/>
        <v>N/A</v>
      </c>
      <c r="AF82" s="385" t="str">
        <f t="shared" si="129"/>
        <v>N/A</v>
      </c>
      <c r="AG82" s="385" t="str">
        <f t="shared" si="129"/>
        <v>N/A</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t="str">
        <f t="shared" ref="U83:X83" si="132">IFERROR(U75/U$69,"N/A")</f>
        <v>N/A</v>
      </c>
      <c r="V83" s="386" t="str">
        <f t="shared" si="132"/>
        <v>N/A</v>
      </c>
      <c r="W83" s="386" t="str">
        <f t="shared" si="132"/>
        <v>N/A</v>
      </c>
      <c r="X83" s="386" t="str">
        <f t="shared" si="132"/>
        <v>N/A</v>
      </c>
      <c r="Y83" s="385" t="str">
        <f t="shared" si="131"/>
        <v>N/A</v>
      </c>
      <c r="Z83" s="386" t="str">
        <f t="shared" si="131"/>
        <v>N/A</v>
      </c>
      <c r="AA83" s="386" t="str">
        <f t="shared" si="131"/>
        <v>N/A</v>
      </c>
      <c r="AB83" s="386" t="str">
        <f t="shared" si="131"/>
        <v>N/A</v>
      </c>
      <c r="AC83" s="386" t="str">
        <f t="shared" si="131"/>
        <v>N/A</v>
      </c>
      <c r="AD83" s="385" t="str">
        <f t="shared" si="131"/>
        <v>N/A</v>
      </c>
      <c r="AE83" s="385" t="str">
        <f t="shared" si="131"/>
        <v>N/A</v>
      </c>
      <c r="AF83" s="385" t="str">
        <f t="shared" si="131"/>
        <v>N/A</v>
      </c>
      <c r="AG83" s="385" t="str">
        <f t="shared" si="131"/>
        <v>N/A</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9"/>
      <c r="G86" s="519"/>
      <c r="H86" s="519"/>
      <c r="I86" s="519"/>
      <c r="J86" s="519"/>
      <c r="K86" s="519"/>
      <c r="L86" s="519"/>
      <c r="M86" s="519"/>
      <c r="N86" s="519"/>
      <c r="O86" s="519"/>
      <c r="P86" s="519"/>
      <c r="Q86" s="519"/>
      <c r="R86" s="519"/>
      <c r="S86" s="519"/>
      <c r="T86" s="519"/>
      <c r="U86" s="519"/>
      <c r="V86" s="519"/>
      <c r="W86" s="519"/>
      <c r="X86" s="519"/>
      <c r="Y86" s="519"/>
      <c r="Z86" s="519"/>
      <c r="AA86" s="519"/>
      <c r="AB86" s="519"/>
      <c r="AC86" s="519"/>
      <c r="AD86" s="519"/>
      <c r="AE86" s="519"/>
      <c r="AF86" s="519"/>
      <c r="AG86" s="520"/>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1">
        <f t="shared" ref="F88:I88" si="133">SUM(F89:F93)</f>
        <v>0</v>
      </c>
      <c r="G88" s="521">
        <f t="shared" si="133"/>
        <v>0</v>
      </c>
      <c r="H88" s="521">
        <f t="shared" si="133"/>
        <v>0</v>
      </c>
      <c r="I88" s="521">
        <f t="shared" si="133"/>
        <v>0</v>
      </c>
      <c r="J88" s="284">
        <f t="shared" ref="J88:J93" si="134">SUM(F88:I88)</f>
        <v>0</v>
      </c>
      <c r="K88" s="521">
        <f t="shared" ref="K88:N88" si="135">SUM(K89:K93)</f>
        <v>0</v>
      </c>
      <c r="L88" s="521">
        <f t="shared" si="135"/>
        <v>0</v>
      </c>
      <c r="M88" s="521">
        <f t="shared" si="135"/>
        <v>0</v>
      </c>
      <c r="N88" s="521">
        <f t="shared" si="135"/>
        <v>0</v>
      </c>
      <c r="O88" s="284">
        <f t="shared" ref="O88:O93" si="136">SUM(K88:N88)</f>
        <v>0</v>
      </c>
      <c r="P88" s="521">
        <f t="shared" ref="P88:S88" si="137">SUM(P89:P93)</f>
        <v>0</v>
      </c>
      <c r="Q88" s="521">
        <f t="shared" si="137"/>
        <v>0</v>
      </c>
      <c r="R88" s="521">
        <f t="shared" si="137"/>
        <v>0</v>
      </c>
      <c r="S88" s="521">
        <f t="shared" si="137"/>
        <v>0</v>
      </c>
      <c r="T88" s="284">
        <f t="shared" ref="T88:T93" si="138">SUM(P88:S88)</f>
        <v>0</v>
      </c>
      <c r="U88" s="522">
        <f t="shared" ref="U88:X88" si="139">SUM(U89:U93)</f>
        <v>0</v>
      </c>
      <c r="V88" s="522">
        <f t="shared" si="139"/>
        <v>0</v>
      </c>
      <c r="W88" s="522">
        <f t="shared" si="139"/>
        <v>0</v>
      </c>
      <c r="X88" s="522">
        <f t="shared" si="139"/>
        <v>0</v>
      </c>
      <c r="Y88" s="284">
        <f t="shared" ref="Y88:Y93" si="140">SUM(U88:X88)</f>
        <v>0</v>
      </c>
      <c r="Z88" s="522">
        <f t="shared" ref="Z88:AC88" si="141">SUM(Z89:Z93)</f>
        <v>0</v>
      </c>
      <c r="AA88" s="522">
        <f t="shared" si="141"/>
        <v>0</v>
      </c>
      <c r="AB88" s="522">
        <f t="shared" si="141"/>
        <v>0</v>
      </c>
      <c r="AC88" s="522">
        <f t="shared" si="141"/>
        <v>0</v>
      </c>
      <c r="AD88" s="284">
        <f t="shared" ref="AD88:AD93" si="142">SUM(Z88:AC88)</f>
        <v>0</v>
      </c>
      <c r="AE88" s="523">
        <f t="shared" ref="AE88:AG88" si="143">SUM(AE89:AE93)</f>
        <v>0</v>
      </c>
      <c r="AF88" s="523">
        <f t="shared" si="143"/>
        <v>0</v>
      </c>
      <c r="AG88" s="523">
        <f t="shared" si="143"/>
        <v>0</v>
      </c>
    </row>
    <row r="89" ht="15.75" customHeight="1" hidden="1" spans="1:33" x14ac:dyDescent="0.25" outlineLevel="1">
      <c r="C89" s="498" t="s">
        <v>452</v>
      </c>
      <c r="D89" s="8"/>
      <c r="E89" s="8"/>
      <c r="F89" s="499">
        <v>0</v>
      </c>
      <c r="G89" s="499">
        <v>0</v>
      </c>
      <c r="H89" s="499">
        <v>0</v>
      </c>
      <c r="I89" s="499">
        <v>0</v>
      </c>
      <c r="J89" s="492">
        <f t="shared" si="134"/>
        <v>0</v>
      </c>
      <c r="K89" s="499">
        <v>0</v>
      </c>
      <c r="L89" s="499">
        <v>0</v>
      </c>
      <c r="M89" s="499">
        <v>0</v>
      </c>
      <c r="N89" s="499">
        <v>0</v>
      </c>
      <c r="O89" s="492">
        <f t="shared" si="136"/>
        <v>0</v>
      </c>
      <c r="P89" s="499">
        <v>0</v>
      </c>
      <c r="Q89" s="499">
        <v>0</v>
      </c>
      <c r="R89" s="499">
        <v>0</v>
      </c>
      <c r="S89" s="499">
        <v>0</v>
      </c>
      <c r="T89" s="492">
        <f t="shared" si="138"/>
        <v>0</v>
      </c>
      <c r="U89" s="500">
        <v>0</v>
      </c>
      <c r="V89" s="500">
        <v>0</v>
      </c>
      <c r="W89" s="500">
        <v>0</v>
      </c>
      <c r="X89" s="500">
        <v>0</v>
      </c>
      <c r="Y89" s="492">
        <f t="shared" si="140"/>
        <v>0</v>
      </c>
      <c r="Z89" s="500">
        <v>0</v>
      </c>
      <c r="AA89" s="500">
        <v>0</v>
      </c>
      <c r="AB89" s="500">
        <v>0</v>
      </c>
      <c r="AC89" s="500">
        <v>0</v>
      </c>
      <c r="AD89" s="492">
        <f t="shared" si="142"/>
        <v>0</v>
      </c>
      <c r="AE89" s="501">
        <v>0</v>
      </c>
      <c r="AF89" s="501">
        <v>0</v>
      </c>
      <c r="AG89" s="501">
        <v>0</v>
      </c>
    </row>
    <row r="90" ht="15.75" customHeight="1" hidden="1" spans="1:33" x14ac:dyDescent="0.25" outlineLevel="1">
      <c r="C90" s="498" t="s">
        <v>453</v>
      </c>
      <c r="D90" s="8"/>
      <c r="E90" s="8"/>
      <c r="F90" s="499">
        <v>0</v>
      </c>
      <c r="G90" s="499">
        <v>0</v>
      </c>
      <c r="H90" s="499">
        <v>0</v>
      </c>
      <c r="I90" s="499">
        <v>0</v>
      </c>
      <c r="J90" s="492">
        <f t="shared" si="134"/>
        <v>0</v>
      </c>
      <c r="K90" s="499">
        <v>0</v>
      </c>
      <c r="L90" s="499">
        <v>0</v>
      </c>
      <c r="M90" s="499">
        <v>0</v>
      </c>
      <c r="N90" s="499">
        <v>0</v>
      </c>
      <c r="O90" s="492">
        <f t="shared" si="136"/>
        <v>0</v>
      </c>
      <c r="P90" s="499">
        <v>0</v>
      </c>
      <c r="Q90" s="499">
        <v>0</v>
      </c>
      <c r="R90" s="499">
        <v>0</v>
      </c>
      <c r="S90" s="499">
        <v>0</v>
      </c>
      <c r="T90" s="492">
        <f t="shared" si="138"/>
        <v>0</v>
      </c>
      <c r="U90" s="500">
        <v>0</v>
      </c>
      <c r="V90" s="500">
        <v>0</v>
      </c>
      <c r="W90" s="500">
        <v>0</v>
      </c>
      <c r="X90" s="500">
        <v>0</v>
      </c>
      <c r="Y90" s="492">
        <f t="shared" si="140"/>
        <v>0</v>
      </c>
      <c r="Z90" s="500">
        <v>0</v>
      </c>
      <c r="AA90" s="500">
        <v>0</v>
      </c>
      <c r="AB90" s="500">
        <v>0</v>
      </c>
      <c r="AC90" s="500">
        <v>0</v>
      </c>
      <c r="AD90" s="492">
        <f t="shared" si="142"/>
        <v>0</v>
      </c>
      <c r="AE90" s="501">
        <v>0</v>
      </c>
      <c r="AF90" s="501">
        <v>0</v>
      </c>
      <c r="AG90" s="501">
        <v>0</v>
      </c>
    </row>
    <row r="91" ht="15.75" customHeight="1" hidden="1" spans="1:33" x14ac:dyDescent="0.25" outlineLevel="1">
      <c r="C91" s="498" t="s">
        <v>454</v>
      </c>
      <c r="D91" s="8"/>
      <c r="E91" s="8"/>
      <c r="F91" s="499">
        <v>0</v>
      </c>
      <c r="G91" s="499">
        <v>0</v>
      </c>
      <c r="H91" s="499">
        <v>0</v>
      </c>
      <c r="I91" s="499">
        <v>0</v>
      </c>
      <c r="J91" s="492">
        <f t="shared" si="134"/>
        <v>0</v>
      </c>
      <c r="K91" s="499">
        <v>0</v>
      </c>
      <c r="L91" s="499">
        <v>0</v>
      </c>
      <c r="M91" s="499">
        <v>0</v>
      </c>
      <c r="N91" s="499">
        <v>0</v>
      </c>
      <c r="O91" s="492">
        <f t="shared" si="136"/>
        <v>0</v>
      </c>
      <c r="P91" s="499">
        <v>0</v>
      </c>
      <c r="Q91" s="499">
        <v>0</v>
      </c>
      <c r="R91" s="499">
        <v>0</v>
      </c>
      <c r="S91" s="499">
        <v>0</v>
      </c>
      <c r="T91" s="492">
        <f t="shared" si="138"/>
        <v>0</v>
      </c>
      <c r="U91" s="500">
        <v>0</v>
      </c>
      <c r="V91" s="500">
        <v>0</v>
      </c>
      <c r="W91" s="500">
        <v>0</v>
      </c>
      <c r="X91" s="500">
        <v>0</v>
      </c>
      <c r="Y91" s="492">
        <f t="shared" si="140"/>
        <v>0</v>
      </c>
      <c r="Z91" s="500">
        <v>0</v>
      </c>
      <c r="AA91" s="500">
        <v>0</v>
      </c>
      <c r="AB91" s="500">
        <v>0</v>
      </c>
      <c r="AC91" s="500">
        <v>0</v>
      </c>
      <c r="AD91" s="492">
        <f t="shared" si="142"/>
        <v>0</v>
      </c>
      <c r="AE91" s="501">
        <v>0</v>
      </c>
      <c r="AF91" s="501">
        <v>0</v>
      </c>
      <c r="AG91" s="501">
        <v>0</v>
      </c>
    </row>
    <row r="92" ht="15.75" customHeight="1" hidden="1" spans="1:33" x14ac:dyDescent="0.25" outlineLevel="1">
      <c r="C92" s="498" t="s">
        <v>455</v>
      </c>
      <c r="D92" s="8"/>
      <c r="E92" s="8"/>
      <c r="F92" s="499">
        <v>0</v>
      </c>
      <c r="G92" s="499">
        <v>0</v>
      </c>
      <c r="H92" s="499">
        <v>0</v>
      </c>
      <c r="I92" s="499">
        <v>0</v>
      </c>
      <c r="J92" s="492">
        <f t="shared" si="134"/>
        <v>0</v>
      </c>
      <c r="K92" s="499">
        <v>0</v>
      </c>
      <c r="L92" s="499">
        <v>0</v>
      </c>
      <c r="M92" s="499">
        <v>0</v>
      </c>
      <c r="N92" s="499">
        <v>0</v>
      </c>
      <c r="O92" s="492">
        <f t="shared" si="136"/>
        <v>0</v>
      </c>
      <c r="P92" s="499">
        <v>0</v>
      </c>
      <c r="Q92" s="499">
        <v>0</v>
      </c>
      <c r="R92" s="499">
        <v>0</v>
      </c>
      <c r="S92" s="499">
        <v>0</v>
      </c>
      <c r="T92" s="492">
        <f t="shared" si="138"/>
        <v>0</v>
      </c>
      <c r="U92" s="500">
        <v>0</v>
      </c>
      <c r="V92" s="500">
        <v>0</v>
      </c>
      <c r="W92" s="500">
        <v>0</v>
      </c>
      <c r="X92" s="500">
        <v>0</v>
      </c>
      <c r="Y92" s="492">
        <f t="shared" si="140"/>
        <v>0</v>
      </c>
      <c r="Z92" s="500">
        <v>0</v>
      </c>
      <c r="AA92" s="500">
        <v>0</v>
      </c>
      <c r="AB92" s="500">
        <v>0</v>
      </c>
      <c r="AC92" s="500">
        <v>0</v>
      </c>
      <c r="AD92" s="492">
        <f t="shared" si="142"/>
        <v>0</v>
      </c>
      <c r="AE92" s="501">
        <v>0</v>
      </c>
      <c r="AF92" s="501">
        <v>0</v>
      </c>
      <c r="AG92" s="501">
        <v>0</v>
      </c>
    </row>
    <row r="93" ht="15.75" customHeight="1" hidden="1" spans="1:33" x14ac:dyDescent="0.25" outlineLevel="1">
      <c r="C93" s="498" t="s">
        <v>456</v>
      </c>
      <c r="D93" s="8"/>
      <c r="E93" s="8"/>
      <c r="F93" s="499">
        <v>0</v>
      </c>
      <c r="G93" s="499">
        <v>0</v>
      </c>
      <c r="H93" s="499">
        <v>0</v>
      </c>
      <c r="I93" s="499">
        <v>0</v>
      </c>
      <c r="J93" s="492">
        <f t="shared" si="134"/>
        <v>0</v>
      </c>
      <c r="K93" s="499">
        <v>0</v>
      </c>
      <c r="L93" s="499">
        <v>0</v>
      </c>
      <c r="M93" s="499">
        <v>0</v>
      </c>
      <c r="N93" s="499">
        <v>0</v>
      </c>
      <c r="O93" s="492">
        <f t="shared" si="136"/>
        <v>0</v>
      </c>
      <c r="P93" s="499">
        <v>0</v>
      </c>
      <c r="Q93" s="499">
        <v>0</v>
      </c>
      <c r="R93" s="499">
        <v>0</v>
      </c>
      <c r="S93" s="499">
        <v>0</v>
      </c>
      <c r="T93" s="492">
        <f t="shared" si="138"/>
        <v>0</v>
      </c>
      <c r="U93" s="500">
        <v>0</v>
      </c>
      <c r="V93" s="500">
        <v>0</v>
      </c>
      <c r="W93" s="500">
        <v>0</v>
      </c>
      <c r="X93" s="500">
        <v>0</v>
      </c>
      <c r="Y93" s="492">
        <f t="shared" si="140"/>
        <v>0</v>
      </c>
      <c r="Z93" s="500">
        <v>0</v>
      </c>
      <c r="AA93" s="500">
        <v>0</v>
      </c>
      <c r="AB93" s="500">
        <v>0</v>
      </c>
      <c r="AC93" s="500">
        <v>0</v>
      </c>
      <c r="AD93" s="492">
        <f t="shared" si="142"/>
        <v>0</v>
      </c>
      <c r="AE93" s="501">
        <v>0</v>
      </c>
      <c r="AF93" s="501">
        <v>0</v>
      </c>
      <c r="AG93" s="501">
        <v>0</v>
      </c>
    </row>
    <row r="94" ht="15.75" customHeight="1" hidden="1" spans="1:33" x14ac:dyDescent="0.25" outlineLevel="1">
      <c r="C94" s="8"/>
      <c r="D94" s="8"/>
      <c r="E94" s="8"/>
      <c r="F94" s="524"/>
      <c r="G94" s="524"/>
      <c r="H94" s="524"/>
      <c r="I94" s="524"/>
      <c r="J94" s="518"/>
      <c r="K94" s="524"/>
      <c r="L94" s="524"/>
      <c r="M94" s="524"/>
      <c r="N94" s="524"/>
      <c r="O94" s="518"/>
      <c r="P94" s="524"/>
      <c r="Q94" s="524"/>
      <c r="R94" s="524"/>
      <c r="S94" s="524"/>
      <c r="T94" s="518"/>
      <c r="U94" s="525"/>
      <c r="V94" s="525"/>
      <c r="W94" s="525"/>
      <c r="X94" s="525"/>
      <c r="Y94" s="518"/>
      <c r="Z94" s="525"/>
      <c r="AA94" s="525"/>
      <c r="AB94" s="525"/>
      <c r="AC94" s="525"/>
      <c r="AD94" s="518"/>
      <c r="AE94" s="526"/>
      <c r="AF94" s="526"/>
      <c r="AG94" s="526"/>
    </row>
    <row r="95" ht="15.75" customHeight="1" hidden="1" spans="1:33" x14ac:dyDescent="0.25" outlineLevel="1">
      <c r="C95" s="8" t="s">
        <v>436</v>
      </c>
      <c r="D95" s="8"/>
      <c r="E95" s="8"/>
      <c r="F95" s="496"/>
      <c r="G95" s="496"/>
      <c r="H95" s="496"/>
      <c r="I95" s="496"/>
      <c r="J95" s="166"/>
      <c r="K95" s="496"/>
      <c r="L95" s="496"/>
      <c r="M95" s="496"/>
      <c r="N95" s="496"/>
      <c r="O95" s="166"/>
      <c r="P95" s="496"/>
      <c r="Q95" s="496"/>
      <c r="R95" s="496"/>
      <c r="S95" s="496"/>
      <c r="T95" s="166"/>
      <c r="U95" s="497"/>
      <c r="V95" s="497"/>
      <c r="W95" s="497"/>
      <c r="X95" s="497"/>
      <c r="Y95" s="166"/>
      <c r="Z95" s="497"/>
      <c r="AA95" s="497"/>
      <c r="AB95" s="497"/>
      <c r="AC95" s="497"/>
      <c r="AD95" s="166"/>
      <c r="AE95" s="502"/>
      <c r="AF95" s="502"/>
      <c r="AG95" s="502"/>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6"/>
      <c r="G101" s="496"/>
      <c r="H101" s="496"/>
      <c r="I101" s="496"/>
      <c r="J101" s="166"/>
      <c r="K101" s="496"/>
      <c r="L101" s="496"/>
      <c r="M101" s="496"/>
      <c r="N101" s="496"/>
      <c r="O101" s="166"/>
      <c r="P101" s="496"/>
      <c r="Q101" s="496"/>
      <c r="R101" s="496"/>
      <c r="S101" s="496"/>
      <c r="T101" s="166"/>
      <c r="U101" s="497"/>
      <c r="V101" s="497"/>
      <c r="W101" s="497"/>
      <c r="X101" s="497"/>
      <c r="Y101" s="166"/>
      <c r="Z101" s="497"/>
      <c r="AA101" s="497"/>
      <c r="AB101" s="497"/>
      <c r="AC101" s="497"/>
      <c r="AD101" s="166"/>
      <c r="AE101" s="502"/>
      <c r="AF101" s="502"/>
      <c r="AG101" s="502"/>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9">
        <v>0</v>
      </c>
      <c r="G103" s="499">
        <v>0</v>
      </c>
      <c r="H103" s="499">
        <v>0</v>
      </c>
      <c r="I103" s="499">
        <v>0</v>
      </c>
      <c r="J103" s="492">
        <f t="shared" ref="J103:J107" si="154">SUM(F103:I103)</f>
        <v>0</v>
      </c>
      <c r="K103" s="499">
        <v>0</v>
      </c>
      <c r="L103" s="499">
        <v>0</v>
      </c>
      <c r="M103" s="499">
        <v>0</v>
      </c>
      <c r="N103" s="499">
        <v>0</v>
      </c>
      <c r="O103" s="492">
        <f t="shared" ref="O103:O107" si="155">SUM(K103:N103)</f>
        <v>0</v>
      </c>
      <c r="P103" s="499">
        <v>0</v>
      </c>
      <c r="Q103" s="499">
        <v>0</v>
      </c>
      <c r="R103" s="499">
        <v>0</v>
      </c>
      <c r="S103" s="499">
        <v>0</v>
      </c>
      <c r="T103" s="492">
        <f t="shared" ref="T103:T107" si="156">SUM(P103:S103)</f>
        <v>0</v>
      </c>
      <c r="U103" s="500">
        <v>0</v>
      </c>
      <c r="V103" s="500">
        <v>0</v>
      </c>
      <c r="W103" s="500">
        <v>0</v>
      </c>
      <c r="X103" s="500">
        <v>0</v>
      </c>
      <c r="Y103" s="492">
        <f t="shared" ref="Y103:Y107" si="157">SUM(U103:X103)</f>
        <v>0</v>
      </c>
      <c r="Z103" s="500">
        <v>0</v>
      </c>
      <c r="AA103" s="500">
        <v>0</v>
      </c>
      <c r="AB103" s="500">
        <v>0</v>
      </c>
      <c r="AC103" s="500">
        <v>0</v>
      </c>
      <c r="AD103" s="492">
        <f t="shared" ref="AD103:AD107" si="158">SUM(Z103:AC103)</f>
        <v>0</v>
      </c>
      <c r="AE103" s="501">
        <v>0</v>
      </c>
      <c r="AF103" s="501">
        <v>0</v>
      </c>
      <c r="AG103" s="501">
        <v>0</v>
      </c>
    </row>
    <row r="104" ht="15.75" customHeight="1" hidden="1" spans="1:33" x14ac:dyDescent="0.25" outlineLevel="1">
      <c r="C104" s="131" t="str">
        <f>C$90</f>
        <v>Europe</v>
      </c>
      <c r="D104" s="8"/>
      <c r="E104" s="8"/>
      <c r="F104" s="499">
        <v>0</v>
      </c>
      <c r="G104" s="499">
        <v>0</v>
      </c>
      <c r="H104" s="499">
        <v>0</v>
      </c>
      <c r="I104" s="499">
        <v>0</v>
      </c>
      <c r="J104" s="492">
        <f t="shared" si="154"/>
        <v>0</v>
      </c>
      <c r="K104" s="499">
        <v>0</v>
      </c>
      <c r="L104" s="499">
        <v>0</v>
      </c>
      <c r="M104" s="499">
        <v>0</v>
      </c>
      <c r="N104" s="499">
        <v>0</v>
      </c>
      <c r="O104" s="492">
        <f t="shared" si="155"/>
        <v>0</v>
      </c>
      <c r="P104" s="499">
        <v>0</v>
      </c>
      <c r="Q104" s="499">
        <v>0</v>
      </c>
      <c r="R104" s="499">
        <v>0</v>
      </c>
      <c r="S104" s="499">
        <v>0</v>
      </c>
      <c r="T104" s="492">
        <f t="shared" si="156"/>
        <v>0</v>
      </c>
      <c r="U104" s="500">
        <v>0</v>
      </c>
      <c r="V104" s="500">
        <v>0</v>
      </c>
      <c r="W104" s="500">
        <v>0</v>
      </c>
      <c r="X104" s="500">
        <v>0</v>
      </c>
      <c r="Y104" s="492">
        <f t="shared" si="157"/>
        <v>0</v>
      </c>
      <c r="Z104" s="500">
        <v>0</v>
      </c>
      <c r="AA104" s="500">
        <v>0</v>
      </c>
      <c r="AB104" s="500">
        <v>0</v>
      </c>
      <c r="AC104" s="500">
        <v>0</v>
      </c>
      <c r="AD104" s="492">
        <f t="shared" si="158"/>
        <v>0</v>
      </c>
      <c r="AE104" s="501">
        <v>0</v>
      </c>
      <c r="AF104" s="501">
        <v>0</v>
      </c>
      <c r="AG104" s="501">
        <v>0</v>
      </c>
    </row>
    <row r="105" ht="15.75" customHeight="1" hidden="1" spans="1:33" x14ac:dyDescent="0.25" outlineLevel="1">
      <c r="C105" s="131" t="str">
        <f>C$91</f>
        <v>South America</v>
      </c>
      <c r="D105" s="8"/>
      <c r="E105" s="8"/>
      <c r="F105" s="499">
        <v>0</v>
      </c>
      <c r="G105" s="499">
        <v>0</v>
      </c>
      <c r="H105" s="499">
        <v>0</v>
      </c>
      <c r="I105" s="499">
        <v>0</v>
      </c>
      <c r="J105" s="492">
        <f t="shared" si="154"/>
        <v>0</v>
      </c>
      <c r="K105" s="499">
        <v>0</v>
      </c>
      <c r="L105" s="499">
        <v>0</v>
      </c>
      <c r="M105" s="499">
        <v>0</v>
      </c>
      <c r="N105" s="499">
        <v>0</v>
      </c>
      <c r="O105" s="492">
        <f t="shared" si="155"/>
        <v>0</v>
      </c>
      <c r="P105" s="499">
        <v>0</v>
      </c>
      <c r="Q105" s="499">
        <v>0</v>
      </c>
      <c r="R105" s="499">
        <v>0</v>
      </c>
      <c r="S105" s="499">
        <v>0</v>
      </c>
      <c r="T105" s="492">
        <f t="shared" si="156"/>
        <v>0</v>
      </c>
      <c r="U105" s="500">
        <v>0</v>
      </c>
      <c r="V105" s="500">
        <v>0</v>
      </c>
      <c r="W105" s="500">
        <v>0</v>
      </c>
      <c r="X105" s="500">
        <v>0</v>
      </c>
      <c r="Y105" s="492">
        <f t="shared" si="157"/>
        <v>0</v>
      </c>
      <c r="Z105" s="500">
        <v>0</v>
      </c>
      <c r="AA105" s="500">
        <v>0</v>
      </c>
      <c r="AB105" s="500">
        <v>0</v>
      </c>
      <c r="AC105" s="500">
        <v>0</v>
      </c>
      <c r="AD105" s="492">
        <f t="shared" si="158"/>
        <v>0</v>
      </c>
      <c r="AE105" s="501">
        <v>0</v>
      </c>
      <c r="AF105" s="501">
        <v>0</v>
      </c>
      <c r="AG105" s="501">
        <v>0</v>
      </c>
    </row>
    <row r="106" ht="15.75" customHeight="1" hidden="1" spans="1:33" x14ac:dyDescent="0.25" outlineLevel="1">
      <c r="C106" s="131" t="str">
        <f>C$92</f>
        <v>Middle East &amp; Africa</v>
      </c>
      <c r="D106" s="8"/>
      <c r="E106" s="8"/>
      <c r="F106" s="499">
        <v>0</v>
      </c>
      <c r="G106" s="499">
        <v>0</v>
      </c>
      <c r="H106" s="499">
        <v>0</v>
      </c>
      <c r="I106" s="499">
        <v>0</v>
      </c>
      <c r="J106" s="492">
        <f t="shared" si="154"/>
        <v>0</v>
      </c>
      <c r="K106" s="499">
        <v>0</v>
      </c>
      <c r="L106" s="499">
        <v>0</v>
      </c>
      <c r="M106" s="499">
        <v>0</v>
      </c>
      <c r="N106" s="499">
        <v>0</v>
      </c>
      <c r="O106" s="492">
        <f t="shared" si="155"/>
        <v>0</v>
      </c>
      <c r="P106" s="499">
        <v>0</v>
      </c>
      <c r="Q106" s="499">
        <v>0</v>
      </c>
      <c r="R106" s="499">
        <v>0</v>
      </c>
      <c r="S106" s="499">
        <v>0</v>
      </c>
      <c r="T106" s="492">
        <f t="shared" si="156"/>
        <v>0</v>
      </c>
      <c r="U106" s="500">
        <v>0</v>
      </c>
      <c r="V106" s="500">
        <v>0</v>
      </c>
      <c r="W106" s="500">
        <v>0</v>
      </c>
      <c r="X106" s="500">
        <v>0</v>
      </c>
      <c r="Y106" s="492">
        <f t="shared" si="157"/>
        <v>0</v>
      </c>
      <c r="Z106" s="500">
        <v>0</v>
      </c>
      <c r="AA106" s="500">
        <v>0</v>
      </c>
      <c r="AB106" s="500">
        <v>0</v>
      </c>
      <c r="AC106" s="500">
        <v>0</v>
      </c>
      <c r="AD106" s="492">
        <f t="shared" si="158"/>
        <v>0</v>
      </c>
      <c r="AE106" s="501">
        <v>0</v>
      </c>
      <c r="AF106" s="501">
        <v>0</v>
      </c>
      <c r="AG106" s="501">
        <v>0</v>
      </c>
    </row>
    <row r="107" ht="15.75" customHeight="1" hidden="1" spans="1:33" x14ac:dyDescent="0.25" outlineLevel="1">
      <c r="C107" s="131" t="str">
        <f>C$93</f>
        <v>Asia Pacific</v>
      </c>
      <c r="D107" s="8"/>
      <c r="E107" s="8"/>
      <c r="F107" s="499">
        <v>0</v>
      </c>
      <c r="G107" s="499">
        <v>0</v>
      </c>
      <c r="H107" s="499">
        <v>0</v>
      </c>
      <c r="I107" s="499">
        <v>0</v>
      </c>
      <c r="J107" s="492">
        <f t="shared" si="154"/>
        <v>0</v>
      </c>
      <c r="K107" s="499">
        <v>0</v>
      </c>
      <c r="L107" s="499">
        <v>0</v>
      </c>
      <c r="M107" s="499">
        <v>0</v>
      </c>
      <c r="N107" s="499">
        <v>0</v>
      </c>
      <c r="O107" s="492">
        <f t="shared" si="155"/>
        <v>0</v>
      </c>
      <c r="P107" s="499">
        <v>0</v>
      </c>
      <c r="Q107" s="499">
        <v>0</v>
      </c>
      <c r="R107" s="499">
        <v>0</v>
      </c>
      <c r="S107" s="499">
        <v>0</v>
      </c>
      <c r="T107" s="492">
        <f t="shared" si="156"/>
        <v>0</v>
      </c>
      <c r="U107" s="500">
        <v>0</v>
      </c>
      <c r="V107" s="500">
        <v>0</v>
      </c>
      <c r="W107" s="500">
        <v>0</v>
      </c>
      <c r="X107" s="500">
        <v>0</v>
      </c>
      <c r="Y107" s="492">
        <f t="shared" si="157"/>
        <v>0</v>
      </c>
      <c r="Z107" s="500">
        <v>0</v>
      </c>
      <c r="AA107" s="500">
        <v>0</v>
      </c>
      <c r="AB107" s="500">
        <v>0</v>
      </c>
      <c r="AC107" s="500">
        <v>0</v>
      </c>
      <c r="AD107" s="492">
        <f t="shared" si="158"/>
        <v>0</v>
      </c>
      <c r="AE107" s="501">
        <v>0</v>
      </c>
      <c r="AF107" s="501">
        <v>0</v>
      </c>
      <c r="AG107" s="501">
        <v>0</v>
      </c>
    </row>
    <row r="108" ht="15.75" customHeight="1" hidden="1" spans="1:33" x14ac:dyDescent="0.25" outlineLevel="1">
      <c r="C108" s="8"/>
      <c r="D108" s="8"/>
      <c r="E108" s="8"/>
      <c r="F108" s="527"/>
      <c r="G108" s="527"/>
      <c r="H108" s="527"/>
      <c r="I108" s="527"/>
      <c r="J108" s="166"/>
      <c r="K108" s="527"/>
      <c r="L108" s="527"/>
      <c r="M108" s="527"/>
      <c r="N108" s="527"/>
      <c r="O108" s="166"/>
      <c r="P108" s="527"/>
      <c r="Q108" s="527"/>
      <c r="R108" s="527"/>
      <c r="S108" s="527"/>
      <c r="T108" s="166"/>
      <c r="U108" s="528"/>
      <c r="V108" s="528"/>
      <c r="W108" s="528"/>
      <c r="X108" s="528"/>
      <c r="Y108" s="166"/>
      <c r="Z108" s="528"/>
      <c r="AA108" s="528"/>
      <c r="AB108" s="528"/>
      <c r="AC108" s="528"/>
      <c r="AD108" s="166"/>
      <c r="AE108" s="529"/>
      <c r="AF108" s="529"/>
      <c r="AG108" s="529"/>
    </row>
    <row r="109" ht="15.75" customHeight="1" hidden="1" spans="1:33" x14ac:dyDescent="0.25" outlineLevel="1">
      <c r="C109" s="8" t="str">
        <f>'Segment Analysis'!C8</f>
        <v>Investment Banking &amp; Capital Markets Revenue</v>
      </c>
      <c r="D109" s="8"/>
      <c r="E109" s="8"/>
      <c r="F109" s="527"/>
      <c r="G109" s="527"/>
      <c r="H109" s="527"/>
      <c r="I109" s="527"/>
      <c r="J109" s="166"/>
      <c r="K109" s="527"/>
      <c r="L109" s="527"/>
      <c r="M109" s="527"/>
      <c r="N109" s="527"/>
      <c r="O109" s="166"/>
      <c r="P109" s="527"/>
      <c r="Q109" s="527"/>
      <c r="R109" s="527"/>
      <c r="S109" s="527"/>
      <c r="T109" s="166"/>
      <c r="U109" s="528"/>
      <c r="V109" s="528"/>
      <c r="W109" s="528"/>
      <c r="X109" s="528"/>
      <c r="Y109" s="166"/>
      <c r="Z109" s="528"/>
      <c r="AA109" s="528"/>
      <c r="AB109" s="528"/>
      <c r="AC109" s="528"/>
      <c r="AD109" s="166"/>
      <c r="AE109" s="529"/>
      <c r="AF109" s="529"/>
      <c r="AG109" s="529"/>
    </row>
    <row r="110" ht="15.75" customHeight="1" hidden="1" spans="1:33" x14ac:dyDescent="0.25" outlineLevel="1">
      <c r="C110" s="131" t="str">
        <f>C$89</f>
        <v>North America</v>
      </c>
      <c r="D110" s="8"/>
      <c r="E110" s="8"/>
      <c r="F110" s="499">
        <v>0</v>
      </c>
      <c r="G110" s="499">
        <v>0</v>
      </c>
      <c r="H110" s="499">
        <v>0</v>
      </c>
      <c r="I110" s="499">
        <v>0</v>
      </c>
      <c r="J110" s="492">
        <f t="shared" ref="J110:J114" si="159">SUM(F110:I110)</f>
        <v>0</v>
      </c>
      <c r="K110" s="499">
        <v>0</v>
      </c>
      <c r="L110" s="499">
        <v>0</v>
      </c>
      <c r="M110" s="499">
        <v>0</v>
      </c>
      <c r="N110" s="499">
        <v>0</v>
      </c>
      <c r="O110" s="492">
        <f t="shared" ref="O110:O114" si="160">SUM(K110:N110)</f>
        <v>0</v>
      </c>
      <c r="P110" s="499">
        <v>0</v>
      </c>
      <c r="Q110" s="499">
        <v>0</v>
      </c>
      <c r="R110" s="499">
        <v>0</v>
      </c>
      <c r="S110" s="499">
        <v>0</v>
      </c>
      <c r="T110" s="492">
        <f t="shared" ref="T110:T114" si="161">SUM(P110:S110)</f>
        <v>0</v>
      </c>
      <c r="U110" s="500">
        <v>0</v>
      </c>
      <c r="V110" s="500">
        <v>0</v>
      </c>
      <c r="W110" s="500">
        <v>0</v>
      </c>
      <c r="X110" s="500">
        <v>0</v>
      </c>
      <c r="Y110" s="492">
        <f t="shared" ref="Y110:Y114" si="162">SUM(U110:X110)</f>
        <v>0</v>
      </c>
      <c r="Z110" s="500">
        <v>0</v>
      </c>
      <c r="AA110" s="500">
        <v>0</v>
      </c>
      <c r="AB110" s="500">
        <v>0</v>
      </c>
      <c r="AC110" s="500">
        <v>0</v>
      </c>
      <c r="AD110" s="492">
        <f t="shared" ref="AD110:AD114" si="163">SUM(Z110:AC110)</f>
        <v>0</v>
      </c>
      <c r="AE110" s="501">
        <v>0</v>
      </c>
      <c r="AF110" s="501">
        <v>0</v>
      </c>
      <c r="AG110" s="501">
        <v>0</v>
      </c>
    </row>
    <row r="111" ht="15.75" customHeight="1" hidden="1" spans="1:33" x14ac:dyDescent="0.25" outlineLevel="1">
      <c r="C111" s="131" t="str">
        <f>C$90</f>
        <v>Europe</v>
      </c>
      <c r="D111" s="8"/>
      <c r="E111" s="8"/>
      <c r="F111" s="499">
        <v>0</v>
      </c>
      <c r="G111" s="499">
        <v>0</v>
      </c>
      <c r="H111" s="499">
        <v>0</v>
      </c>
      <c r="I111" s="499">
        <v>0</v>
      </c>
      <c r="J111" s="492">
        <f t="shared" si="159"/>
        <v>0</v>
      </c>
      <c r="K111" s="499">
        <v>0</v>
      </c>
      <c r="L111" s="499">
        <v>0</v>
      </c>
      <c r="M111" s="499">
        <v>0</v>
      </c>
      <c r="N111" s="499">
        <v>0</v>
      </c>
      <c r="O111" s="492">
        <f t="shared" si="160"/>
        <v>0</v>
      </c>
      <c r="P111" s="499">
        <v>0</v>
      </c>
      <c r="Q111" s="499">
        <v>0</v>
      </c>
      <c r="R111" s="499">
        <v>0</v>
      </c>
      <c r="S111" s="499">
        <v>0</v>
      </c>
      <c r="T111" s="492">
        <f t="shared" si="161"/>
        <v>0</v>
      </c>
      <c r="U111" s="500">
        <v>0</v>
      </c>
      <c r="V111" s="500">
        <v>0</v>
      </c>
      <c r="W111" s="500">
        <v>0</v>
      </c>
      <c r="X111" s="500">
        <v>0</v>
      </c>
      <c r="Y111" s="492">
        <f t="shared" si="162"/>
        <v>0</v>
      </c>
      <c r="Z111" s="500">
        <v>0</v>
      </c>
      <c r="AA111" s="500">
        <v>0</v>
      </c>
      <c r="AB111" s="500">
        <v>0</v>
      </c>
      <c r="AC111" s="500">
        <v>0</v>
      </c>
      <c r="AD111" s="492">
        <f t="shared" si="163"/>
        <v>0</v>
      </c>
      <c r="AE111" s="501">
        <v>0</v>
      </c>
      <c r="AF111" s="501">
        <v>0</v>
      </c>
      <c r="AG111" s="501">
        <v>0</v>
      </c>
    </row>
    <row r="112" ht="15.75" customHeight="1" hidden="1" spans="1:33" x14ac:dyDescent="0.25" outlineLevel="1">
      <c r="C112" s="131" t="str">
        <f>C$91</f>
        <v>South America</v>
      </c>
      <c r="D112" s="8"/>
      <c r="E112" s="8"/>
      <c r="F112" s="499">
        <v>0</v>
      </c>
      <c r="G112" s="499">
        <v>0</v>
      </c>
      <c r="H112" s="499">
        <v>0</v>
      </c>
      <c r="I112" s="499">
        <v>0</v>
      </c>
      <c r="J112" s="492">
        <f t="shared" si="159"/>
        <v>0</v>
      </c>
      <c r="K112" s="499">
        <v>0</v>
      </c>
      <c r="L112" s="499">
        <v>0</v>
      </c>
      <c r="M112" s="499">
        <v>0</v>
      </c>
      <c r="N112" s="499">
        <v>0</v>
      </c>
      <c r="O112" s="492">
        <f t="shared" si="160"/>
        <v>0</v>
      </c>
      <c r="P112" s="499">
        <v>0</v>
      </c>
      <c r="Q112" s="499">
        <v>0</v>
      </c>
      <c r="R112" s="499">
        <v>0</v>
      </c>
      <c r="S112" s="499">
        <v>0</v>
      </c>
      <c r="T112" s="492">
        <f t="shared" si="161"/>
        <v>0</v>
      </c>
      <c r="U112" s="500">
        <v>0</v>
      </c>
      <c r="V112" s="500">
        <v>0</v>
      </c>
      <c r="W112" s="500">
        <v>0</v>
      </c>
      <c r="X112" s="500">
        <v>0</v>
      </c>
      <c r="Y112" s="492">
        <f t="shared" si="162"/>
        <v>0</v>
      </c>
      <c r="Z112" s="500">
        <v>0</v>
      </c>
      <c r="AA112" s="500">
        <v>0</v>
      </c>
      <c r="AB112" s="500">
        <v>0</v>
      </c>
      <c r="AC112" s="500">
        <v>0</v>
      </c>
      <c r="AD112" s="492">
        <f t="shared" si="163"/>
        <v>0</v>
      </c>
      <c r="AE112" s="501">
        <v>0</v>
      </c>
      <c r="AF112" s="501">
        <v>0</v>
      </c>
      <c r="AG112" s="501">
        <v>0</v>
      </c>
    </row>
    <row r="113" ht="15.75" customHeight="1" hidden="1" spans="1:33" x14ac:dyDescent="0.25" outlineLevel="1">
      <c r="C113" s="131" t="str">
        <f>C$92</f>
        <v>Middle East &amp; Africa</v>
      </c>
      <c r="D113" s="8"/>
      <c r="E113" s="8"/>
      <c r="F113" s="499">
        <v>0</v>
      </c>
      <c r="G113" s="499">
        <v>0</v>
      </c>
      <c r="H113" s="499">
        <v>0</v>
      </c>
      <c r="I113" s="499">
        <v>0</v>
      </c>
      <c r="J113" s="492">
        <f t="shared" si="159"/>
        <v>0</v>
      </c>
      <c r="K113" s="499">
        <v>0</v>
      </c>
      <c r="L113" s="499">
        <v>0</v>
      </c>
      <c r="M113" s="499">
        <v>0</v>
      </c>
      <c r="N113" s="499">
        <v>0</v>
      </c>
      <c r="O113" s="492">
        <f t="shared" si="160"/>
        <v>0</v>
      </c>
      <c r="P113" s="499">
        <v>0</v>
      </c>
      <c r="Q113" s="499">
        <v>0</v>
      </c>
      <c r="R113" s="499">
        <v>0</v>
      </c>
      <c r="S113" s="499">
        <v>0</v>
      </c>
      <c r="T113" s="492">
        <f t="shared" si="161"/>
        <v>0</v>
      </c>
      <c r="U113" s="500">
        <v>0</v>
      </c>
      <c r="V113" s="500">
        <v>0</v>
      </c>
      <c r="W113" s="500">
        <v>0</v>
      </c>
      <c r="X113" s="500">
        <v>0</v>
      </c>
      <c r="Y113" s="492">
        <f t="shared" si="162"/>
        <v>0</v>
      </c>
      <c r="Z113" s="500">
        <v>0</v>
      </c>
      <c r="AA113" s="500">
        <v>0</v>
      </c>
      <c r="AB113" s="500">
        <v>0</v>
      </c>
      <c r="AC113" s="500">
        <v>0</v>
      </c>
      <c r="AD113" s="492">
        <f t="shared" si="163"/>
        <v>0</v>
      </c>
      <c r="AE113" s="501">
        <v>0</v>
      </c>
      <c r="AF113" s="501">
        <v>0</v>
      </c>
      <c r="AG113" s="501">
        <v>0</v>
      </c>
    </row>
    <row r="114" ht="15.75" customHeight="1" hidden="1" spans="1:33" x14ac:dyDescent="0.25" outlineLevel="1">
      <c r="C114" s="131" t="str">
        <f>C$93</f>
        <v>Asia Pacific</v>
      </c>
      <c r="D114" s="8"/>
      <c r="E114" s="8"/>
      <c r="F114" s="499">
        <v>0</v>
      </c>
      <c r="G114" s="499">
        <v>0</v>
      </c>
      <c r="H114" s="499">
        <v>0</v>
      </c>
      <c r="I114" s="499">
        <v>0</v>
      </c>
      <c r="J114" s="492">
        <f t="shared" si="159"/>
        <v>0</v>
      </c>
      <c r="K114" s="499">
        <v>0</v>
      </c>
      <c r="L114" s="499">
        <v>0</v>
      </c>
      <c r="M114" s="499">
        <v>0</v>
      </c>
      <c r="N114" s="499">
        <v>0</v>
      </c>
      <c r="O114" s="492">
        <f t="shared" si="160"/>
        <v>0</v>
      </c>
      <c r="P114" s="499">
        <v>0</v>
      </c>
      <c r="Q114" s="499">
        <v>0</v>
      </c>
      <c r="R114" s="499">
        <v>0</v>
      </c>
      <c r="S114" s="499">
        <v>0</v>
      </c>
      <c r="T114" s="492">
        <f t="shared" si="161"/>
        <v>0</v>
      </c>
      <c r="U114" s="500">
        <v>0</v>
      </c>
      <c r="V114" s="500">
        <v>0</v>
      </c>
      <c r="W114" s="500">
        <v>0</v>
      </c>
      <c r="X114" s="500">
        <v>0</v>
      </c>
      <c r="Y114" s="492">
        <f t="shared" si="162"/>
        <v>0</v>
      </c>
      <c r="Z114" s="500">
        <v>0</v>
      </c>
      <c r="AA114" s="500">
        <v>0</v>
      </c>
      <c r="AB114" s="500">
        <v>0</v>
      </c>
      <c r="AC114" s="500">
        <v>0</v>
      </c>
      <c r="AD114" s="492">
        <f t="shared" si="163"/>
        <v>0</v>
      </c>
      <c r="AE114" s="501">
        <v>0</v>
      </c>
      <c r="AF114" s="501">
        <v>0</v>
      </c>
      <c r="AG114" s="501">
        <v>0</v>
      </c>
    </row>
    <row r="115" ht="15.75" customHeight="1" hidden="1" spans="1:33" x14ac:dyDescent="0.25" outlineLevel="1">
      <c r="C115" s="131"/>
      <c r="D115" s="8"/>
      <c r="E115" s="8"/>
      <c r="F115" s="527"/>
      <c r="G115" s="527"/>
      <c r="H115" s="527"/>
      <c r="I115" s="527"/>
      <c r="J115" s="166"/>
      <c r="K115" s="527"/>
      <c r="L115" s="527"/>
      <c r="M115" s="527"/>
      <c r="N115" s="527"/>
      <c r="O115" s="166"/>
      <c r="P115" s="527"/>
      <c r="Q115" s="527"/>
      <c r="R115" s="527"/>
      <c r="S115" s="527"/>
      <c r="T115" s="166"/>
      <c r="U115" s="528"/>
      <c r="V115" s="528"/>
      <c r="W115" s="528"/>
      <c r="X115" s="528"/>
      <c r="Y115" s="166"/>
      <c r="Z115" s="528"/>
      <c r="AA115" s="528"/>
      <c r="AB115" s="528"/>
      <c r="AC115" s="528"/>
      <c r="AD115" s="166"/>
      <c r="AE115" s="529"/>
      <c r="AF115" s="529"/>
      <c r="AG115" s="529"/>
    </row>
    <row r="116" ht="15.75" customHeight="1" hidden="1" spans="1:33" x14ac:dyDescent="0.25" outlineLevel="1">
      <c r="C116" s="8" t="str">
        <f>'Segment Analysis'!C10</f>
        <v> Revenue</v>
      </c>
      <c r="D116" s="8"/>
      <c r="E116" s="8"/>
      <c r="F116" s="527"/>
      <c r="G116" s="527"/>
      <c r="H116" s="527"/>
      <c r="I116" s="527"/>
      <c r="J116" s="166"/>
      <c r="K116" s="527"/>
      <c r="L116" s="527"/>
      <c r="M116" s="527"/>
      <c r="N116" s="527"/>
      <c r="O116" s="166"/>
      <c r="P116" s="527"/>
      <c r="Q116" s="527"/>
      <c r="R116" s="527"/>
      <c r="S116" s="527"/>
      <c r="T116" s="166"/>
      <c r="U116" s="528"/>
      <c r="V116" s="528"/>
      <c r="W116" s="528"/>
      <c r="X116" s="528"/>
      <c r="Y116" s="166"/>
      <c r="Z116" s="528"/>
      <c r="AA116" s="528"/>
      <c r="AB116" s="528"/>
      <c r="AC116" s="528"/>
      <c r="AD116" s="166"/>
      <c r="AE116" s="529"/>
      <c r="AF116" s="529"/>
      <c r="AG116" s="529"/>
    </row>
    <row r="117" ht="15.75" customHeight="1" hidden="1" spans="1:33" x14ac:dyDescent="0.25" outlineLevel="1">
      <c r="C117" s="131" t="str">
        <f>C$89</f>
        <v>North America</v>
      </c>
      <c r="D117" s="8"/>
      <c r="E117" s="8"/>
      <c r="F117" s="499">
        <v>0</v>
      </c>
      <c r="G117" s="499">
        <v>0</v>
      </c>
      <c r="H117" s="499">
        <v>0</v>
      </c>
      <c r="I117" s="499">
        <v>0</v>
      </c>
      <c r="J117" s="492">
        <f t="shared" ref="J117:J121" si="164">SUM(F117:I117)</f>
        <v>0</v>
      </c>
      <c r="K117" s="499">
        <v>0</v>
      </c>
      <c r="L117" s="499">
        <v>0</v>
      </c>
      <c r="M117" s="499">
        <v>0</v>
      </c>
      <c r="N117" s="499">
        <v>0</v>
      </c>
      <c r="O117" s="492">
        <f t="shared" ref="O117:O121" si="165">SUM(K117:N117)</f>
        <v>0</v>
      </c>
      <c r="P117" s="499">
        <v>0</v>
      </c>
      <c r="Q117" s="499">
        <v>0</v>
      </c>
      <c r="R117" s="499">
        <v>0</v>
      </c>
      <c r="S117" s="499">
        <v>0</v>
      </c>
      <c r="T117" s="492">
        <f t="shared" ref="T117:T121" si="166">SUM(P117:S117)</f>
        <v>0</v>
      </c>
      <c r="U117" s="500">
        <v>0</v>
      </c>
      <c r="V117" s="500">
        <v>0</v>
      </c>
      <c r="W117" s="500">
        <v>0</v>
      </c>
      <c r="X117" s="500">
        <v>0</v>
      </c>
      <c r="Y117" s="492">
        <f t="shared" ref="Y117:Y121" si="167">SUM(U117:X117)</f>
        <v>0</v>
      </c>
      <c r="Z117" s="500">
        <v>0</v>
      </c>
      <c r="AA117" s="500">
        <v>0</v>
      </c>
      <c r="AB117" s="500">
        <v>0</v>
      </c>
      <c r="AC117" s="500">
        <v>0</v>
      </c>
      <c r="AD117" s="492">
        <f t="shared" ref="AD117:AD121" si="168">SUM(Z117:AC117)</f>
        <v>0</v>
      </c>
      <c r="AE117" s="501">
        <v>0</v>
      </c>
      <c r="AF117" s="501">
        <v>0</v>
      </c>
      <c r="AG117" s="501">
        <v>0</v>
      </c>
    </row>
    <row r="118" ht="15.75" customHeight="1" hidden="1" spans="1:33" x14ac:dyDescent="0.25" outlineLevel="1">
      <c r="C118" s="131" t="str">
        <f>C$90</f>
        <v>Europe</v>
      </c>
      <c r="D118" s="8"/>
      <c r="E118" s="8"/>
      <c r="F118" s="499">
        <v>0</v>
      </c>
      <c r="G118" s="499">
        <v>0</v>
      </c>
      <c r="H118" s="499">
        <v>0</v>
      </c>
      <c r="I118" s="499">
        <v>0</v>
      </c>
      <c r="J118" s="492">
        <f t="shared" si="164"/>
        <v>0</v>
      </c>
      <c r="K118" s="499">
        <v>0</v>
      </c>
      <c r="L118" s="499">
        <v>0</v>
      </c>
      <c r="M118" s="499">
        <v>0</v>
      </c>
      <c r="N118" s="499">
        <v>0</v>
      </c>
      <c r="O118" s="492">
        <f t="shared" si="165"/>
        <v>0</v>
      </c>
      <c r="P118" s="499">
        <v>0</v>
      </c>
      <c r="Q118" s="499">
        <v>0</v>
      </c>
      <c r="R118" s="499">
        <v>0</v>
      </c>
      <c r="S118" s="499">
        <v>0</v>
      </c>
      <c r="T118" s="492">
        <f t="shared" si="166"/>
        <v>0</v>
      </c>
      <c r="U118" s="500">
        <v>0</v>
      </c>
      <c r="V118" s="500">
        <v>0</v>
      </c>
      <c r="W118" s="500">
        <v>0</v>
      </c>
      <c r="X118" s="500">
        <v>0</v>
      </c>
      <c r="Y118" s="492">
        <f t="shared" si="167"/>
        <v>0</v>
      </c>
      <c r="Z118" s="500">
        <v>0</v>
      </c>
      <c r="AA118" s="500">
        <v>0</v>
      </c>
      <c r="AB118" s="500">
        <v>0</v>
      </c>
      <c r="AC118" s="500">
        <v>0</v>
      </c>
      <c r="AD118" s="492">
        <f t="shared" si="168"/>
        <v>0</v>
      </c>
      <c r="AE118" s="501">
        <v>0</v>
      </c>
      <c r="AF118" s="501">
        <v>0</v>
      </c>
      <c r="AG118" s="501">
        <v>0</v>
      </c>
    </row>
    <row r="119" ht="15.75" customHeight="1" hidden="1" spans="1:33" x14ac:dyDescent="0.25" outlineLevel="1">
      <c r="C119" s="131" t="str">
        <f>C$91</f>
        <v>South America</v>
      </c>
      <c r="D119" s="8"/>
      <c r="E119" s="8"/>
      <c r="F119" s="499">
        <v>0</v>
      </c>
      <c r="G119" s="499">
        <v>0</v>
      </c>
      <c r="H119" s="499">
        <v>0</v>
      </c>
      <c r="I119" s="499">
        <v>0</v>
      </c>
      <c r="J119" s="492">
        <f t="shared" si="164"/>
        <v>0</v>
      </c>
      <c r="K119" s="499">
        <v>0</v>
      </c>
      <c r="L119" s="499">
        <v>0</v>
      </c>
      <c r="M119" s="499">
        <v>0</v>
      </c>
      <c r="N119" s="499">
        <v>0</v>
      </c>
      <c r="O119" s="492">
        <f t="shared" si="165"/>
        <v>0</v>
      </c>
      <c r="P119" s="499">
        <v>0</v>
      </c>
      <c r="Q119" s="499">
        <v>0</v>
      </c>
      <c r="R119" s="499">
        <v>0</v>
      </c>
      <c r="S119" s="499">
        <v>0</v>
      </c>
      <c r="T119" s="492">
        <f t="shared" si="166"/>
        <v>0</v>
      </c>
      <c r="U119" s="500">
        <v>0</v>
      </c>
      <c r="V119" s="500">
        <v>0</v>
      </c>
      <c r="W119" s="500">
        <v>0</v>
      </c>
      <c r="X119" s="500">
        <v>0</v>
      </c>
      <c r="Y119" s="492">
        <f t="shared" si="167"/>
        <v>0</v>
      </c>
      <c r="Z119" s="500">
        <v>0</v>
      </c>
      <c r="AA119" s="500">
        <v>0</v>
      </c>
      <c r="AB119" s="500">
        <v>0</v>
      </c>
      <c r="AC119" s="500">
        <v>0</v>
      </c>
      <c r="AD119" s="492">
        <f t="shared" si="168"/>
        <v>0</v>
      </c>
      <c r="AE119" s="501">
        <v>0</v>
      </c>
      <c r="AF119" s="501">
        <v>0</v>
      </c>
      <c r="AG119" s="501">
        <v>0</v>
      </c>
    </row>
    <row r="120" ht="15.75" customHeight="1" hidden="1" spans="1:33" x14ac:dyDescent="0.25" outlineLevel="1">
      <c r="C120" s="131" t="str">
        <f>C$92</f>
        <v>Middle East &amp; Africa</v>
      </c>
      <c r="D120" s="8"/>
      <c r="E120" s="8"/>
      <c r="F120" s="499">
        <v>0</v>
      </c>
      <c r="G120" s="499">
        <v>0</v>
      </c>
      <c r="H120" s="499">
        <v>0</v>
      </c>
      <c r="I120" s="499">
        <v>0</v>
      </c>
      <c r="J120" s="492">
        <f t="shared" si="164"/>
        <v>0</v>
      </c>
      <c r="K120" s="499">
        <v>0</v>
      </c>
      <c r="L120" s="499">
        <v>0</v>
      </c>
      <c r="M120" s="499">
        <v>0</v>
      </c>
      <c r="N120" s="499">
        <v>0</v>
      </c>
      <c r="O120" s="492">
        <f t="shared" si="165"/>
        <v>0</v>
      </c>
      <c r="P120" s="499">
        <v>0</v>
      </c>
      <c r="Q120" s="499">
        <v>0</v>
      </c>
      <c r="R120" s="499">
        <v>0</v>
      </c>
      <c r="S120" s="499">
        <v>0</v>
      </c>
      <c r="T120" s="492">
        <f t="shared" si="166"/>
        <v>0</v>
      </c>
      <c r="U120" s="500">
        <v>0</v>
      </c>
      <c r="V120" s="500">
        <v>0</v>
      </c>
      <c r="W120" s="500">
        <v>0</v>
      </c>
      <c r="X120" s="500">
        <v>0</v>
      </c>
      <c r="Y120" s="492">
        <f t="shared" si="167"/>
        <v>0</v>
      </c>
      <c r="Z120" s="500">
        <v>0</v>
      </c>
      <c r="AA120" s="500">
        <v>0</v>
      </c>
      <c r="AB120" s="500">
        <v>0</v>
      </c>
      <c r="AC120" s="500">
        <v>0</v>
      </c>
      <c r="AD120" s="492">
        <f t="shared" si="168"/>
        <v>0</v>
      </c>
      <c r="AE120" s="501">
        <v>0</v>
      </c>
      <c r="AF120" s="501">
        <v>0</v>
      </c>
      <c r="AG120" s="501">
        <v>0</v>
      </c>
    </row>
    <row r="121" ht="15.75" customHeight="1" hidden="1" spans="1:33" x14ac:dyDescent="0.25" outlineLevel="1">
      <c r="C121" s="131" t="str">
        <f>C$93</f>
        <v>Asia Pacific</v>
      </c>
      <c r="D121" s="8"/>
      <c r="E121" s="8"/>
      <c r="F121" s="499">
        <v>0</v>
      </c>
      <c r="G121" s="499">
        <v>0</v>
      </c>
      <c r="H121" s="499">
        <v>0</v>
      </c>
      <c r="I121" s="499">
        <v>0</v>
      </c>
      <c r="J121" s="492">
        <f t="shared" si="164"/>
        <v>0</v>
      </c>
      <c r="K121" s="499">
        <v>0</v>
      </c>
      <c r="L121" s="499">
        <v>0</v>
      </c>
      <c r="M121" s="499">
        <v>0</v>
      </c>
      <c r="N121" s="499">
        <v>0</v>
      </c>
      <c r="O121" s="492">
        <f t="shared" si="165"/>
        <v>0</v>
      </c>
      <c r="P121" s="499">
        <v>0</v>
      </c>
      <c r="Q121" s="499">
        <v>0</v>
      </c>
      <c r="R121" s="499">
        <v>0</v>
      </c>
      <c r="S121" s="499">
        <v>0</v>
      </c>
      <c r="T121" s="492">
        <f t="shared" si="166"/>
        <v>0</v>
      </c>
      <c r="U121" s="500">
        <v>0</v>
      </c>
      <c r="V121" s="500">
        <v>0</v>
      </c>
      <c r="W121" s="500">
        <v>0</v>
      </c>
      <c r="X121" s="500">
        <v>0</v>
      </c>
      <c r="Y121" s="492">
        <f t="shared" si="167"/>
        <v>0</v>
      </c>
      <c r="Z121" s="500">
        <v>0</v>
      </c>
      <c r="AA121" s="500">
        <v>0</v>
      </c>
      <c r="AB121" s="500">
        <v>0</v>
      </c>
      <c r="AC121" s="500">
        <v>0</v>
      </c>
      <c r="AD121" s="492">
        <f t="shared" si="168"/>
        <v>0</v>
      </c>
      <c r="AE121" s="501">
        <v>0</v>
      </c>
      <c r="AF121" s="501">
        <v>0</v>
      </c>
      <c r="AG121" s="501">
        <v>0</v>
      </c>
    </row>
    <row r="122" ht="15.75" customHeight="1" hidden="1" spans="1:33" x14ac:dyDescent="0.25" outlineLevel="1">
      <c r="C122" s="8"/>
      <c r="D122" s="8"/>
      <c r="E122" s="8"/>
      <c r="F122" s="527"/>
      <c r="G122" s="527"/>
      <c r="H122" s="527"/>
      <c r="I122" s="527"/>
      <c r="J122" s="166"/>
      <c r="K122" s="527"/>
      <c r="L122" s="527"/>
      <c r="M122" s="527"/>
      <c r="N122" s="527"/>
      <c r="O122" s="166"/>
      <c r="P122" s="527"/>
      <c r="Q122" s="527"/>
      <c r="R122" s="527"/>
      <c r="S122" s="527"/>
      <c r="T122" s="166"/>
      <c r="U122" s="528"/>
      <c r="V122" s="528"/>
      <c r="W122" s="528"/>
      <c r="X122" s="528"/>
      <c r="Y122" s="166"/>
      <c r="Z122" s="528"/>
      <c r="AA122" s="528"/>
      <c r="AB122" s="528"/>
      <c r="AC122" s="528"/>
      <c r="AD122" s="166"/>
      <c r="AE122" s="529"/>
      <c r="AF122" s="529"/>
      <c r="AG122" s="529"/>
    </row>
    <row r="123" ht="15.75" customHeight="1" hidden="1" spans="1:33" x14ac:dyDescent="0.25" outlineLevel="1">
      <c r="C123" s="8" t="str">
        <f>'Segment Analysis'!C11</f>
        <v> Revenue</v>
      </c>
      <c r="D123" s="8"/>
      <c r="E123" s="8"/>
      <c r="F123" s="527"/>
      <c r="G123" s="527"/>
      <c r="H123" s="527"/>
      <c r="I123" s="527"/>
      <c r="J123" s="166"/>
      <c r="K123" s="527"/>
      <c r="L123" s="527"/>
      <c r="M123" s="527"/>
      <c r="N123" s="527"/>
      <c r="O123" s="166"/>
      <c r="P123" s="527"/>
      <c r="Q123" s="527"/>
      <c r="R123" s="527"/>
      <c r="S123" s="527"/>
      <c r="T123" s="166"/>
      <c r="U123" s="528"/>
      <c r="V123" s="528"/>
      <c r="W123" s="528"/>
      <c r="X123" s="528"/>
      <c r="Y123" s="166"/>
      <c r="Z123" s="528"/>
      <c r="AA123" s="528"/>
      <c r="AB123" s="528"/>
      <c r="AC123" s="528"/>
      <c r="AD123" s="166"/>
      <c r="AE123" s="529"/>
      <c r="AF123" s="529"/>
      <c r="AG123" s="529"/>
    </row>
    <row r="124" ht="15.75" customHeight="1" hidden="1" spans="1:33" x14ac:dyDescent="0.25" outlineLevel="1">
      <c r="C124" s="131" t="str">
        <f>C$89</f>
        <v>North America</v>
      </c>
      <c r="D124" s="8"/>
      <c r="E124" s="8"/>
      <c r="F124" s="499">
        <v>0</v>
      </c>
      <c r="G124" s="499">
        <v>0</v>
      </c>
      <c r="H124" s="499">
        <v>0</v>
      </c>
      <c r="I124" s="499">
        <v>0</v>
      </c>
      <c r="J124" s="492">
        <f t="shared" ref="J124:J128" si="169">SUM(F124:I124)</f>
        <v>0</v>
      </c>
      <c r="K124" s="499">
        <v>0</v>
      </c>
      <c r="L124" s="499">
        <v>0</v>
      </c>
      <c r="M124" s="499">
        <v>0</v>
      </c>
      <c r="N124" s="499">
        <v>0</v>
      </c>
      <c r="O124" s="492">
        <f t="shared" ref="O124:O128" si="170">SUM(K124:N124)</f>
        <v>0</v>
      </c>
      <c r="P124" s="499">
        <v>0</v>
      </c>
      <c r="Q124" s="499">
        <v>0</v>
      </c>
      <c r="R124" s="499">
        <v>0</v>
      </c>
      <c r="S124" s="499">
        <v>0</v>
      </c>
      <c r="T124" s="492">
        <f t="shared" ref="T124:T128" si="171">SUM(P124:S124)</f>
        <v>0</v>
      </c>
      <c r="U124" s="500">
        <v>0</v>
      </c>
      <c r="V124" s="500">
        <v>0</v>
      </c>
      <c r="W124" s="500">
        <v>0</v>
      </c>
      <c r="X124" s="500">
        <v>0</v>
      </c>
      <c r="Y124" s="492">
        <f t="shared" ref="Y124:Y128" si="172">SUM(U124:X124)</f>
        <v>0</v>
      </c>
      <c r="Z124" s="500">
        <v>0</v>
      </c>
      <c r="AA124" s="500">
        <v>0</v>
      </c>
      <c r="AB124" s="500">
        <v>0</v>
      </c>
      <c r="AC124" s="500">
        <v>0</v>
      </c>
      <c r="AD124" s="492">
        <f t="shared" ref="AD124:AD128" si="173">SUM(Z124:AC124)</f>
        <v>0</v>
      </c>
      <c r="AE124" s="501">
        <v>0</v>
      </c>
      <c r="AF124" s="501">
        <v>0</v>
      </c>
      <c r="AG124" s="501">
        <v>0</v>
      </c>
    </row>
    <row r="125" ht="15.75" customHeight="1" hidden="1" spans="1:33" x14ac:dyDescent="0.25" outlineLevel="1">
      <c r="C125" s="131" t="str">
        <f>C$90</f>
        <v>Europe</v>
      </c>
      <c r="D125" s="8"/>
      <c r="E125" s="8"/>
      <c r="F125" s="499">
        <v>0</v>
      </c>
      <c r="G125" s="499">
        <v>0</v>
      </c>
      <c r="H125" s="499">
        <v>0</v>
      </c>
      <c r="I125" s="499">
        <v>0</v>
      </c>
      <c r="J125" s="492">
        <f t="shared" si="169"/>
        <v>0</v>
      </c>
      <c r="K125" s="499">
        <v>0</v>
      </c>
      <c r="L125" s="499">
        <v>0</v>
      </c>
      <c r="M125" s="499">
        <v>0</v>
      </c>
      <c r="N125" s="499">
        <v>0</v>
      </c>
      <c r="O125" s="492">
        <f t="shared" si="170"/>
        <v>0</v>
      </c>
      <c r="P125" s="499">
        <v>0</v>
      </c>
      <c r="Q125" s="499">
        <v>0</v>
      </c>
      <c r="R125" s="499">
        <v>0</v>
      </c>
      <c r="S125" s="499">
        <v>0</v>
      </c>
      <c r="T125" s="492">
        <f t="shared" si="171"/>
        <v>0</v>
      </c>
      <c r="U125" s="500">
        <v>0</v>
      </c>
      <c r="V125" s="500">
        <v>0</v>
      </c>
      <c r="W125" s="500">
        <v>0</v>
      </c>
      <c r="X125" s="500">
        <v>0</v>
      </c>
      <c r="Y125" s="492">
        <f t="shared" si="172"/>
        <v>0</v>
      </c>
      <c r="Z125" s="500">
        <v>0</v>
      </c>
      <c r="AA125" s="500">
        <v>0</v>
      </c>
      <c r="AB125" s="500">
        <v>0</v>
      </c>
      <c r="AC125" s="500">
        <v>0</v>
      </c>
      <c r="AD125" s="492">
        <f t="shared" si="173"/>
        <v>0</v>
      </c>
      <c r="AE125" s="501">
        <v>0</v>
      </c>
      <c r="AF125" s="501">
        <v>0</v>
      </c>
      <c r="AG125" s="501">
        <v>0</v>
      </c>
    </row>
    <row r="126" ht="15.75" customHeight="1" hidden="1" spans="1:33" x14ac:dyDescent="0.25" outlineLevel="1">
      <c r="C126" s="131" t="str">
        <f>C$91</f>
        <v>South America</v>
      </c>
      <c r="D126" s="8"/>
      <c r="E126" s="8"/>
      <c r="F126" s="499">
        <v>0</v>
      </c>
      <c r="G126" s="499">
        <v>0</v>
      </c>
      <c r="H126" s="499">
        <v>0</v>
      </c>
      <c r="I126" s="499">
        <v>0</v>
      </c>
      <c r="J126" s="492">
        <f t="shared" si="169"/>
        <v>0</v>
      </c>
      <c r="K126" s="499">
        <v>0</v>
      </c>
      <c r="L126" s="499">
        <v>0</v>
      </c>
      <c r="M126" s="499">
        <v>0</v>
      </c>
      <c r="N126" s="499">
        <v>0</v>
      </c>
      <c r="O126" s="492">
        <f t="shared" si="170"/>
        <v>0</v>
      </c>
      <c r="P126" s="499">
        <v>0</v>
      </c>
      <c r="Q126" s="499">
        <v>0</v>
      </c>
      <c r="R126" s="499">
        <v>0</v>
      </c>
      <c r="S126" s="499">
        <v>0</v>
      </c>
      <c r="T126" s="492">
        <f t="shared" si="171"/>
        <v>0</v>
      </c>
      <c r="U126" s="500">
        <v>0</v>
      </c>
      <c r="V126" s="500">
        <v>0</v>
      </c>
      <c r="W126" s="500">
        <v>0</v>
      </c>
      <c r="X126" s="500">
        <v>0</v>
      </c>
      <c r="Y126" s="492">
        <f t="shared" si="172"/>
        <v>0</v>
      </c>
      <c r="Z126" s="500">
        <v>0</v>
      </c>
      <c r="AA126" s="500">
        <v>0</v>
      </c>
      <c r="AB126" s="500">
        <v>0</v>
      </c>
      <c r="AC126" s="500">
        <v>0</v>
      </c>
      <c r="AD126" s="492">
        <f t="shared" si="173"/>
        <v>0</v>
      </c>
      <c r="AE126" s="501">
        <v>0</v>
      </c>
      <c r="AF126" s="501">
        <v>0</v>
      </c>
      <c r="AG126" s="501">
        <v>0</v>
      </c>
    </row>
    <row r="127" ht="15.75" customHeight="1" hidden="1" spans="1:33" x14ac:dyDescent="0.25" outlineLevel="1">
      <c r="C127" s="131" t="str">
        <f>C$92</f>
        <v>Middle East &amp; Africa</v>
      </c>
      <c r="D127" s="8"/>
      <c r="E127" s="8"/>
      <c r="F127" s="499">
        <v>0</v>
      </c>
      <c r="G127" s="499">
        <v>0</v>
      </c>
      <c r="H127" s="499">
        <v>0</v>
      </c>
      <c r="I127" s="499">
        <v>0</v>
      </c>
      <c r="J127" s="492">
        <f t="shared" si="169"/>
        <v>0</v>
      </c>
      <c r="K127" s="499">
        <v>0</v>
      </c>
      <c r="L127" s="499">
        <v>0</v>
      </c>
      <c r="M127" s="499">
        <v>0</v>
      </c>
      <c r="N127" s="499">
        <v>0</v>
      </c>
      <c r="O127" s="492">
        <f t="shared" si="170"/>
        <v>0</v>
      </c>
      <c r="P127" s="499">
        <v>0</v>
      </c>
      <c r="Q127" s="499">
        <v>0</v>
      </c>
      <c r="R127" s="499">
        <v>0</v>
      </c>
      <c r="S127" s="499">
        <v>0</v>
      </c>
      <c r="T127" s="492">
        <f t="shared" si="171"/>
        <v>0</v>
      </c>
      <c r="U127" s="500">
        <v>0</v>
      </c>
      <c r="V127" s="500">
        <v>0</v>
      </c>
      <c r="W127" s="500">
        <v>0</v>
      </c>
      <c r="X127" s="500">
        <v>0</v>
      </c>
      <c r="Y127" s="492">
        <f t="shared" si="172"/>
        <v>0</v>
      </c>
      <c r="Z127" s="500">
        <v>0</v>
      </c>
      <c r="AA127" s="500">
        <v>0</v>
      </c>
      <c r="AB127" s="500">
        <v>0</v>
      </c>
      <c r="AC127" s="500">
        <v>0</v>
      </c>
      <c r="AD127" s="492">
        <f t="shared" si="173"/>
        <v>0</v>
      </c>
      <c r="AE127" s="501">
        <v>0</v>
      </c>
      <c r="AF127" s="501">
        <v>0</v>
      </c>
      <c r="AG127" s="501">
        <v>0</v>
      </c>
    </row>
    <row r="128" ht="15.75" customHeight="1" hidden="1" spans="1:33" x14ac:dyDescent="0.25" outlineLevel="1">
      <c r="C128" s="131" t="str">
        <f>C$93</f>
        <v>Asia Pacific</v>
      </c>
      <c r="D128" s="8"/>
      <c r="E128" s="8"/>
      <c r="F128" s="499">
        <v>0</v>
      </c>
      <c r="G128" s="499">
        <v>0</v>
      </c>
      <c r="H128" s="499">
        <v>0</v>
      </c>
      <c r="I128" s="499">
        <v>0</v>
      </c>
      <c r="J128" s="492">
        <f t="shared" si="169"/>
        <v>0</v>
      </c>
      <c r="K128" s="499">
        <v>0</v>
      </c>
      <c r="L128" s="499">
        <v>0</v>
      </c>
      <c r="M128" s="499">
        <v>0</v>
      </c>
      <c r="N128" s="499">
        <v>0</v>
      </c>
      <c r="O128" s="492">
        <f t="shared" si="170"/>
        <v>0</v>
      </c>
      <c r="P128" s="499">
        <v>0</v>
      </c>
      <c r="Q128" s="499">
        <v>0</v>
      </c>
      <c r="R128" s="499">
        <v>0</v>
      </c>
      <c r="S128" s="499">
        <v>0</v>
      </c>
      <c r="T128" s="492">
        <f t="shared" si="171"/>
        <v>0</v>
      </c>
      <c r="U128" s="500">
        <v>0</v>
      </c>
      <c r="V128" s="500">
        <v>0</v>
      </c>
      <c r="W128" s="500">
        <v>0</v>
      </c>
      <c r="X128" s="500">
        <v>0</v>
      </c>
      <c r="Y128" s="492">
        <f t="shared" si="172"/>
        <v>0</v>
      </c>
      <c r="Z128" s="500">
        <v>0</v>
      </c>
      <c r="AA128" s="500">
        <v>0</v>
      </c>
      <c r="AB128" s="500">
        <v>0</v>
      </c>
      <c r="AC128" s="500">
        <v>0</v>
      </c>
      <c r="AD128" s="492">
        <f t="shared" si="173"/>
        <v>0</v>
      </c>
      <c r="AE128" s="501">
        <v>0</v>
      </c>
      <c r="AF128" s="501">
        <v>0</v>
      </c>
      <c r="AG128" s="501">
        <v>0</v>
      </c>
    </row>
    <row r="129" ht="15.75" customHeight="1" hidden="1" spans="1:33" x14ac:dyDescent="0.25" outlineLevel="1">
      <c r="C129" s="8"/>
      <c r="D129" s="8"/>
      <c r="E129" s="8"/>
      <c r="F129" s="527"/>
      <c r="G129" s="527"/>
      <c r="H129" s="527"/>
      <c r="I129" s="527"/>
      <c r="J129" s="166"/>
      <c r="K129" s="527"/>
      <c r="L129" s="527"/>
      <c r="M129" s="527"/>
      <c r="N129" s="527"/>
      <c r="O129" s="166"/>
      <c r="P129" s="527"/>
      <c r="Q129" s="527"/>
      <c r="R129" s="527"/>
      <c r="S129" s="527"/>
      <c r="T129" s="166"/>
      <c r="U129" s="528"/>
      <c r="V129" s="528"/>
      <c r="W129" s="528"/>
      <c r="X129" s="528"/>
      <c r="Y129" s="166"/>
      <c r="Z129" s="528"/>
      <c r="AA129" s="528"/>
      <c r="AB129" s="528"/>
      <c r="AC129" s="528"/>
      <c r="AD129" s="166"/>
      <c r="AE129" s="529"/>
      <c r="AF129" s="529"/>
      <c r="AG129" s="529"/>
    </row>
    <row r="130" ht="15.75" customHeight="1" hidden="1" spans="1:33" x14ac:dyDescent="0.25" outlineLevel="1">
      <c r="C130" s="8" t="str">
        <f>'Segment Analysis'!C12</f>
        <v> Revenue</v>
      </c>
      <c r="D130" s="8"/>
      <c r="E130" s="8"/>
      <c r="F130" s="527"/>
      <c r="G130" s="527"/>
      <c r="H130" s="527"/>
      <c r="I130" s="527"/>
      <c r="J130" s="166"/>
      <c r="K130" s="527"/>
      <c r="L130" s="527"/>
      <c r="M130" s="527"/>
      <c r="N130" s="527"/>
      <c r="O130" s="166"/>
      <c r="P130" s="527"/>
      <c r="Q130" s="527"/>
      <c r="R130" s="527"/>
      <c r="S130" s="527"/>
      <c r="T130" s="166"/>
      <c r="U130" s="528"/>
      <c r="V130" s="528"/>
      <c r="W130" s="528"/>
      <c r="X130" s="528"/>
      <c r="Y130" s="166"/>
      <c r="Z130" s="528"/>
      <c r="AA130" s="528"/>
      <c r="AB130" s="528"/>
      <c r="AC130" s="528"/>
      <c r="AD130" s="166"/>
      <c r="AE130" s="529"/>
      <c r="AF130" s="529"/>
      <c r="AG130" s="529"/>
    </row>
    <row r="131" ht="15.75" customHeight="1" hidden="1" spans="1:33" x14ac:dyDescent="0.25" outlineLevel="1">
      <c r="C131" s="131" t="str">
        <f>C$89</f>
        <v>North America</v>
      </c>
      <c r="D131" s="8"/>
      <c r="E131" s="8"/>
      <c r="F131" s="499">
        <v>0</v>
      </c>
      <c r="G131" s="499">
        <v>0</v>
      </c>
      <c r="H131" s="499">
        <v>0</v>
      </c>
      <c r="I131" s="499">
        <v>0</v>
      </c>
      <c r="J131" s="492">
        <f t="shared" ref="J131:J135" si="174">SUM(F131:I131)</f>
        <v>0</v>
      </c>
      <c r="K131" s="499">
        <v>0</v>
      </c>
      <c r="L131" s="499">
        <v>0</v>
      </c>
      <c r="M131" s="499">
        <v>0</v>
      </c>
      <c r="N131" s="499">
        <v>0</v>
      </c>
      <c r="O131" s="492">
        <f t="shared" ref="O131:O135" si="175">SUM(K131:N131)</f>
        <v>0</v>
      </c>
      <c r="P131" s="499">
        <v>0</v>
      </c>
      <c r="Q131" s="499">
        <v>0</v>
      </c>
      <c r="R131" s="499">
        <v>0</v>
      </c>
      <c r="S131" s="499">
        <v>0</v>
      </c>
      <c r="T131" s="492">
        <f t="shared" ref="T131:T135" si="176">SUM(P131:S131)</f>
        <v>0</v>
      </c>
      <c r="U131" s="500">
        <v>0</v>
      </c>
      <c r="V131" s="500">
        <v>0</v>
      </c>
      <c r="W131" s="500">
        <v>0</v>
      </c>
      <c r="X131" s="500">
        <v>0</v>
      </c>
      <c r="Y131" s="492">
        <f t="shared" ref="Y131:Y135" si="177">SUM(U131:X131)</f>
        <v>0</v>
      </c>
      <c r="Z131" s="500">
        <v>0</v>
      </c>
      <c r="AA131" s="500">
        <v>0</v>
      </c>
      <c r="AB131" s="500">
        <v>0</v>
      </c>
      <c r="AC131" s="500">
        <v>0</v>
      </c>
      <c r="AD131" s="492">
        <f t="shared" ref="AD131:AD135" si="178">SUM(Z131:AC131)</f>
        <v>0</v>
      </c>
      <c r="AE131" s="501">
        <v>0</v>
      </c>
      <c r="AF131" s="501">
        <v>0</v>
      </c>
      <c r="AG131" s="501">
        <v>0</v>
      </c>
    </row>
    <row r="132" ht="15.75" customHeight="1" hidden="1" spans="1:33" x14ac:dyDescent="0.25" outlineLevel="1">
      <c r="C132" s="131" t="str">
        <f>C$90</f>
        <v>Europe</v>
      </c>
      <c r="D132" s="8"/>
      <c r="E132" s="8"/>
      <c r="F132" s="499">
        <v>0</v>
      </c>
      <c r="G132" s="499">
        <v>0</v>
      </c>
      <c r="H132" s="499">
        <v>0</v>
      </c>
      <c r="I132" s="499">
        <v>0</v>
      </c>
      <c r="J132" s="492">
        <f t="shared" si="174"/>
        <v>0</v>
      </c>
      <c r="K132" s="499">
        <v>0</v>
      </c>
      <c r="L132" s="499">
        <v>0</v>
      </c>
      <c r="M132" s="499">
        <v>0</v>
      </c>
      <c r="N132" s="499">
        <v>0</v>
      </c>
      <c r="O132" s="492">
        <f t="shared" si="175"/>
        <v>0</v>
      </c>
      <c r="P132" s="499">
        <v>0</v>
      </c>
      <c r="Q132" s="499">
        <v>0</v>
      </c>
      <c r="R132" s="499">
        <v>0</v>
      </c>
      <c r="S132" s="499">
        <v>0</v>
      </c>
      <c r="T132" s="492">
        <f t="shared" si="176"/>
        <v>0</v>
      </c>
      <c r="U132" s="500">
        <v>0</v>
      </c>
      <c r="V132" s="500">
        <v>0</v>
      </c>
      <c r="W132" s="500">
        <v>0</v>
      </c>
      <c r="X132" s="500">
        <v>0</v>
      </c>
      <c r="Y132" s="492">
        <f t="shared" si="177"/>
        <v>0</v>
      </c>
      <c r="Z132" s="500">
        <v>0</v>
      </c>
      <c r="AA132" s="500">
        <v>0</v>
      </c>
      <c r="AB132" s="500">
        <v>0</v>
      </c>
      <c r="AC132" s="500">
        <v>0</v>
      </c>
      <c r="AD132" s="492">
        <f t="shared" si="178"/>
        <v>0</v>
      </c>
      <c r="AE132" s="501">
        <v>0</v>
      </c>
      <c r="AF132" s="501">
        <v>0</v>
      </c>
      <c r="AG132" s="501">
        <v>0</v>
      </c>
    </row>
    <row r="133" ht="15.75" customHeight="1" hidden="1" spans="1:33" x14ac:dyDescent="0.25" outlineLevel="1">
      <c r="C133" s="131" t="str">
        <f>C$91</f>
        <v>South America</v>
      </c>
      <c r="D133" s="8"/>
      <c r="E133" s="8"/>
      <c r="F133" s="499">
        <v>0</v>
      </c>
      <c r="G133" s="499">
        <v>0</v>
      </c>
      <c r="H133" s="499">
        <v>0</v>
      </c>
      <c r="I133" s="499">
        <v>0</v>
      </c>
      <c r="J133" s="492">
        <f t="shared" si="174"/>
        <v>0</v>
      </c>
      <c r="K133" s="499">
        <v>0</v>
      </c>
      <c r="L133" s="499">
        <v>0</v>
      </c>
      <c r="M133" s="499">
        <v>0</v>
      </c>
      <c r="N133" s="499">
        <v>0</v>
      </c>
      <c r="O133" s="492">
        <f t="shared" si="175"/>
        <v>0</v>
      </c>
      <c r="P133" s="499">
        <v>0</v>
      </c>
      <c r="Q133" s="499">
        <v>0</v>
      </c>
      <c r="R133" s="499">
        <v>0</v>
      </c>
      <c r="S133" s="499">
        <v>0</v>
      </c>
      <c r="T133" s="492">
        <f t="shared" si="176"/>
        <v>0</v>
      </c>
      <c r="U133" s="500">
        <v>0</v>
      </c>
      <c r="V133" s="500">
        <v>0</v>
      </c>
      <c r="W133" s="500">
        <v>0</v>
      </c>
      <c r="X133" s="500">
        <v>0</v>
      </c>
      <c r="Y133" s="492">
        <f t="shared" si="177"/>
        <v>0</v>
      </c>
      <c r="Z133" s="500">
        <v>0</v>
      </c>
      <c r="AA133" s="500">
        <v>0</v>
      </c>
      <c r="AB133" s="500">
        <v>0</v>
      </c>
      <c r="AC133" s="500">
        <v>0</v>
      </c>
      <c r="AD133" s="492">
        <f t="shared" si="178"/>
        <v>0</v>
      </c>
      <c r="AE133" s="501">
        <v>0</v>
      </c>
      <c r="AF133" s="501">
        <v>0</v>
      </c>
      <c r="AG133" s="501">
        <v>0</v>
      </c>
    </row>
    <row r="134" ht="15.75" customHeight="1" hidden="1" spans="1:33" x14ac:dyDescent="0.25" outlineLevel="1">
      <c r="C134" s="131" t="str">
        <f>C$92</f>
        <v>Middle East &amp; Africa</v>
      </c>
      <c r="D134" s="8"/>
      <c r="E134" s="8"/>
      <c r="F134" s="499">
        <v>0</v>
      </c>
      <c r="G134" s="499">
        <v>0</v>
      </c>
      <c r="H134" s="499">
        <v>0</v>
      </c>
      <c r="I134" s="499">
        <v>0</v>
      </c>
      <c r="J134" s="492">
        <f t="shared" si="174"/>
        <v>0</v>
      </c>
      <c r="K134" s="499">
        <v>0</v>
      </c>
      <c r="L134" s="499">
        <v>0</v>
      </c>
      <c r="M134" s="499">
        <v>0</v>
      </c>
      <c r="N134" s="499">
        <v>0</v>
      </c>
      <c r="O134" s="492">
        <f t="shared" si="175"/>
        <v>0</v>
      </c>
      <c r="P134" s="499">
        <v>0</v>
      </c>
      <c r="Q134" s="499">
        <v>0</v>
      </c>
      <c r="R134" s="499">
        <v>0</v>
      </c>
      <c r="S134" s="499">
        <v>0</v>
      </c>
      <c r="T134" s="492">
        <f t="shared" si="176"/>
        <v>0</v>
      </c>
      <c r="U134" s="500">
        <v>0</v>
      </c>
      <c r="V134" s="500">
        <v>0</v>
      </c>
      <c r="W134" s="500">
        <v>0</v>
      </c>
      <c r="X134" s="500">
        <v>0</v>
      </c>
      <c r="Y134" s="492">
        <f t="shared" si="177"/>
        <v>0</v>
      </c>
      <c r="Z134" s="500">
        <v>0</v>
      </c>
      <c r="AA134" s="500">
        <v>0</v>
      </c>
      <c r="AB134" s="500">
        <v>0</v>
      </c>
      <c r="AC134" s="500">
        <v>0</v>
      </c>
      <c r="AD134" s="492">
        <f t="shared" si="178"/>
        <v>0</v>
      </c>
      <c r="AE134" s="501">
        <v>0</v>
      </c>
      <c r="AF134" s="501">
        <v>0</v>
      </c>
      <c r="AG134" s="501">
        <v>0</v>
      </c>
    </row>
    <row r="135" ht="15.75" customHeight="1" hidden="1" spans="1:33" x14ac:dyDescent="0.25" outlineLevel="1">
      <c r="C135" s="131" t="str">
        <f>C$93</f>
        <v>Asia Pacific</v>
      </c>
      <c r="D135" s="8"/>
      <c r="E135" s="8"/>
      <c r="F135" s="499">
        <v>0</v>
      </c>
      <c r="G135" s="499">
        <v>0</v>
      </c>
      <c r="H135" s="499">
        <v>0</v>
      </c>
      <c r="I135" s="499">
        <v>0</v>
      </c>
      <c r="J135" s="492">
        <f t="shared" si="174"/>
        <v>0</v>
      </c>
      <c r="K135" s="499">
        <v>0</v>
      </c>
      <c r="L135" s="499">
        <v>0</v>
      </c>
      <c r="M135" s="499">
        <v>0</v>
      </c>
      <c r="N135" s="499">
        <v>0</v>
      </c>
      <c r="O135" s="492">
        <f t="shared" si="175"/>
        <v>0</v>
      </c>
      <c r="P135" s="499">
        <v>0</v>
      </c>
      <c r="Q135" s="499">
        <v>0</v>
      </c>
      <c r="R135" s="499">
        <v>0</v>
      </c>
      <c r="S135" s="499">
        <v>0</v>
      </c>
      <c r="T135" s="492">
        <f t="shared" si="176"/>
        <v>0</v>
      </c>
      <c r="U135" s="500">
        <v>0</v>
      </c>
      <c r="V135" s="500">
        <v>0</v>
      </c>
      <c r="W135" s="500">
        <v>0</v>
      </c>
      <c r="X135" s="500">
        <v>0</v>
      </c>
      <c r="Y135" s="492">
        <f t="shared" si="177"/>
        <v>0</v>
      </c>
      <c r="Z135" s="500">
        <v>0</v>
      </c>
      <c r="AA135" s="500">
        <v>0</v>
      </c>
      <c r="AB135" s="500">
        <v>0</v>
      </c>
      <c r="AC135" s="500">
        <v>0</v>
      </c>
      <c r="AD135" s="492">
        <f t="shared" si="178"/>
        <v>0</v>
      </c>
      <c r="AE135" s="501">
        <v>0</v>
      </c>
      <c r="AF135" s="501">
        <v>0</v>
      </c>
      <c r="AG135" s="501">
        <v>0</v>
      </c>
    </row>
    <row r="136" ht="15.75" customHeight="1" hidden="1" spans="1:33" x14ac:dyDescent="0.25" outlineLevel="1">
      <c r="C136" s="8"/>
      <c r="D136" s="8"/>
      <c r="E136" s="8"/>
      <c r="F136" s="527"/>
      <c r="G136" s="527"/>
      <c r="H136" s="527"/>
      <c r="I136" s="527"/>
      <c r="J136" s="166"/>
      <c r="K136" s="527"/>
      <c r="L136" s="527"/>
      <c r="M136" s="527"/>
      <c r="N136" s="527"/>
      <c r="O136" s="166"/>
      <c r="P136" s="527"/>
      <c r="Q136" s="527"/>
      <c r="R136" s="527"/>
      <c r="S136" s="527"/>
      <c r="T136" s="166"/>
      <c r="U136" s="528"/>
      <c r="V136" s="528"/>
      <c r="W136" s="528"/>
      <c r="X136" s="528"/>
      <c r="Y136" s="166"/>
      <c r="Z136" s="528"/>
      <c r="AA136" s="528"/>
      <c r="AB136" s="528"/>
      <c r="AC136" s="528"/>
      <c r="AD136" s="166"/>
      <c r="AE136" s="529"/>
      <c r="AF136" s="529"/>
      <c r="AG136" s="529"/>
    </row>
    <row r="137" ht="15.75" customHeight="1" hidden="1" spans="1:33" x14ac:dyDescent="0.25" outlineLevel="1">
      <c r="C137" s="8" t="str">
        <f>'Segment Analysis'!C13</f>
        <v> Revenue</v>
      </c>
      <c r="D137" s="8"/>
      <c r="E137" s="8"/>
      <c r="F137" s="527"/>
      <c r="G137" s="527"/>
      <c r="H137" s="527"/>
      <c r="I137" s="527"/>
      <c r="J137" s="166"/>
      <c r="K137" s="527"/>
      <c r="L137" s="527"/>
      <c r="M137" s="527"/>
      <c r="N137" s="527"/>
      <c r="O137" s="166"/>
      <c r="P137" s="527"/>
      <c r="Q137" s="527"/>
      <c r="R137" s="527"/>
      <c r="S137" s="527"/>
      <c r="T137" s="166"/>
      <c r="U137" s="528"/>
      <c r="V137" s="528"/>
      <c r="W137" s="528"/>
      <c r="X137" s="528"/>
      <c r="Y137" s="166"/>
      <c r="Z137" s="528"/>
      <c r="AA137" s="528"/>
      <c r="AB137" s="528"/>
      <c r="AC137" s="528"/>
      <c r="AD137" s="166"/>
      <c r="AE137" s="529"/>
      <c r="AF137" s="529"/>
      <c r="AG137" s="529"/>
    </row>
    <row r="138" ht="15.75" customHeight="1" hidden="1" spans="1:33" x14ac:dyDescent="0.25" outlineLevel="1">
      <c r="C138" s="131" t="str">
        <f>C$89</f>
        <v>North America</v>
      </c>
      <c r="D138" s="8"/>
      <c r="E138" s="8"/>
      <c r="F138" s="499">
        <v>0</v>
      </c>
      <c r="G138" s="499">
        <v>0</v>
      </c>
      <c r="H138" s="499">
        <v>0</v>
      </c>
      <c r="I138" s="499">
        <v>0</v>
      </c>
      <c r="J138" s="492">
        <f t="shared" ref="J138:J142" si="179">SUM(F138:I138)</f>
        <v>0</v>
      </c>
      <c r="K138" s="499">
        <v>0</v>
      </c>
      <c r="L138" s="499">
        <v>0</v>
      </c>
      <c r="M138" s="499">
        <v>0</v>
      </c>
      <c r="N138" s="499">
        <v>0</v>
      </c>
      <c r="O138" s="492">
        <f t="shared" ref="O138:O142" si="180">SUM(K138:N138)</f>
        <v>0</v>
      </c>
      <c r="P138" s="499">
        <v>0</v>
      </c>
      <c r="Q138" s="499">
        <v>0</v>
      </c>
      <c r="R138" s="499">
        <v>0</v>
      </c>
      <c r="S138" s="499">
        <v>0</v>
      </c>
      <c r="T138" s="492">
        <f t="shared" ref="T138:T142" si="181">SUM(P138:S138)</f>
        <v>0</v>
      </c>
      <c r="U138" s="500">
        <v>0</v>
      </c>
      <c r="V138" s="500">
        <v>0</v>
      </c>
      <c r="W138" s="500">
        <v>0</v>
      </c>
      <c r="X138" s="500">
        <v>0</v>
      </c>
      <c r="Y138" s="492">
        <f t="shared" ref="Y138:Y142" si="182">SUM(U138:X138)</f>
        <v>0</v>
      </c>
      <c r="Z138" s="500">
        <v>0</v>
      </c>
      <c r="AA138" s="500">
        <v>0</v>
      </c>
      <c r="AB138" s="500">
        <v>0</v>
      </c>
      <c r="AC138" s="500">
        <v>0</v>
      </c>
      <c r="AD138" s="492">
        <f t="shared" ref="AD138:AD142" si="183">SUM(Z138:AC138)</f>
        <v>0</v>
      </c>
      <c r="AE138" s="501">
        <v>0</v>
      </c>
      <c r="AF138" s="501">
        <v>0</v>
      </c>
      <c r="AG138" s="501">
        <v>0</v>
      </c>
    </row>
    <row r="139" ht="15.75" customHeight="1" hidden="1" spans="1:33" x14ac:dyDescent="0.25" outlineLevel="1">
      <c r="C139" s="131" t="str">
        <f>C$90</f>
        <v>Europe</v>
      </c>
      <c r="D139" s="8"/>
      <c r="E139" s="8"/>
      <c r="F139" s="499">
        <v>0</v>
      </c>
      <c r="G139" s="499">
        <v>0</v>
      </c>
      <c r="H139" s="499">
        <v>0</v>
      </c>
      <c r="I139" s="499">
        <v>0</v>
      </c>
      <c r="J139" s="492">
        <f t="shared" si="179"/>
        <v>0</v>
      </c>
      <c r="K139" s="499">
        <v>0</v>
      </c>
      <c r="L139" s="499">
        <v>0</v>
      </c>
      <c r="M139" s="499">
        <v>0</v>
      </c>
      <c r="N139" s="499">
        <v>0</v>
      </c>
      <c r="O139" s="492">
        <f t="shared" si="180"/>
        <v>0</v>
      </c>
      <c r="P139" s="499">
        <v>0</v>
      </c>
      <c r="Q139" s="499">
        <v>0</v>
      </c>
      <c r="R139" s="499">
        <v>0</v>
      </c>
      <c r="S139" s="499">
        <v>0</v>
      </c>
      <c r="T139" s="492">
        <f t="shared" si="181"/>
        <v>0</v>
      </c>
      <c r="U139" s="500">
        <v>0</v>
      </c>
      <c r="V139" s="500">
        <v>0</v>
      </c>
      <c r="W139" s="500">
        <v>0</v>
      </c>
      <c r="X139" s="500">
        <v>0</v>
      </c>
      <c r="Y139" s="492">
        <f t="shared" si="182"/>
        <v>0</v>
      </c>
      <c r="Z139" s="500">
        <v>0</v>
      </c>
      <c r="AA139" s="500">
        <v>0</v>
      </c>
      <c r="AB139" s="500">
        <v>0</v>
      </c>
      <c r="AC139" s="500">
        <v>0</v>
      </c>
      <c r="AD139" s="492">
        <f t="shared" si="183"/>
        <v>0</v>
      </c>
      <c r="AE139" s="501">
        <v>0</v>
      </c>
      <c r="AF139" s="501">
        <v>0</v>
      </c>
      <c r="AG139" s="501">
        <v>0</v>
      </c>
    </row>
    <row r="140" ht="15.75" customHeight="1" hidden="1" spans="1:33" x14ac:dyDescent="0.25" outlineLevel="1">
      <c r="C140" s="131" t="str">
        <f>C$91</f>
        <v>South America</v>
      </c>
      <c r="D140" s="8"/>
      <c r="E140" s="8"/>
      <c r="F140" s="499">
        <v>0</v>
      </c>
      <c r="G140" s="499">
        <v>0</v>
      </c>
      <c r="H140" s="499">
        <v>0</v>
      </c>
      <c r="I140" s="499">
        <v>0</v>
      </c>
      <c r="J140" s="492">
        <f t="shared" si="179"/>
        <v>0</v>
      </c>
      <c r="K140" s="499">
        <v>0</v>
      </c>
      <c r="L140" s="499">
        <v>0</v>
      </c>
      <c r="M140" s="499">
        <v>0</v>
      </c>
      <c r="N140" s="499">
        <v>0</v>
      </c>
      <c r="O140" s="492">
        <f t="shared" si="180"/>
        <v>0</v>
      </c>
      <c r="P140" s="499">
        <v>0</v>
      </c>
      <c r="Q140" s="499">
        <v>0</v>
      </c>
      <c r="R140" s="499">
        <v>0</v>
      </c>
      <c r="S140" s="499">
        <v>0</v>
      </c>
      <c r="T140" s="492">
        <f t="shared" si="181"/>
        <v>0</v>
      </c>
      <c r="U140" s="500">
        <v>0</v>
      </c>
      <c r="V140" s="500">
        <v>0</v>
      </c>
      <c r="W140" s="500">
        <v>0</v>
      </c>
      <c r="X140" s="500">
        <v>0</v>
      </c>
      <c r="Y140" s="492">
        <f t="shared" si="182"/>
        <v>0</v>
      </c>
      <c r="Z140" s="500">
        <v>0</v>
      </c>
      <c r="AA140" s="500">
        <v>0</v>
      </c>
      <c r="AB140" s="500">
        <v>0</v>
      </c>
      <c r="AC140" s="500">
        <v>0</v>
      </c>
      <c r="AD140" s="492">
        <f t="shared" si="183"/>
        <v>0</v>
      </c>
      <c r="AE140" s="501">
        <v>0</v>
      </c>
      <c r="AF140" s="501">
        <v>0</v>
      </c>
      <c r="AG140" s="501">
        <v>0</v>
      </c>
    </row>
    <row r="141" ht="15.75" customHeight="1" hidden="1" spans="1:33" x14ac:dyDescent="0.25" outlineLevel="1">
      <c r="C141" s="131" t="str">
        <f>C$92</f>
        <v>Middle East &amp; Africa</v>
      </c>
      <c r="D141" s="8"/>
      <c r="E141" s="8"/>
      <c r="F141" s="499">
        <v>0</v>
      </c>
      <c r="G141" s="499">
        <v>0</v>
      </c>
      <c r="H141" s="499">
        <v>0</v>
      </c>
      <c r="I141" s="499">
        <v>0</v>
      </c>
      <c r="J141" s="492">
        <f t="shared" si="179"/>
        <v>0</v>
      </c>
      <c r="K141" s="499">
        <v>0</v>
      </c>
      <c r="L141" s="499">
        <v>0</v>
      </c>
      <c r="M141" s="499">
        <v>0</v>
      </c>
      <c r="N141" s="499">
        <v>0</v>
      </c>
      <c r="O141" s="492">
        <f t="shared" si="180"/>
        <v>0</v>
      </c>
      <c r="P141" s="499">
        <v>0</v>
      </c>
      <c r="Q141" s="499">
        <v>0</v>
      </c>
      <c r="R141" s="499">
        <v>0</v>
      </c>
      <c r="S141" s="499">
        <v>0</v>
      </c>
      <c r="T141" s="492">
        <f t="shared" si="181"/>
        <v>0</v>
      </c>
      <c r="U141" s="500">
        <v>0</v>
      </c>
      <c r="V141" s="500">
        <v>0</v>
      </c>
      <c r="W141" s="500">
        <v>0</v>
      </c>
      <c r="X141" s="500">
        <v>0</v>
      </c>
      <c r="Y141" s="492">
        <f t="shared" si="182"/>
        <v>0</v>
      </c>
      <c r="Z141" s="500">
        <v>0</v>
      </c>
      <c r="AA141" s="500">
        <v>0</v>
      </c>
      <c r="AB141" s="500">
        <v>0</v>
      </c>
      <c r="AC141" s="500">
        <v>0</v>
      </c>
      <c r="AD141" s="492">
        <f t="shared" si="183"/>
        <v>0</v>
      </c>
      <c r="AE141" s="501">
        <v>0</v>
      </c>
      <c r="AF141" s="501">
        <v>0</v>
      </c>
      <c r="AG141" s="501">
        <v>0</v>
      </c>
    </row>
    <row r="142" ht="15.75" customHeight="1" hidden="1" spans="1:33" x14ac:dyDescent="0.25" outlineLevel="1">
      <c r="C142" s="131" t="str">
        <f>C$93</f>
        <v>Asia Pacific</v>
      </c>
      <c r="D142" s="8"/>
      <c r="E142" s="8"/>
      <c r="F142" s="499">
        <v>0</v>
      </c>
      <c r="G142" s="499">
        <v>0</v>
      </c>
      <c r="H142" s="499">
        <v>0</v>
      </c>
      <c r="I142" s="499">
        <v>0</v>
      </c>
      <c r="J142" s="492">
        <f t="shared" si="179"/>
        <v>0</v>
      </c>
      <c r="K142" s="499">
        <v>0</v>
      </c>
      <c r="L142" s="499">
        <v>0</v>
      </c>
      <c r="M142" s="499">
        <v>0</v>
      </c>
      <c r="N142" s="499">
        <v>0</v>
      </c>
      <c r="O142" s="492">
        <f t="shared" si="180"/>
        <v>0</v>
      </c>
      <c r="P142" s="499">
        <v>0</v>
      </c>
      <c r="Q142" s="499">
        <v>0</v>
      </c>
      <c r="R142" s="499">
        <v>0</v>
      </c>
      <c r="S142" s="499">
        <v>0</v>
      </c>
      <c r="T142" s="492">
        <f t="shared" si="181"/>
        <v>0</v>
      </c>
      <c r="U142" s="500">
        <v>0</v>
      </c>
      <c r="V142" s="500">
        <v>0</v>
      </c>
      <c r="W142" s="500">
        <v>0</v>
      </c>
      <c r="X142" s="500">
        <v>0</v>
      </c>
      <c r="Y142" s="492">
        <f t="shared" si="182"/>
        <v>0</v>
      </c>
      <c r="Z142" s="500">
        <v>0</v>
      </c>
      <c r="AA142" s="500">
        <v>0</v>
      </c>
      <c r="AB142" s="500">
        <v>0</v>
      </c>
      <c r="AC142" s="500">
        <v>0</v>
      </c>
      <c r="AD142" s="492">
        <f t="shared" si="183"/>
        <v>0</v>
      </c>
      <c r="AE142" s="501">
        <v>0</v>
      </c>
      <c r="AF142" s="501">
        <v>0</v>
      </c>
      <c r="AG142" s="501">
        <v>0</v>
      </c>
    </row>
    <row r="143" ht="15.75" customHeight="1" spans="1:33" x14ac:dyDescent="0.25">
      <c r="C143" s="8"/>
      <c r="D143" s="8"/>
      <c r="E143" s="8"/>
      <c r="F143" s="527"/>
      <c r="G143" s="527"/>
      <c r="H143" s="527"/>
      <c r="I143" s="527"/>
      <c r="J143" s="166"/>
      <c r="K143" s="527"/>
      <c r="L143" s="527"/>
      <c r="M143" s="527"/>
      <c r="N143" s="527"/>
      <c r="O143" s="166"/>
      <c r="P143" s="527"/>
      <c r="Q143" s="527"/>
      <c r="R143" s="527"/>
      <c r="S143" s="527"/>
      <c r="T143" s="166"/>
      <c r="U143" s="528"/>
      <c r="V143" s="528"/>
      <c r="W143" s="528"/>
      <c r="X143" s="528"/>
      <c r="Y143" s="166"/>
      <c r="Z143" s="528"/>
      <c r="AA143" s="528"/>
      <c r="AB143" s="528"/>
      <c r="AC143" s="528"/>
      <c r="AD143" s="166"/>
      <c r="AE143" s="529"/>
      <c r="AF143" s="529"/>
      <c r="AG143" s="529"/>
    </row>
    <row r="144" ht="15.75" customHeight="1" spans="1:33" x14ac:dyDescent="0.25">
      <c r="C144" s="36" t="s">
        <v>457</v>
      </c>
      <c r="D144" s="37"/>
      <c r="E144" s="37"/>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c r="AD144" s="519"/>
      <c r="AE144" s="519"/>
      <c r="AF144" s="519"/>
      <c r="AG144" s="520"/>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t="str">
        <f>IFERROR(Model!F61/Model!F28,"N/A")</f>
        <v>N/A</v>
      </c>
      <c r="G146" s="384" t="str">
        <f>IFERROR(Model!G61/Model!G28,"N/A")</f>
        <v>N/A</v>
      </c>
      <c r="H146" s="384" t="str">
        <f>IFERROR(Model!H61/Model!H28,"N/A")</f>
        <v>N/A</v>
      </c>
      <c r="I146" s="384" t="str">
        <f>IFERROR(Model!I61/Model!I28,"N/A")</f>
        <v>N/A</v>
      </c>
      <c r="J146" s="385" t="str">
        <f>IFERROR(Model!J61/Model!J28,"N/A")</f>
        <v>N/A</v>
      </c>
      <c r="K146" s="384" t="str">
        <f>IFERROR(Model!K61/Model!K28,"N/A")</f>
        <v>N/A</v>
      </c>
      <c r="L146" s="384" t="str">
        <f>IFERROR(Model!L61/Model!L28,"N/A")</f>
        <v>N/A</v>
      </c>
      <c r="M146" s="384" t="str">
        <f>IFERROR(Model!M61/Model!M28,"N/A")</f>
        <v>N/A</v>
      </c>
      <c r="N146" s="384" t="str">
        <f>IFERROR(Model!N61/Model!N28,"N/A")</f>
        <v>N/A</v>
      </c>
      <c r="O146" s="385" t="str">
        <f>IFERROR(Model!O61/Model!O28,"N/A")</f>
        <v>N/A</v>
      </c>
      <c r="P146" s="384" t="str">
        <f>IFERROR(Model!P61/Model!P28,"N/A")</f>
        <v>N/A</v>
      </c>
      <c r="Q146" s="384" t="str">
        <f>IFERROR(Model!Q61/Model!Q28,"N/A")</f>
        <v>N/A</v>
      </c>
      <c r="R146" s="384" t="str">
        <f>IFERROR(Model!R61/Model!R28,"N/A")</f>
        <v>N/A</v>
      </c>
      <c r="S146" s="384" t="str">
        <f>IFERROR(Model!S61/Model!S28,"N/A")</f>
        <v>N/A</v>
      </c>
      <c r="T146" s="385" t="str">
        <f>IFERROR(Model!T61/Model!T28,"N/A")</f>
        <v>N/A</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t="str">
        <f>IFERROR(Model!F36/Model!F28,"N/A")</f>
        <v>N/A</v>
      </c>
      <c r="G154" s="384" t="str">
        <f>IFERROR(Model!G36/Model!G28,"N/A")</f>
        <v>N/A</v>
      </c>
      <c r="H154" s="384" t="str">
        <f>IFERROR(Model!H36/Model!H28,"N/A")</f>
        <v>N/A</v>
      </c>
      <c r="I154" s="384" t="str">
        <f>IFERROR(Model!I36/Model!I28,"N/A")</f>
        <v>N/A</v>
      </c>
      <c r="J154" s="385" t="str">
        <f>IFERROR(Model!J36/Model!J28,"N/A")</f>
        <v>N/A</v>
      </c>
      <c r="K154" s="384" t="str">
        <f>IFERROR(Model!K36/Model!K28,"N/A")</f>
        <v>N/A</v>
      </c>
      <c r="L154" s="384" t="str">
        <f>IFERROR(Model!L36/Model!L28,"N/A")</f>
        <v>N/A</v>
      </c>
      <c r="M154" s="384" t="str">
        <f>IFERROR(Model!M36/Model!M28,"N/A")</f>
        <v>N/A</v>
      </c>
      <c r="N154" s="384" t="str">
        <f>IFERROR(Model!N36/Model!N28,"N/A")</f>
        <v>N/A</v>
      </c>
      <c r="O154" s="385" t="str">
        <f>IFERROR(Model!O36/Model!O28,"N/A")</f>
        <v>N/A</v>
      </c>
      <c r="P154" s="384" t="str">
        <f>IFERROR(Model!P36/Model!P28,"N/A")</f>
        <v>N/A</v>
      </c>
      <c r="Q154" s="384" t="str">
        <f>IFERROR(Model!Q36/Model!Q28,"N/A")</f>
        <v>N/A</v>
      </c>
      <c r="R154" s="384" t="str">
        <f>IFERROR(Model!R36/Model!R28,"N/A")</f>
        <v>N/A</v>
      </c>
      <c r="S154" s="384" t="str">
        <f>IFERROR(Model!S36/Model!S28,"N/A")</f>
        <v>N/A</v>
      </c>
      <c r="T154" s="385" t="str">
        <f>IFERROR(Model!T36/Model!T28,"N/A")</f>
        <v>N/A</v>
      </c>
      <c r="U154" s="386" t="str">
        <f>IFERROR(Model!U36/Model!U28,"N/A")</f>
        <v>N/A</v>
      </c>
      <c r="V154" s="386" t="str">
        <f>IFERROR(Model!V36/Model!V28,"N/A")</f>
        <v>N/A</v>
      </c>
      <c r="W154" s="386" t="str">
        <f>IFERROR(Model!W36/Model!W28,"N/A")</f>
        <v>N/A</v>
      </c>
      <c r="X154" s="386" t="str">
        <f>IFERROR(Model!X36/Model!X28,"N/A")</f>
        <v>N/A</v>
      </c>
      <c r="Y154" s="385" t="str">
        <f>IFERROR(Model!Y36/Model!Y28,"N/A")</f>
        <v>N/A</v>
      </c>
      <c r="Z154" s="386" t="str">
        <f>IFERROR(Model!Z36/Model!Z28,"N/A")</f>
        <v>N/A</v>
      </c>
      <c r="AA154" s="386" t="str">
        <f>IFERROR(Model!AA36/Model!AA28,"N/A")</f>
        <v>N/A</v>
      </c>
      <c r="AB154" s="386" t="str">
        <f>IFERROR(Model!AB36/Model!AB28,"N/A")</f>
        <v>N/A</v>
      </c>
      <c r="AC154" s="386" t="str">
        <f>IFERROR(Model!AC36/Model!AC28,"N/A")</f>
        <v>N/A</v>
      </c>
      <c r="AD154" s="385" t="str">
        <f>IFERROR(Model!AD36/Model!AD28,"N/A")</f>
        <v>N/A</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t="str">
        <f t="shared" ref="F155:AG155" si="186">IFERROR(F34/F8,"N/A")</f>
        <v>N/A</v>
      </c>
      <c r="G155" s="384" t="str">
        <f t="shared" si="186"/>
        <v>N/A</v>
      </c>
      <c r="H155" s="384" t="str">
        <f t="shared" si="186"/>
        <v>N/A</v>
      </c>
      <c r="I155" s="384" t="str">
        <f t="shared" si="186"/>
        <v>N/A</v>
      </c>
      <c r="J155" s="385" t="str">
        <f t="shared" si="186"/>
        <v>N/A</v>
      </c>
      <c r="K155" s="384" t="str">
        <f t="shared" si="186"/>
        <v>N/A</v>
      </c>
      <c r="L155" s="384" t="str">
        <f t="shared" si="186"/>
        <v>N/A</v>
      </c>
      <c r="M155" s="384" t="str">
        <f t="shared" si="186"/>
        <v>N/A</v>
      </c>
      <c r="N155" s="384" t="str">
        <f t="shared" si="186"/>
        <v>N/A</v>
      </c>
      <c r="O155" s="385" t="str">
        <f t="shared" si="186"/>
        <v>N/A</v>
      </c>
      <c r="P155" s="384" t="str">
        <f t="shared" si="186"/>
        <v>N/A</v>
      </c>
      <c r="Q155" s="384" t="str">
        <f t="shared" si="186"/>
        <v>N/A</v>
      </c>
      <c r="R155" s="384" t="str">
        <f t="shared" si="186"/>
        <v>N/A</v>
      </c>
      <c r="S155" s="384" t="str">
        <f t="shared" si="186"/>
        <v>N/A</v>
      </c>
      <c r="T155" s="385" t="str">
        <f t="shared" si="186"/>
        <v>N/A</v>
      </c>
      <c r="U155" s="386" t="str">
        <f t="shared" ref="U155:X155" si="187">IFERROR(U34/U8,"N/A")</f>
        <v>N/A</v>
      </c>
      <c r="V155" s="386" t="str">
        <f t="shared" si="187"/>
        <v>N/A</v>
      </c>
      <c r="W155" s="386" t="str">
        <f t="shared" si="187"/>
        <v>N/A</v>
      </c>
      <c r="X155" s="386" t="str">
        <f t="shared" si="187"/>
        <v>N/A</v>
      </c>
      <c r="Y155" s="385" t="str">
        <f t="shared" si="186"/>
        <v>N/A</v>
      </c>
      <c r="Z155" s="386" t="str">
        <f t="shared" si="186"/>
        <v>N/A</v>
      </c>
      <c r="AA155" s="386" t="str">
        <f t="shared" si="186"/>
        <v>N/A</v>
      </c>
      <c r="AB155" s="386" t="str">
        <f t="shared" si="186"/>
        <v>N/A</v>
      </c>
      <c r="AC155" s="386" t="str">
        <f t="shared" si="186"/>
        <v>N/A</v>
      </c>
      <c r="AD155" s="385" t="str">
        <f t="shared" si="186"/>
        <v>N/A</v>
      </c>
      <c r="AE155" s="385" t="str">
        <f t="shared" si="186"/>
        <v>N/A</v>
      </c>
      <c r="AF155" s="385" t="str">
        <f t="shared" si="186"/>
        <v>N/A</v>
      </c>
      <c r="AG155" s="385" t="str">
        <f t="shared" si="186"/>
        <v>N/A</v>
      </c>
    </row>
    <row r="156" ht="15.75" customHeight="1" spans="1:33" x14ac:dyDescent="0.25">
      <c r="C156" s="8" t="str">
        <f t="shared" si="185"/>
        <v>Asset Management and Other</v>
      </c>
      <c r="D156" s="8"/>
      <c r="E156" s="8"/>
      <c r="F156" s="384" t="str">
        <f t="shared" ref="F156:AG156" si="188">IFERROR(F35/F9,"N/A")</f>
        <v>N/A</v>
      </c>
      <c r="G156" s="384" t="str">
        <f t="shared" si="188"/>
        <v>N/A</v>
      </c>
      <c r="H156" s="384" t="str">
        <f t="shared" si="188"/>
        <v>N/A</v>
      </c>
      <c r="I156" s="384" t="str">
        <f t="shared" si="188"/>
        <v>N/A</v>
      </c>
      <c r="J156" s="385" t="str">
        <f t="shared" si="188"/>
        <v>N/A</v>
      </c>
      <c r="K156" s="384" t="str">
        <f t="shared" si="188"/>
        <v>N/A</v>
      </c>
      <c r="L156" s="384" t="str">
        <f t="shared" si="188"/>
        <v>N/A</v>
      </c>
      <c r="M156" s="384" t="str">
        <f t="shared" si="188"/>
        <v>N/A</v>
      </c>
      <c r="N156" s="384" t="str">
        <f t="shared" si="188"/>
        <v>N/A</v>
      </c>
      <c r="O156" s="385" t="str">
        <f t="shared" si="188"/>
        <v>N/A</v>
      </c>
      <c r="P156" s="384" t="str">
        <f t="shared" si="188"/>
        <v>N/A</v>
      </c>
      <c r="Q156" s="384" t="str">
        <f t="shared" si="188"/>
        <v>N/A</v>
      </c>
      <c r="R156" s="384" t="str">
        <f t="shared" si="188"/>
        <v>N/A</v>
      </c>
      <c r="S156" s="384" t="str">
        <f t="shared" si="188"/>
        <v>N/A</v>
      </c>
      <c r="T156" s="385" t="str">
        <f t="shared" si="188"/>
        <v>N/A</v>
      </c>
      <c r="U156" s="386" t="str">
        <f t="shared" ref="U156:X156" si="189">IFERROR(U35/U9,"N/A")</f>
        <v>N/A</v>
      </c>
      <c r="V156" s="386" t="str">
        <f t="shared" si="189"/>
        <v>N/A</v>
      </c>
      <c r="W156" s="386" t="str">
        <f t="shared" si="189"/>
        <v>N/A</v>
      </c>
      <c r="X156" s="386" t="str">
        <f t="shared" si="189"/>
        <v>N/A</v>
      </c>
      <c r="Y156" s="385" t="str">
        <f t="shared" si="188"/>
        <v>N/A</v>
      </c>
      <c r="Z156" s="386" t="str">
        <f t="shared" si="188"/>
        <v>N/A</v>
      </c>
      <c r="AA156" s="386" t="str">
        <f t="shared" si="188"/>
        <v>N/A</v>
      </c>
      <c r="AB156" s="386" t="str">
        <f t="shared" si="188"/>
        <v>N/A</v>
      </c>
      <c r="AC156" s="386" t="str">
        <f t="shared" si="188"/>
        <v>N/A</v>
      </c>
      <c r="AD156" s="385" t="str">
        <f t="shared" si="188"/>
        <v>N/A</v>
      </c>
      <c r="AE156" s="385" t="str">
        <f t="shared" si="188"/>
        <v>N/A</v>
      </c>
      <c r="AF156" s="385" t="str">
        <f t="shared" si="188"/>
        <v>N/A</v>
      </c>
      <c r="AG156" s="385" t="str">
        <f t="shared" si="188"/>
        <v>N/A</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t="str">
        <f>IFERROR((Model!G36-Model!F36)/('Segment Analysis'!G7-'Segment Analysis'!F7),"N/A")</f>
        <v>N/A</v>
      </c>
      <c r="H162" s="384" t="str">
        <f>IFERROR((Model!H36-Model!G36)/('Segment Analysis'!H7-'Segment Analysis'!G7),"N/A")</f>
        <v>N/A</v>
      </c>
      <c r="I162" s="384" t="str">
        <f>IFERROR((Model!I36-Model!H36)/('Segment Analysis'!I7-'Segment Analysis'!H7),"N/A")</f>
        <v>N/A</v>
      </c>
      <c r="J162" s="385"/>
      <c r="K162" s="384" t="str">
        <f>IFERROR((Model!K36-Model!I36)/('Segment Analysis'!K7-'Segment Analysis'!I7),"N/A")</f>
        <v>N/A</v>
      </c>
      <c r="L162" s="384" t="str">
        <f>IFERROR((Model!L36-Model!K36)/('Segment Analysis'!L7-'Segment Analysis'!K7),"N/A")</f>
        <v>N/A</v>
      </c>
      <c r="M162" s="384" t="str">
        <f>IFERROR((Model!M36-Model!L36)/('Segment Analysis'!M7-'Segment Analysis'!L7),"N/A")</f>
        <v>N/A</v>
      </c>
      <c r="N162" s="384" t="str">
        <f>IFERROR((Model!N36-Model!M36)/('Segment Analysis'!N7-'Segment Analysis'!M7),"N/A")</f>
        <v>N/A</v>
      </c>
      <c r="O162" s="385"/>
      <c r="P162" s="384" t="str">
        <f>IFERROR((Model!P36-Model!N36)/('Segment Analysis'!P7-'Segment Analysis'!N7),"N/A")</f>
        <v>N/A</v>
      </c>
      <c r="Q162" s="384" t="str">
        <f>IFERROR((Model!Q36-Model!P36)/('Segment Analysis'!Q7-'Segment Analysis'!P7),"N/A")</f>
        <v>N/A</v>
      </c>
      <c r="R162" s="384" t="str">
        <f>IFERROR((Model!R36-Model!Q36)/('Segment Analysis'!R7-'Segment Analysis'!Q7),"N/A")</f>
        <v>N/A</v>
      </c>
      <c r="S162" s="384" t="str">
        <f>IFERROR((Model!S36-Model!R36)/('Segment Analysis'!S7-'Segment Analysis'!R7),"N/A")</f>
        <v>N/A</v>
      </c>
      <c r="T162" s="385"/>
      <c r="U162" s="386" t="str">
        <f>IFERROR((Model!U36-Model!S36)/('Segment Analysis'!U7-'Segment Analysis'!S7),"N/A")</f>
        <v>N/A</v>
      </c>
      <c r="V162" s="386" t="str">
        <f>IFERROR((Model!V36-Model!U36)/('Segment Analysis'!V7-'Segment Analysis'!U7),"N/A")</f>
        <v>N/A</v>
      </c>
      <c r="W162" s="386" t="str">
        <f>IFERROR((Model!W36-Model!V36)/('Segment Analysis'!W7-'Segment Analysis'!V7),"N/A")</f>
        <v>N/A</v>
      </c>
      <c r="X162" s="386" t="str">
        <f>IFERROR((Model!X36-Model!W36)/('Segment Analysis'!X7-'Segment Analysis'!W7),"N/A")</f>
        <v>N/A</v>
      </c>
      <c r="Y162" s="385"/>
      <c r="Z162" s="386" t="str">
        <f>IFERROR((Model!Z36-Model!X36)/('Segment Analysis'!Z7-'Segment Analysis'!X7),"N/A")</f>
        <v>N/A</v>
      </c>
      <c r="AA162" s="386" t="str">
        <f>IFERROR((Model!AA36-Model!Z36)/('Segment Analysis'!AA7-'Segment Analysis'!Z7),"N/A")</f>
        <v>N/A</v>
      </c>
      <c r="AB162" s="386" t="str">
        <f>IFERROR((Model!AB36-Model!AA36)/('Segment Analysis'!AB7-'Segment Analysis'!AA7),"N/A")</f>
        <v>N/A</v>
      </c>
      <c r="AC162" s="386" t="str">
        <f>IFERROR((Model!AC36-Model!AB36)/('Segment Analysis'!AC7-'Segment Analysis'!AB7),"N/A")</f>
        <v>N/A</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c r="AD170" s="519"/>
      <c r="AE170" s="519"/>
      <c r="AF170" s="519"/>
      <c r="AG170" s="520"/>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6"/>
      <c r="G172" s="384"/>
      <c r="H172" s="384"/>
      <c r="I172" s="384"/>
      <c r="J172" s="385"/>
      <c r="K172" s="384" t="str">
        <f>IFERROR('Segment Analysis'!K7/'Segment Analysis'!F7-1,"N/A")</f>
        <v>N/A</v>
      </c>
      <c r="L172" s="384" t="str">
        <f>IFERROR('Segment Analysis'!L7/'Segment Analysis'!G7-1,"N/A")</f>
        <v>N/A</v>
      </c>
      <c r="M172" s="384" t="str">
        <f>IFERROR('Segment Analysis'!M7/'Segment Analysis'!H7-1,"N/A")</f>
        <v>N/A</v>
      </c>
      <c r="N172" s="384" t="str">
        <f>IFERROR('Segment Analysis'!N7/'Segment Analysis'!I7-1,"N/A")</f>
        <v>N/A</v>
      </c>
      <c r="O172" s="385" t="str">
        <f>IFERROR('Segment Analysis'!O7/'Segment Analysis'!J7-1,"N/A")</f>
        <v>N/A</v>
      </c>
      <c r="P172" s="384" t="str">
        <f>IFERROR('Segment Analysis'!P7/'Segment Analysis'!K7-1,"N/A")</f>
        <v>N/A</v>
      </c>
      <c r="Q172" s="384" t="str">
        <f>IFERROR('Segment Analysis'!Q7/'Segment Analysis'!L7-1,"N/A")</f>
        <v>N/A</v>
      </c>
      <c r="R172" s="384" t="str">
        <f>IFERROR('Segment Analysis'!R7/'Segment Analysis'!M7-1,"N/A")</f>
        <v>N/A</v>
      </c>
      <c r="S172" s="384" t="str">
        <f>IFERROR('Segment Analysis'!S7/'Segment Analysis'!N7-1,"N/A")</f>
        <v>N/A</v>
      </c>
      <c r="T172" s="385" t="str">
        <f>IFERROR('Segment Analysis'!T7/'Segment Analysis'!O7-1,"N/A")</f>
        <v>N/A</v>
      </c>
      <c r="U172" s="386" t="str">
        <f>IFERROR('Segment Analysis'!U7/'Segment Analysis'!P7-1,"N/A")</f>
        <v>N/A</v>
      </c>
      <c r="V172" s="386" t="str">
        <f>IFERROR('Segment Analysis'!V7/'Segment Analysis'!Q7-1,"N/A")</f>
        <v>N/A</v>
      </c>
      <c r="W172" s="386" t="str">
        <f>IFERROR('Segment Analysis'!W7/'Segment Analysis'!R7-1,"N/A")</f>
        <v>N/A</v>
      </c>
      <c r="X172" s="386" t="str">
        <f>IFERROR('Segment Analysis'!X7/'Segment Analysis'!S7-1,"N/A")</f>
        <v>N/A</v>
      </c>
      <c r="Y172" s="385" t="str">
        <f>IFERROR('Segment Analysis'!Y7/'Segment Analysis'!T7-1,"N/A")</f>
        <v>N/A</v>
      </c>
      <c r="Z172" s="386" t="str">
        <f>IFERROR('Segment Analysis'!Z7/'Segment Analysis'!U7-1,"N/A")</f>
        <v>N/A</v>
      </c>
      <c r="AA172" s="386" t="str">
        <f>IFERROR('Segment Analysis'!AA7/'Segment Analysis'!V7-1,"N/A")</f>
        <v>N/A</v>
      </c>
      <c r="AB172" s="386" t="str">
        <f>IFERROR('Segment Analysis'!AB7/'Segment Analysis'!W7-1,"N/A")</f>
        <v>N/A</v>
      </c>
      <c r="AC172" s="386" t="str">
        <f>IFERROR('Segment Analysis'!AC7/'Segment Analysis'!X7-1,"N/A")</f>
        <v>N/A</v>
      </c>
      <c r="AD172" s="385" t="str">
        <f>IFERROR('Segment Analysis'!AD7/'Segment Analysis'!Y7-1,"N/A")</f>
        <v>N/A</v>
      </c>
      <c r="AE172" s="385" t="str">
        <f>IFERROR('Segment Analysis'!AE7/'Segment Analysis'!Z7-1,"N/A")</f>
        <v>N/A</v>
      </c>
      <c r="AF172" s="385" t="str">
        <f>IFERROR('Segment Analysis'!AF7/'Segment Analysis'!AA7-1,"N/A")</f>
        <v>N/A</v>
      </c>
      <c r="AG172" s="385" t="str">
        <f>IFERROR('Segment Analysis'!AG7/'Segment Analysis'!AB7-1,"N/A")</f>
        <v>N/A</v>
      </c>
    </row>
    <row r="173" ht="15.75" customHeight="1" spans="1:33" x14ac:dyDescent="0.25">
      <c r="C173" s="131" t="str">
        <f>'Segment Analysis'!C16</f>
        <v>Investment Banking &amp; Capital Markets</v>
      </c>
      <c r="D173" s="8"/>
      <c r="E173" s="8"/>
      <c r="F173" s="496"/>
      <c r="G173" s="384"/>
      <c r="H173" s="384"/>
      <c r="I173" s="384"/>
      <c r="J173" s="385"/>
      <c r="K173" s="384" t="str">
        <f>IFERROR('Segment Analysis'!K8/'Segment Analysis'!F8-1,"N/A")</f>
        <v>N/A</v>
      </c>
      <c r="L173" s="384" t="str">
        <f>IFERROR('Segment Analysis'!L8/'Segment Analysis'!G8-1,"N/A")</f>
        <v>N/A</v>
      </c>
      <c r="M173" s="384" t="str">
        <f>IFERROR('Segment Analysis'!M8/'Segment Analysis'!H8-1,"N/A")</f>
        <v>N/A</v>
      </c>
      <c r="N173" s="384" t="str">
        <f>IFERROR('Segment Analysis'!N8/'Segment Analysis'!I8-1,"N/A")</f>
        <v>N/A</v>
      </c>
      <c r="O173" s="385" t="str">
        <f>IFERROR('Segment Analysis'!O8/'Segment Analysis'!J8-1,"N/A")</f>
        <v>N/A</v>
      </c>
      <c r="P173" s="384" t="str">
        <f>IFERROR('Segment Analysis'!P8/'Segment Analysis'!K8-1,"N/A")</f>
        <v>N/A</v>
      </c>
      <c r="Q173" s="384" t="str">
        <f>IFERROR('Segment Analysis'!Q8/'Segment Analysis'!L8-1,"N/A")</f>
        <v>N/A</v>
      </c>
      <c r="R173" s="384" t="str">
        <f>IFERROR('Segment Analysis'!R8/'Segment Analysis'!M8-1,"N/A")</f>
        <v>N/A</v>
      </c>
      <c r="S173" s="384" t="str">
        <f>IFERROR('Segment Analysis'!S8/'Segment Analysis'!N8-1,"N/A")</f>
        <v>N/A</v>
      </c>
      <c r="T173" s="385" t="str">
        <f>IFERROR('Segment Analysis'!T8/'Segment Analysis'!O8-1,"N/A")</f>
        <v>N/A</v>
      </c>
      <c r="U173" s="386" t="str">
        <f>IFERROR('Segment Analysis'!U8/'Segment Analysis'!P8-1,"N/A")</f>
        <v>N/A</v>
      </c>
      <c r="V173" s="386" t="str">
        <f>IFERROR('Segment Analysis'!V8/'Segment Analysis'!Q8-1,"N/A")</f>
        <v>N/A</v>
      </c>
      <c r="W173" s="386" t="str">
        <f>IFERROR('Segment Analysis'!W8/'Segment Analysis'!R8-1,"N/A")</f>
        <v>N/A</v>
      </c>
      <c r="X173" s="386" t="str">
        <f>IFERROR('Segment Analysis'!X8/'Segment Analysis'!S8-1,"N/A")</f>
        <v>N/A</v>
      </c>
      <c r="Y173" s="385" t="str">
        <f>IFERROR('Segment Analysis'!Y8/'Segment Analysis'!T8-1,"N/A")</f>
        <v>N/A</v>
      </c>
      <c r="Z173" s="386" t="str">
        <f>IFERROR('Segment Analysis'!Z8/'Segment Analysis'!U8-1,"N/A")</f>
        <v>N/A</v>
      </c>
      <c r="AA173" s="386" t="str">
        <f>IFERROR('Segment Analysis'!AA8/'Segment Analysis'!V8-1,"N/A")</f>
        <v>N/A</v>
      </c>
      <c r="AB173" s="386" t="str">
        <f>IFERROR('Segment Analysis'!AB8/'Segment Analysis'!W8-1,"N/A")</f>
        <v>N/A</v>
      </c>
      <c r="AC173" s="386" t="str">
        <f>IFERROR('Segment Analysis'!AC8/'Segment Analysis'!X8-1,"N/A")</f>
        <v>N/A</v>
      </c>
      <c r="AD173" s="385" t="str">
        <f>IFERROR('Segment Analysis'!AD8/'Segment Analysis'!Y8-1,"N/A")</f>
        <v>N/A</v>
      </c>
      <c r="AE173" s="385" t="str">
        <f>IFERROR('Segment Analysis'!AE8/'Segment Analysis'!Z8-1,"N/A")</f>
        <v>N/A</v>
      </c>
      <c r="AF173" s="385" t="str">
        <f>IFERROR('Segment Analysis'!AF8/'Segment Analysis'!AA8-1,"N/A")</f>
        <v>N/A</v>
      </c>
      <c r="AG173" s="385" t="str">
        <f>IFERROR('Segment Analysis'!AG8/'Segment Analysis'!AB8-1,"N/A")</f>
        <v>N/A</v>
      </c>
    </row>
    <row r="174" ht="15.75" customHeight="1" spans="1:33" x14ac:dyDescent="0.25">
      <c r="C174" s="131" t="str">
        <f>'Segment Analysis'!C17</f>
        <v>Asset Management and Other</v>
      </c>
      <c r="D174" s="8"/>
      <c r="E174" s="8"/>
      <c r="F174" s="496"/>
      <c r="G174" s="384"/>
      <c r="H174" s="384"/>
      <c r="I174" s="384"/>
      <c r="J174" s="385"/>
      <c r="K174" s="384" t="str">
        <f>IFERROR('Segment Analysis'!K9/'Segment Analysis'!F9-1,"N/A")</f>
        <v>N/A</v>
      </c>
      <c r="L174" s="384" t="str">
        <f>IFERROR('Segment Analysis'!L9/'Segment Analysis'!G9-1,"N/A")</f>
        <v>N/A</v>
      </c>
      <c r="M174" s="384" t="str">
        <f>IFERROR('Segment Analysis'!M9/'Segment Analysis'!H9-1,"N/A")</f>
        <v>N/A</v>
      </c>
      <c r="N174" s="384" t="str">
        <f>IFERROR('Segment Analysis'!N9/'Segment Analysis'!I9-1,"N/A")</f>
        <v>N/A</v>
      </c>
      <c r="O174" s="385" t="str">
        <f>IFERROR('Segment Analysis'!O9/'Segment Analysis'!J9-1,"N/A")</f>
        <v>N/A</v>
      </c>
      <c r="P174" s="384" t="str">
        <f>IFERROR('Segment Analysis'!P9/'Segment Analysis'!K9-1,"N/A")</f>
        <v>N/A</v>
      </c>
      <c r="Q174" s="384" t="str">
        <f>IFERROR('Segment Analysis'!Q9/'Segment Analysis'!L9-1,"N/A")</f>
        <v>N/A</v>
      </c>
      <c r="R174" s="384" t="str">
        <f>IFERROR('Segment Analysis'!R9/'Segment Analysis'!M9-1,"N/A")</f>
        <v>N/A</v>
      </c>
      <c r="S174" s="384" t="str">
        <f>IFERROR('Segment Analysis'!S9/'Segment Analysis'!N9-1,"N/A")</f>
        <v>N/A</v>
      </c>
      <c r="T174" s="385" t="str">
        <f>IFERROR('Segment Analysis'!T9/'Segment Analysis'!O9-1,"N/A")</f>
        <v>N/A</v>
      </c>
      <c r="U174" s="386" t="str">
        <f>IFERROR('Segment Analysis'!U9/'Segment Analysis'!P9-1,"N/A")</f>
        <v>N/A</v>
      </c>
      <c r="V174" s="386" t="str">
        <f>IFERROR('Segment Analysis'!V9/'Segment Analysis'!Q9-1,"N/A")</f>
        <v>N/A</v>
      </c>
      <c r="W174" s="386" t="str">
        <f>IFERROR('Segment Analysis'!W9/'Segment Analysis'!R9-1,"N/A")</f>
        <v>N/A</v>
      </c>
      <c r="X174" s="386" t="str">
        <f>IFERROR('Segment Analysis'!X9/'Segment Analysis'!S9-1,"N/A")</f>
        <v>N/A</v>
      </c>
      <c r="Y174" s="385" t="str">
        <f>IFERROR('Segment Analysis'!Y9/'Segment Analysis'!T9-1,"N/A")</f>
        <v>N/A</v>
      </c>
      <c r="Z174" s="386" t="str">
        <f>IFERROR('Segment Analysis'!Z9/'Segment Analysis'!U9-1,"N/A")</f>
        <v>N/A</v>
      </c>
      <c r="AA174" s="386" t="str">
        <f>IFERROR('Segment Analysis'!AA9/'Segment Analysis'!V9-1,"N/A")</f>
        <v>N/A</v>
      </c>
      <c r="AB174" s="386" t="str">
        <f>IFERROR('Segment Analysis'!AB9/'Segment Analysis'!W9-1,"N/A")</f>
        <v>N/A</v>
      </c>
      <c r="AC174" s="386" t="str">
        <f>IFERROR('Segment Analysis'!AC9/'Segment Analysis'!X9-1,"N/A")</f>
        <v>N/A</v>
      </c>
      <c r="AD174" s="385" t="str">
        <f>IFERROR('Segment Analysis'!AD9/'Segment Analysis'!Y9-1,"N/A")</f>
        <v>N/A</v>
      </c>
      <c r="AE174" s="385" t="str">
        <f>IFERROR('Segment Analysis'!AE9/'Segment Analysis'!Z9-1,"N/A")</f>
        <v>N/A</v>
      </c>
      <c r="AF174" s="385" t="str">
        <f>IFERROR('Segment Analysis'!AF9/'Segment Analysis'!AA9-1,"N/A")</f>
        <v>N/A</v>
      </c>
      <c r="AG174" s="385" t="str">
        <f>IFERROR('Segment Analysis'!AG9/'Segment Analysis'!AB9-1,"N/A")</f>
        <v>N/A</v>
      </c>
    </row>
    <row r="175" ht="15.75" customHeight="1" hidden="1" spans="1:33" x14ac:dyDescent="0.25" outlineLevel="1">
      <c r="C175" s="131">
        <f>'Segment Analysis'!C18</f>
        <v>0</v>
      </c>
      <c r="D175" s="8"/>
      <c r="E175" s="8"/>
      <c r="F175" s="496"/>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6"/>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6"/>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6"/>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6"/>
      <c r="G180" s="496"/>
      <c r="H180" s="496"/>
      <c r="I180" s="496"/>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6"/>
      <c r="G181" s="496"/>
      <c r="H181" s="496"/>
      <c r="I181" s="496"/>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6"/>
      <c r="G182" s="496"/>
      <c r="H182" s="496"/>
      <c r="I182" s="496"/>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6"/>
      <c r="G183" s="496"/>
      <c r="H183" s="496"/>
      <c r="I183" s="496"/>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6"/>
      <c r="G184" s="496"/>
      <c r="H184" s="496"/>
      <c r="I184" s="496"/>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6"/>
      <c r="G186" s="384"/>
      <c r="H186" s="384"/>
      <c r="I186" s="384"/>
      <c r="J186" s="385"/>
      <c r="K186" s="384" t="str">
        <f>IFERROR(Model!K36/Model!F36-1,"N/A")</f>
        <v>N/A</v>
      </c>
      <c r="L186" s="384" t="str">
        <f>IFERROR(Model!L36/Model!G36-1,"N/A")</f>
        <v>N/A</v>
      </c>
      <c r="M186" s="384" t="str">
        <f>IFERROR(Model!M36/Model!H36-1,"N/A")</f>
        <v>N/A</v>
      </c>
      <c r="N186" s="384" t="str">
        <f>IFERROR(Model!N36/Model!I36-1,"N/A")</f>
        <v>N/A</v>
      </c>
      <c r="O186" s="385" t="str">
        <f>IFERROR(Model!O36/Model!J36-1,"N/A")</f>
        <v>N/A</v>
      </c>
      <c r="P186" s="384" t="str">
        <f>IFERROR(Model!P36/Model!K36-1,"N/A")</f>
        <v>N/A</v>
      </c>
      <c r="Q186" s="384" t="str">
        <f>IFERROR(Model!Q36/Model!L36-1,"N/A")</f>
        <v>N/A</v>
      </c>
      <c r="R186" s="384" t="str">
        <f>IFERROR(Model!R36/Model!M36-1,"N/A")</f>
        <v>N/A</v>
      </c>
      <c r="S186" s="384" t="str">
        <f>IFERROR(Model!S36/Model!N36-1,"N/A")</f>
        <v>N/A</v>
      </c>
      <c r="T186" s="385" t="str">
        <f>IFERROR(Model!T36/Model!O36-1,"N/A")</f>
        <v>N/A</v>
      </c>
      <c r="U186" s="386">
        <f>IFERROR(Model!U36/Model!P36-1,"N/A")</f>
        <v>-0.9988963543566577</v>
      </c>
      <c r="V186" s="386">
        <f>IFERROR(Model!V36/Model!Q36-1,"N/A")</f>
        <v>-0.9967677717122382</v>
      </c>
      <c r="W186" s="386">
        <f>IFERROR(Model!W36/Model!R36-1,"N/A")</f>
        <v>-0.9950773905248083</v>
      </c>
      <c r="X186" s="386">
        <f>IFERROR(Model!X36/Model!S36-1,"N/A")</f>
        <v>-0.9937711529511551</v>
      </c>
      <c r="Y186" s="385">
        <f>IFERROR(Model!Y36/Model!T36-1,"N/A")</f>
        <v>-0.9959533551905663</v>
      </c>
      <c r="Z186" s="386">
        <f>IFERROR(Model!Z36/Model!U36-1,"N/A")</f>
        <v>7.880000000000001</v>
      </c>
      <c r="AA186" s="386">
        <f>IFERROR(Model!AA36/Model!V36-1,"N/A")</f>
        <v>2.6737588652482245</v>
      </c>
      <c r="AB186" s="386">
        <f>IFERROR(Model!AB36/Model!W36-1,"N/A")</f>
        <v>1.6412728954671594</v>
      </c>
      <c r="AC186" s="386">
        <f>IFERROR(Model!AC36/Model!X36-1,"N/A")</f>
        <v>1.404642166344293</v>
      </c>
      <c r="AD186" s="385">
        <f>IFERROR(Model!AD36/Model!Y36-1,"N/A")</f>
        <v>2.1092051182628913</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6"/>
      <c r="G188" s="384"/>
      <c r="H188" s="384"/>
      <c r="I188" s="384"/>
      <c r="J188" s="385"/>
      <c r="K188" s="384" t="str">
        <f>IFERROR(Model!K61/Model!F61-1,"N/A")</f>
        <v>N/A</v>
      </c>
      <c r="L188" s="384" t="str">
        <f>IFERROR(Model!L61/Model!G61-1,"N/A")</f>
        <v>N/A</v>
      </c>
      <c r="M188" s="384" t="str">
        <f>IFERROR(Model!M61/Model!H61-1,"N/A")</f>
        <v>N/A</v>
      </c>
      <c r="N188" s="384" t="str">
        <f>IFERROR(Model!N61/Model!I61-1,"N/A")</f>
        <v>N/A</v>
      </c>
      <c r="O188" s="385" t="str">
        <f>IFERROR(Model!O61/Model!J61-1,"N/A")</f>
        <v>N/A</v>
      </c>
      <c r="P188" s="384" t="str">
        <f>IFERROR(Model!P61/Model!K61-1,"N/A")</f>
        <v>N/A</v>
      </c>
      <c r="Q188" s="384" t="str">
        <f>IFERROR(Model!Q61/Model!L61-1,"N/A")</f>
        <v>N/A</v>
      </c>
      <c r="R188" s="384" t="str">
        <f>IFERROR(Model!R61/Model!M61-1,"N/A")</f>
        <v>N/A</v>
      </c>
      <c r="S188" s="384" t="str">
        <f>IFERROR(Model!S61/Model!N61-1,"N/A")</f>
        <v>N/A</v>
      </c>
      <c r="T188" s="385" t="str">
        <f>IFERROR(Model!T61/Model!O61-1,"N/A")</f>
        <v>N/A</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c r="AD190" s="519"/>
      <c r="AE190" s="519"/>
      <c r="AF190" s="519"/>
      <c r="AG190" s="520"/>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6"/>
      <c r="G192" s="384" t="str">
        <f>IFERROR('Segment Analysis'!G7/'Segment Analysis'!F7-1,"N/A")</f>
        <v>N/A</v>
      </c>
      <c r="H192" s="384" t="str">
        <f>IFERROR('Segment Analysis'!H7/'Segment Analysis'!G7-1,"N/A")</f>
        <v>N/A</v>
      </c>
      <c r="I192" s="384" t="str">
        <f>IFERROR('Segment Analysis'!I7/'Segment Analysis'!H7-1,"N/A")</f>
        <v>N/A</v>
      </c>
      <c r="J192" s="385"/>
      <c r="K192" s="384" t="str">
        <f>IFERROR('Segment Analysis'!K7/'Segment Analysis'!I7-1,"N/A")</f>
        <v>N/A</v>
      </c>
      <c r="L192" s="384" t="str">
        <f>IFERROR('Segment Analysis'!L7/'Segment Analysis'!K7-1,"N/A")</f>
        <v>N/A</v>
      </c>
      <c r="M192" s="384" t="str">
        <f>IFERROR('Segment Analysis'!M7/'Segment Analysis'!L7-1,"N/A")</f>
        <v>N/A</v>
      </c>
      <c r="N192" s="384" t="str">
        <f>IFERROR('Segment Analysis'!N7/'Segment Analysis'!M7-1,"N/A")</f>
        <v>N/A</v>
      </c>
      <c r="O192" s="385"/>
      <c r="P192" s="384" t="str">
        <f>IFERROR('Segment Analysis'!P7/'Segment Analysis'!N7-1,"N/A")</f>
        <v>N/A</v>
      </c>
      <c r="Q192" s="384" t="str">
        <f>IFERROR('Segment Analysis'!Q7/'Segment Analysis'!P7-1,"N/A")</f>
        <v>N/A</v>
      </c>
      <c r="R192" s="384" t="str">
        <f>IFERROR('Segment Analysis'!R7/'Segment Analysis'!Q7-1,"N/A")</f>
        <v>N/A</v>
      </c>
      <c r="S192" s="384" t="str">
        <f>IFERROR('Segment Analysis'!S7/'Segment Analysis'!R7-1,"N/A")</f>
        <v>N/A</v>
      </c>
      <c r="T192" s="385"/>
      <c r="U192" s="386" t="str">
        <f>IFERROR('Segment Analysis'!U7/'Segment Analysis'!S7-1,"N/A")</f>
        <v>N/A</v>
      </c>
      <c r="V192" s="386" t="str">
        <f>IFERROR('Segment Analysis'!V7/'Segment Analysis'!U7-1,"N/A")</f>
        <v>N/A</v>
      </c>
      <c r="W192" s="386" t="str">
        <f>IFERROR('Segment Analysis'!W7/'Segment Analysis'!V7-1,"N/A")</f>
        <v>N/A</v>
      </c>
      <c r="X192" s="386" t="str">
        <f>IFERROR('Segment Analysis'!X7/'Segment Analysis'!W7-1,"N/A")</f>
        <v>N/A</v>
      </c>
      <c r="Y192" s="385"/>
      <c r="Z192" s="386" t="str">
        <f>IFERROR('Segment Analysis'!Z7/'Segment Analysis'!X7-1,"N/A")</f>
        <v>N/A</v>
      </c>
      <c r="AA192" s="386" t="str">
        <f>IFERROR('Segment Analysis'!AA7/'Segment Analysis'!Z7-1,"N/A")</f>
        <v>N/A</v>
      </c>
      <c r="AB192" s="386" t="str">
        <f>IFERROR('Segment Analysis'!AB7/'Segment Analysis'!AA7-1,"N/A")</f>
        <v>N/A</v>
      </c>
      <c r="AC192" s="386" t="str">
        <f>IFERROR('Segment Analysis'!AC7/'Segment Analysis'!AB7-1,"N/A")</f>
        <v>N/A</v>
      </c>
      <c r="AD192" s="385"/>
      <c r="AE192" s="385" t="str">
        <f>IFERROR('Segment Analysis'!AE7/'Segment Analysis'!AD7-1,"N/A")</f>
        <v>N/A</v>
      </c>
      <c r="AF192" s="385" t="str">
        <f>IFERROR('Segment Analysis'!AF7/'Segment Analysis'!AE7-1,"N/A")</f>
        <v>N/A</v>
      </c>
      <c r="AG192" s="385" t="str">
        <f>IFERROR('Segment Analysis'!AG7/'Segment Analysis'!AF7-1,"N/A")</f>
        <v>N/A</v>
      </c>
    </row>
    <row r="193" ht="15.75" customHeight="1" spans="1:33" x14ac:dyDescent="0.25">
      <c r="C193" s="131" t="str">
        <f>'Segment Analysis'!C16</f>
        <v>Investment Banking &amp; Capital Markets</v>
      </c>
      <c r="D193" s="8"/>
      <c r="E193" s="8"/>
      <c r="F193" s="496"/>
      <c r="G193" s="384" t="str">
        <f>IFERROR('Segment Analysis'!G8/'Segment Analysis'!F8-1,"N/A")</f>
        <v>N/A</v>
      </c>
      <c r="H193" s="384" t="str">
        <f>IFERROR('Segment Analysis'!H8/'Segment Analysis'!G8-1,"N/A")</f>
        <v>N/A</v>
      </c>
      <c r="I193" s="384" t="str">
        <f>IFERROR('Segment Analysis'!I8/'Segment Analysis'!H8-1,"N/A")</f>
        <v>N/A</v>
      </c>
      <c r="J193" s="385"/>
      <c r="K193" s="384" t="str">
        <f>IFERROR('Segment Analysis'!K8/'Segment Analysis'!I8-1,"N/A")</f>
        <v>N/A</v>
      </c>
      <c r="L193" s="384" t="str">
        <f>IFERROR('Segment Analysis'!L8/'Segment Analysis'!K8-1,"N/A")</f>
        <v>N/A</v>
      </c>
      <c r="M193" s="384" t="str">
        <f>IFERROR('Segment Analysis'!M8/'Segment Analysis'!L8-1,"N/A")</f>
        <v>N/A</v>
      </c>
      <c r="N193" s="384" t="str">
        <f>IFERROR('Segment Analysis'!N8/'Segment Analysis'!M8-1,"N/A")</f>
        <v>N/A</v>
      </c>
      <c r="O193" s="385"/>
      <c r="P193" s="384" t="str">
        <f>IFERROR('Segment Analysis'!P8/'Segment Analysis'!N8-1,"N/A")</f>
        <v>N/A</v>
      </c>
      <c r="Q193" s="384" t="str">
        <f>IFERROR('Segment Analysis'!Q8/'Segment Analysis'!P8-1,"N/A")</f>
        <v>N/A</v>
      </c>
      <c r="R193" s="384" t="str">
        <f>IFERROR('Segment Analysis'!R8/'Segment Analysis'!Q8-1,"N/A")</f>
        <v>N/A</v>
      </c>
      <c r="S193" s="384" t="str">
        <f>IFERROR('Segment Analysis'!S8/'Segment Analysis'!R8-1,"N/A")</f>
        <v>N/A</v>
      </c>
      <c r="T193" s="385"/>
      <c r="U193" s="386" t="str">
        <f>IFERROR('Segment Analysis'!U8/'Segment Analysis'!S8-1,"N/A")</f>
        <v>N/A</v>
      </c>
      <c r="V193" s="386" t="str">
        <f>IFERROR('Segment Analysis'!V8/'Segment Analysis'!U8-1,"N/A")</f>
        <v>N/A</v>
      </c>
      <c r="W193" s="386" t="str">
        <f>IFERROR('Segment Analysis'!W8/'Segment Analysis'!V8-1,"N/A")</f>
        <v>N/A</v>
      </c>
      <c r="X193" s="386" t="str">
        <f>IFERROR('Segment Analysis'!X8/'Segment Analysis'!W8-1,"N/A")</f>
        <v>N/A</v>
      </c>
      <c r="Y193" s="385"/>
      <c r="Z193" s="386" t="str">
        <f>IFERROR('Segment Analysis'!Z8/'Segment Analysis'!X8-1,"N/A")</f>
        <v>N/A</v>
      </c>
      <c r="AA193" s="386" t="str">
        <f>IFERROR('Segment Analysis'!AA8/'Segment Analysis'!Z8-1,"N/A")</f>
        <v>N/A</v>
      </c>
      <c r="AB193" s="386" t="str">
        <f>IFERROR('Segment Analysis'!AB8/'Segment Analysis'!AA8-1,"N/A")</f>
        <v>N/A</v>
      </c>
      <c r="AC193" s="386" t="str">
        <f>IFERROR('Segment Analysis'!AC8/'Segment Analysis'!AB8-1,"N/A")</f>
        <v>N/A</v>
      </c>
      <c r="AD193" s="385"/>
      <c r="AE193" s="385" t="str">
        <f>IFERROR('Segment Analysis'!AE8/'Segment Analysis'!AD8-1,"N/A")</f>
        <v>N/A</v>
      </c>
      <c r="AF193" s="385" t="str">
        <f>IFERROR('Segment Analysis'!AF8/'Segment Analysis'!AE8-1,"N/A")</f>
        <v>N/A</v>
      </c>
      <c r="AG193" s="385" t="str">
        <f>IFERROR('Segment Analysis'!AG8/'Segment Analysis'!AF8-1,"N/A")</f>
        <v>N/A</v>
      </c>
    </row>
    <row r="194" ht="15.75" customHeight="1" spans="1:33" x14ac:dyDescent="0.25">
      <c r="C194" s="131" t="str">
        <f>'Segment Analysis'!C17</f>
        <v>Asset Management and Other</v>
      </c>
      <c r="D194" s="8"/>
      <c r="E194" s="8"/>
      <c r="F194" s="496"/>
      <c r="G194" s="384" t="str">
        <f>IFERROR('Segment Analysis'!G9/'Segment Analysis'!F9-1,"N/A")</f>
        <v>N/A</v>
      </c>
      <c r="H194" s="384" t="str">
        <f>IFERROR('Segment Analysis'!H9/'Segment Analysis'!G9-1,"N/A")</f>
        <v>N/A</v>
      </c>
      <c r="I194" s="384" t="str">
        <f>IFERROR('Segment Analysis'!I9/'Segment Analysis'!H9-1,"N/A")</f>
        <v>N/A</v>
      </c>
      <c r="J194" s="385"/>
      <c r="K194" s="384" t="str">
        <f>IFERROR('Segment Analysis'!K9/'Segment Analysis'!I9-1,"N/A")</f>
        <v>N/A</v>
      </c>
      <c r="L194" s="384" t="str">
        <f>IFERROR('Segment Analysis'!L9/'Segment Analysis'!K9-1,"N/A")</f>
        <v>N/A</v>
      </c>
      <c r="M194" s="384" t="str">
        <f>IFERROR('Segment Analysis'!M9/'Segment Analysis'!L9-1,"N/A")</f>
        <v>N/A</v>
      </c>
      <c r="N194" s="384" t="str">
        <f>IFERROR('Segment Analysis'!N9/'Segment Analysis'!M9-1,"N/A")</f>
        <v>N/A</v>
      </c>
      <c r="O194" s="385"/>
      <c r="P194" s="384" t="str">
        <f>IFERROR('Segment Analysis'!P9/'Segment Analysis'!N9-1,"N/A")</f>
        <v>N/A</v>
      </c>
      <c r="Q194" s="384" t="str">
        <f>IFERROR('Segment Analysis'!Q9/'Segment Analysis'!P9-1,"N/A")</f>
        <v>N/A</v>
      </c>
      <c r="R194" s="384" t="str">
        <f>IFERROR('Segment Analysis'!R9/'Segment Analysis'!Q9-1,"N/A")</f>
        <v>N/A</v>
      </c>
      <c r="S194" s="384" t="str">
        <f>IFERROR('Segment Analysis'!S9/'Segment Analysis'!R9-1,"N/A")</f>
        <v>N/A</v>
      </c>
      <c r="T194" s="385"/>
      <c r="U194" s="386" t="str">
        <f>IFERROR('Segment Analysis'!U9/'Segment Analysis'!S9-1,"N/A")</f>
        <v>N/A</v>
      </c>
      <c r="V194" s="386" t="str">
        <f>IFERROR('Segment Analysis'!V9/'Segment Analysis'!U9-1,"N/A")</f>
        <v>N/A</v>
      </c>
      <c r="W194" s="386" t="str">
        <f>IFERROR('Segment Analysis'!W9/'Segment Analysis'!V9-1,"N/A")</f>
        <v>N/A</v>
      </c>
      <c r="X194" s="386" t="str">
        <f>IFERROR('Segment Analysis'!X9/'Segment Analysis'!W9-1,"N/A")</f>
        <v>N/A</v>
      </c>
      <c r="Y194" s="385"/>
      <c r="Z194" s="386" t="str">
        <f>IFERROR('Segment Analysis'!Z9/'Segment Analysis'!X9-1,"N/A")</f>
        <v>N/A</v>
      </c>
      <c r="AA194" s="386" t="str">
        <f>IFERROR('Segment Analysis'!AA9/'Segment Analysis'!Z9-1,"N/A")</f>
        <v>N/A</v>
      </c>
      <c r="AB194" s="386" t="str">
        <f>IFERROR('Segment Analysis'!AB9/'Segment Analysis'!AA9-1,"N/A")</f>
        <v>N/A</v>
      </c>
      <c r="AC194" s="386" t="str">
        <f>IFERROR('Segment Analysis'!AC9/'Segment Analysis'!AB9-1,"N/A")</f>
        <v>N/A</v>
      </c>
      <c r="AD194" s="385"/>
      <c r="AE194" s="385" t="str">
        <f>IFERROR('Segment Analysis'!AE9/'Segment Analysis'!AD9-1,"N/A")</f>
        <v>N/A</v>
      </c>
      <c r="AF194" s="385" t="str">
        <f>IFERROR('Segment Analysis'!AF9/'Segment Analysis'!AE9-1,"N/A")</f>
        <v>N/A</v>
      </c>
      <c r="AG194" s="385" t="str">
        <f>IFERROR('Segment Analysis'!AG9/'Segment Analysis'!AF9-1,"N/A")</f>
        <v>N/A</v>
      </c>
    </row>
    <row r="195" ht="15.75" customHeight="1" hidden="1" spans="1:33" x14ac:dyDescent="0.25" outlineLevel="1">
      <c r="C195" s="131">
        <f>'Segment Analysis'!C18</f>
        <v>0</v>
      </c>
      <c r="D195" s="8"/>
      <c r="E195" s="8"/>
      <c r="F195" s="496"/>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6"/>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6"/>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6"/>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6"/>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6"/>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6"/>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6"/>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6"/>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6"/>
      <c r="G206" s="384" t="str">
        <f>IFERROR(Model!G36/Model!F36-1,"N/A")</f>
        <v>N/A</v>
      </c>
      <c r="H206" s="384" t="str">
        <f>IFERROR(Model!H36/Model!G36-1,"N/A")</f>
        <v>N/A</v>
      </c>
      <c r="I206" s="384" t="str">
        <f>IFERROR(Model!I36/Model!H36-1,"N/A")</f>
        <v>N/A</v>
      </c>
      <c r="J206" s="385"/>
      <c r="K206" s="384" t="str">
        <f>IFERROR(Model!K36/Model!J36-1,"N/A")</f>
        <v>N/A</v>
      </c>
      <c r="L206" s="384" t="str">
        <f>IFERROR(Model!L36/Model!K36-1,"N/A")</f>
        <v>N/A</v>
      </c>
      <c r="M206" s="384" t="str">
        <f>IFERROR(Model!M36/Model!L36-1,"N/A")</f>
        <v>N/A</v>
      </c>
      <c r="N206" s="384" t="str">
        <f>IFERROR(Model!N36/Model!M36-1,"N/A")</f>
        <v>N/A</v>
      </c>
      <c r="O206" s="385"/>
      <c r="P206" s="384" t="str">
        <f>IFERROR(Model!P36/Model!O36-1,"N/A")</f>
        <v>N/A</v>
      </c>
      <c r="Q206" s="384">
        <f>IFERROR(Model!Q36/Model!P36-1,"N/A")</f>
        <v>0.03994024774715421</v>
      </c>
      <c r="R206" s="384">
        <f>IFERROR(Model!R36/Model!Q36-1,"N/A")</f>
        <v>0.14409094485931084</v>
      </c>
      <c r="S206" s="384">
        <f>IFERROR(Model!S36/Model!R36-1,"N/A")</f>
        <v>0.05830438845033625</v>
      </c>
      <c r="T206" s="385"/>
      <c r="U206" s="386">
        <f>IFERROR(Model!U36/Model!T36-1,"N/A")</f>
        <v>-0.9997541379939506</v>
      </c>
      <c r="V206" s="386">
        <f>IFERROR(Model!V36/Model!U36-1,"N/A")</f>
        <v>2.0456553755522826</v>
      </c>
      <c r="W206" s="386">
        <f>IFERROR(Model!W36/Model!V36-1,"N/A")</f>
        <v>0.7424242424242422</v>
      </c>
      <c r="X206" s="386">
        <f>IFERROR(Model!X36/Model!W36-1,"N/A")</f>
        <v>0.33913043478260896</v>
      </c>
      <c r="Y206" s="385"/>
      <c r="Z206" s="386">
        <f>IFERROR(Model!Z36/Model!Y36-1,"N/A")</f>
        <v>-0.46047782384346936</v>
      </c>
      <c r="AA206" s="386">
        <f>IFERROR(Model!AA36/Model!Z36-1,"N/A")</f>
        <v>0.26002290950744444</v>
      </c>
      <c r="AB206" s="386">
        <f>IFERROR(Model!AB36/Model!AA36-1,"N/A")</f>
        <v>0.25272727272727313</v>
      </c>
      <c r="AC206" s="386">
        <f>IFERROR(Model!AC36/Model!AB36-1,"N/A")</f>
        <v>0.21915820029027566</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6"/>
      <c r="G208" s="384" t="str">
        <f>IFERROR(Model!G61/Model!F61-1,"N/A")</f>
        <v>N/A</v>
      </c>
      <c r="H208" s="384" t="str">
        <f>IFERROR(Model!H61/Model!G61-1,"N/A")</f>
        <v>N/A</v>
      </c>
      <c r="I208" s="384" t="str">
        <f>IFERROR(Model!I61/Model!H61-1,"N/A")</f>
        <v>N/A</v>
      </c>
      <c r="J208" s="385"/>
      <c r="K208" s="384" t="str">
        <f>IFERROR(Model!K61/Model!I61-1,"N/A")</f>
        <v>N/A</v>
      </c>
      <c r="L208" s="384" t="str">
        <f>IFERROR(Model!L61/Model!K61-1,"N/A")</f>
        <v>N/A</v>
      </c>
      <c r="M208" s="384" t="str">
        <f>IFERROR(Model!M61/Model!L61-1,"N/A")</f>
        <v>N/A</v>
      </c>
      <c r="N208" s="384" t="str">
        <f>IFERROR(Model!N61/Model!M61-1,"N/A")</f>
        <v>N/A</v>
      </c>
      <c r="O208" s="385"/>
      <c r="P208" s="384" t="str">
        <f>IFERROR(Model!P61/Model!N61-1,"N/A")</f>
        <v>N/A</v>
      </c>
      <c r="Q208" s="384">
        <f>IFERROR(Model!Q61/Model!P61-1,"N/A")</f>
        <v>0.02574619090750585</v>
      </c>
      <c r="R208" s="384">
        <f>IFERROR(Model!R61/Model!Q61-1,"N/A")</f>
        <v>0.14861814435639498</v>
      </c>
      <c r="S208" s="384">
        <f>IFERROR(Model!S61/Model!R61-1,"N/A")</f>
        <v>0.05861932269682146</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30" t="str">
        <f>IF(Cover!$F$37="Bottom Up","Operating Margins","Gross Margin")</f>
        <v>Gross Margin</v>
      </c>
      <c r="D5" s="531"/>
      <c r="E5" s="531"/>
      <c r="F5" s="532"/>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4"/>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t="e">
        <f>IF($C$5="Operating Margins",'Segment Analysis'!F155,Model!F66)</f>
        <v>#DIV/0!</v>
      </c>
      <c r="G7" s="384" t="e">
        <f>IF($C$5="Operating Margins",'Segment Analysis'!G155,Model!G66)</f>
        <v>#DIV/0!</v>
      </c>
      <c r="H7" s="384" t="e">
        <f>IF($C$5="Operating Margins",'Segment Analysis'!H155,Model!H66)</f>
        <v>#DIV/0!</v>
      </c>
      <c r="I7" s="384" t="e">
        <f>IF($C$5="Operating Margins",'Segment Analysis'!I155,Model!I66)</f>
        <v>#DIV/0!</v>
      </c>
      <c r="J7" s="385" t="e">
        <f>IF($C$5="Operating Margins",'Segment Analysis'!J155,Model!J66)</f>
        <v>#DIV/0!</v>
      </c>
      <c r="K7" s="384" t="e">
        <f>IF($C$5="Operating Margins",'Segment Analysis'!K155,Model!K66)</f>
        <v>#DIV/0!</v>
      </c>
      <c r="L7" s="384" t="e">
        <f>IF($C$5="Operating Margins",'Segment Analysis'!L155,Model!L66)</f>
        <v>#DIV/0!</v>
      </c>
      <c r="M7" s="384" t="e">
        <f>IF($C$5="Operating Margins",'Segment Analysis'!M155,Model!M66)</f>
        <v>#DIV/0!</v>
      </c>
      <c r="N7" s="384" t="e">
        <f>IF($C$5="Operating Margins",'Segment Analysis'!N155,Model!N66)</f>
        <v>#DIV/0!</v>
      </c>
      <c r="O7" s="385" t="e">
        <f>IF($C$5="Operating Margins",'Segment Analysis'!O155,Model!O66)</f>
        <v>#DIV/0!</v>
      </c>
      <c r="P7" s="384" t="e">
        <f>IF($C$5="Operating Margins",'Segment Analysis'!P155,Model!P66)</f>
        <v>#DIV/0!</v>
      </c>
      <c r="Q7" s="384" t="e">
        <f>IF($C$5="Operating Margins",'Segment Analysis'!Q155,Model!Q66)</f>
        <v>#DIV/0!</v>
      </c>
      <c r="R7" s="384" t="e">
        <f>IF($C$5="Operating Margins",'Segment Analysis'!R155,Model!R66)</f>
        <v>#DIV/0!</v>
      </c>
      <c r="S7" s="384" t="e">
        <f>IF($C$5="Operating Margins",'Segment Analysis'!S155,Model!S66)</f>
        <v>#DIV/0!</v>
      </c>
      <c r="T7" s="385" t="e">
        <f>IF($C$5="Operating Margins",'Segment Analysis'!T155,Model!T66)</f>
        <v>#DIV/0!</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t="e">
        <f>IF($C$5="Operating Margins",'Segment Analysis'!Y155,Model!Y66)</f>
        <v>#DIV/0!</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t="e">
        <f>IF($C$5="Operating Margins",'Segment Analysis'!AD155,Model!AD66)</f>
        <v>#DIV/0!</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t="str">
        <f>'Segment Analysis'!F156</f>
        <v>N/A</v>
      </c>
      <c r="G12" s="384" t="str">
        <f>'Segment Analysis'!G156</f>
        <v>N/A</v>
      </c>
      <c r="H12" s="384" t="str">
        <f>'Segment Analysis'!H156</f>
        <v>N/A</v>
      </c>
      <c r="I12" s="384" t="str">
        <f>'Segment Analysis'!I156</f>
        <v>N/A</v>
      </c>
      <c r="J12" s="385" t="str">
        <f>'Segment Analysis'!J156</f>
        <v>N/A</v>
      </c>
      <c r="K12" s="384" t="str">
        <f>'Segment Analysis'!K156</f>
        <v>N/A</v>
      </c>
      <c r="L12" s="384" t="str">
        <f>'Segment Analysis'!L156</f>
        <v>N/A</v>
      </c>
      <c r="M12" s="384" t="str">
        <f>'Segment Analysis'!M156</f>
        <v>N/A</v>
      </c>
      <c r="N12" s="384" t="str">
        <f>'Segment Analysis'!N156</f>
        <v>N/A</v>
      </c>
      <c r="O12" s="385" t="str">
        <f>'Segment Analysis'!O156</f>
        <v>N/A</v>
      </c>
      <c r="P12" s="384" t="str">
        <f>'Segment Analysis'!P156</f>
        <v>N/A</v>
      </c>
      <c r="Q12" s="384" t="str">
        <f>'Segment Analysis'!Q156</f>
        <v>N/A</v>
      </c>
      <c r="R12" s="384" t="str">
        <f>'Segment Analysis'!R156</f>
        <v>N/A</v>
      </c>
      <c r="S12" s="384" t="str">
        <f>'Segment Analysis'!S156</f>
        <v>N/A</v>
      </c>
      <c r="T12" s="385" t="str">
        <f>'Segment Analysis'!T156</f>
        <v>N/A</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t="str">
        <f>'Segment Analysis'!Y156</f>
        <v>N/A</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t="str">
        <f>'Segment Analysis'!AD156</f>
        <v>N/A</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5" t="s">
        <v>465</v>
      </c>
      <c r="D38" s="536"/>
      <c r="E38" s="536"/>
      <c r="F38" s="537"/>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9"/>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t="e">
        <f>Model!F67</f>
        <v>#DIV/0!</v>
      </c>
      <c r="G40" s="384" t="e">
        <f>Model!G67</f>
        <v>#DIV/0!</v>
      </c>
      <c r="H40" s="384" t="e">
        <f>Model!H67</f>
        <v>#DIV/0!</v>
      </c>
      <c r="I40" s="384" t="e">
        <f>Model!I67</f>
        <v>#DIV/0!</v>
      </c>
      <c r="J40" s="385" t="e">
        <f>Model!J67</f>
        <v>#DIV/0!</v>
      </c>
      <c r="K40" s="384" t="e">
        <f>Model!K67</f>
        <v>#DIV/0!</v>
      </c>
      <c r="L40" s="384" t="e">
        <f>Model!L67</f>
        <v>#DIV/0!</v>
      </c>
      <c r="M40" s="384" t="e">
        <f>Model!M67</f>
        <v>#DIV/0!</v>
      </c>
      <c r="N40" s="384" t="e">
        <f>Model!N67</f>
        <v>#DIV/0!</v>
      </c>
      <c r="O40" s="385" t="e">
        <f>Model!O67</f>
        <v>#DIV/0!</v>
      </c>
      <c r="P40" s="384" t="e">
        <f>Model!P67</f>
        <v>#DIV/0!</v>
      </c>
      <c r="Q40" s="384" t="e">
        <f>Model!Q67</f>
        <v>#DIV/0!</v>
      </c>
      <c r="R40" s="384" t="e">
        <f>Model!R67</f>
        <v>#DIV/0!</v>
      </c>
      <c r="S40" s="384" t="e">
        <f>Model!S67</f>
        <v>#DIV/0!</v>
      </c>
      <c r="T40" s="385" t="e">
        <f>Model!T67</f>
        <v>#DIV/0!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-0.5203792134831461</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-0.5065104166666666</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t="e">
        <f>Model!F68</f>
        <v>#DIV/0!</v>
      </c>
      <c r="G45" s="384" t="e">
        <f>Model!G68</f>
        <v>#DIV/0!</v>
      </c>
      <c r="H45" s="384" t="e">
        <f>Model!H68</f>
        <v>#DIV/0!</v>
      </c>
      <c r="I45" s="384" t="e">
        <f>Model!I68</f>
        <v>#DIV/0!</v>
      </c>
      <c r="J45" s="385" t="e">
        <f>Model!J68</f>
        <v>#DIV/0!</v>
      </c>
      <c r="K45" s="384" t="e">
        <f>Model!K68</f>
        <v>#DIV/0!</v>
      </c>
      <c r="L45" s="384" t="e">
        <f>Model!L68</f>
        <v>#DIV/0!</v>
      </c>
      <c r="M45" s="384" t="e">
        <f>Model!M68</f>
        <v>#DIV/0!</v>
      </c>
      <c r="N45" s="384" t="e">
        <f>Model!N68</f>
        <v>#DIV/0!</v>
      </c>
      <c r="O45" s="385" t="e">
        <f>Model!O68</f>
        <v>#DIV/0!</v>
      </c>
      <c r="P45" s="384" t="e">
        <f>Model!P68</f>
        <v>#DIV/0!</v>
      </c>
      <c r="Q45" s="384" t="e">
        <f>Model!Q68</f>
        <v>#DIV/0!</v>
      </c>
      <c r="R45" s="384" t="e">
        <f>Model!R68</f>
        <v>#DIV/0!</v>
      </c>
      <c r="S45" s="384" t="e">
        <f>Model!S68</f>
        <v>#DIV/0!</v>
      </c>
      <c r="T45" s="385" t="e">
        <f>Model!T68</f>
        <v>#DIV/0!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-0.24417837078651686</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-0.23145833333333335</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t="e">
        <f>Model!F69</f>
        <v>#DIV/0!</v>
      </c>
      <c r="G50" s="384" t="e">
        <f>Model!G69</f>
        <v>#DIV/0!</v>
      </c>
      <c r="H50" s="384" t="e">
        <f>Model!H69</f>
        <v>#DIV/0!</v>
      </c>
      <c r="I50" s="384" t="e">
        <f>Model!I69</f>
        <v>#DIV/0!</v>
      </c>
      <c r="J50" s="385" t="e">
        <f>Model!J69</f>
        <v>#DIV/0!</v>
      </c>
      <c r="K50" s="384" t="e">
        <f>Model!K69</f>
        <v>#DIV/0!</v>
      </c>
      <c r="L50" s="384" t="e">
        <f>Model!L69</f>
        <v>#DIV/0!</v>
      </c>
      <c r="M50" s="384" t="e">
        <f>Model!M69</f>
        <v>#DIV/0!</v>
      </c>
      <c r="N50" s="384" t="e">
        <f>Model!N69</f>
        <v>#DIV/0!</v>
      </c>
      <c r="O50" s="385" t="e">
        <f>Model!O69</f>
        <v>#DIV/0!</v>
      </c>
      <c r="P50" s="384" t="e">
        <f>Model!P69</f>
        <v>#DIV/0!</v>
      </c>
      <c r="Q50" s="384" t="e">
        <f>Model!Q69</f>
        <v>#DIV/0!</v>
      </c>
      <c r="R50" s="384" t="e">
        <f>Model!R69</f>
        <v>#DIV/0!</v>
      </c>
      <c r="S50" s="384" t="e">
        <f>Model!S69</f>
        <v>#DIV/0!</v>
      </c>
      <c r="T50" s="385" t="e">
        <f>Model!T69</f>
        <v>#DIV/0!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t="e">
        <f>Model!Y69</f>
        <v>#DIV/0!</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t="e">
        <f>Model!AD69</f>
        <v>#DIV/0!</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5" t="s">
        <v>466</v>
      </c>
      <c r="D55" s="536"/>
      <c r="E55" s="536"/>
      <c r="F55" s="537"/>
      <c r="G55" s="538"/>
      <c r="H55" s="538"/>
      <c r="I55" s="538"/>
      <c r="J55" s="538"/>
      <c r="K55" s="538"/>
      <c r="L55" s="538"/>
      <c r="M55" s="538"/>
      <c r="N55" s="538"/>
      <c r="O55" s="538"/>
      <c r="P55" s="538"/>
      <c r="Q55" s="538"/>
      <c r="R55" s="538"/>
      <c r="S55" s="538"/>
      <c r="T55" s="538"/>
      <c r="U55" s="538"/>
      <c r="V55" s="538"/>
      <c r="W55" s="538"/>
      <c r="X55" s="538"/>
      <c r="Y55" s="538"/>
      <c r="Z55" s="538"/>
      <c r="AA55" s="538"/>
      <c r="AB55" s="538"/>
      <c r="AC55" s="538"/>
      <c r="AD55" s="538"/>
      <c r="AE55" s="538"/>
      <c r="AF55" s="538"/>
      <c r="AG55" s="539"/>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t="e">
        <f>Model!F70</f>
        <v>#DIV/0!</v>
      </c>
      <c r="G57" s="384" t="e">
        <f>Model!G70</f>
        <v>#DIV/0!</v>
      </c>
      <c r="H57" s="384" t="e">
        <f>Model!H70</f>
        <v>#DIV/0!</v>
      </c>
      <c r="I57" s="384" t="e">
        <f>Model!I70</f>
        <v>#DIV/0!</v>
      </c>
      <c r="J57" s="385" t="e">
        <f>Model!J70</f>
        <v>#DIV/0!</v>
      </c>
      <c r="K57" s="384" t="e">
        <f>Model!K70</f>
        <v>#DIV/0!</v>
      </c>
      <c r="L57" s="384" t="e">
        <f>Model!L70</f>
        <v>#DIV/0!</v>
      </c>
      <c r="M57" s="384" t="e">
        <f>Model!M70</f>
        <v>#DIV/0!</v>
      </c>
      <c r="N57" s="384" t="e">
        <f>Model!N70</f>
        <v>#DIV/0!</v>
      </c>
      <c r="O57" s="385" t="e">
        <f>Model!O70</f>
        <v>#DIV/0!</v>
      </c>
      <c r="P57" s="384" t="e">
        <f>Model!P70</f>
        <v>#DIV/0!</v>
      </c>
      <c r="Q57" s="384" t="e">
        <f>Model!Q70</f>
        <v>#DIV/0!</v>
      </c>
      <c r="R57" s="384" t="e">
        <f>Model!R70</f>
        <v>#DIV/0!</v>
      </c>
      <c r="S57" s="384" t="e">
        <f>Model!S70</f>
        <v>#DIV/0!</v>
      </c>
      <c r="T57" s="385" t="e">
        <f>Model!T70</f>
        <v>#DIV/0!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t="e">
        <f>Model!Y70</f>
        <v>#DIV/0!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t="e">
        <f>Model!AD70</f>
        <v>#DIV/0!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40">
        <v>0</v>
      </c>
      <c r="V62" s="540">
        <v>0</v>
      </c>
      <c r="W62" s="540">
        <v>0</v>
      </c>
      <c r="X62" s="540">
        <v>0</v>
      </c>
      <c r="Y62" s="322">
        <f>Model!Y40</f>
        <v>0</v>
      </c>
      <c r="Z62" s="540">
        <v>0</v>
      </c>
      <c r="AA62" s="540">
        <v>0</v>
      </c>
      <c r="AB62" s="540">
        <v>0</v>
      </c>
      <c r="AC62" s="540">
        <v>0</v>
      </c>
      <c r="AD62" s="322">
        <f>Model!AD40</f>
        <v>0</v>
      </c>
      <c r="AE62" s="541">
        <v>0</v>
      </c>
      <c r="AF62" s="541">
        <v>0</v>
      </c>
      <c r="AG62" s="541">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t="e">
        <f>Model!F71</f>
        <v>#DIV/0!</v>
      </c>
      <c r="G64" s="384" t="e">
        <f>Model!G71</f>
        <v>#DIV/0!</v>
      </c>
      <c r="H64" s="384" t="e">
        <f>Model!H71</f>
        <v>#DIV/0!</v>
      </c>
      <c r="I64" s="384" t="e">
        <f>Model!I71</f>
        <v>#DIV/0!</v>
      </c>
      <c r="J64" s="385" t="e">
        <f>Model!J71</f>
        <v>#DIV/0!</v>
      </c>
      <c r="K64" s="384" t="e">
        <f>Model!K71</f>
        <v>#DIV/0!</v>
      </c>
      <c r="L64" s="384" t="e">
        <f>Model!L71</f>
        <v>#DIV/0!</v>
      </c>
      <c r="M64" s="384" t="e">
        <f>Model!M71</f>
        <v>#DIV/0!</v>
      </c>
      <c r="N64" s="384" t="e">
        <f>Model!N71</f>
        <v>#DIV/0!</v>
      </c>
      <c r="O64" s="385" t="e">
        <f>Model!O71</f>
        <v>#DIV/0!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2">
        <f>AE66-0.01</f>
        <v>0.24</v>
      </c>
      <c r="AF65" s="542">
        <f t="shared" ref="AF65:AG65" si="19">AF66-0.01</f>
        <v>0.24</v>
      </c>
      <c r="AG65" s="542">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2">
        <v>0.25</v>
      </c>
      <c r="AF66" s="542">
        <v>0.25</v>
      </c>
      <c r="AG66" s="542">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2">
        <f>AE66+0.01</f>
        <v>0.26</v>
      </c>
      <c r="AF67" s="542">
        <f t="shared" ref="AF67:AG67" si="22">AF66+0.01</f>
        <v>0.26</v>
      </c>
      <c r="AG67" s="542">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30" t="s">
        <v>468</v>
      </c>
      <c r="D70" s="531"/>
      <c r="E70" s="531"/>
      <c r="F70" s="543"/>
      <c r="G70" s="544"/>
      <c r="H70" s="544"/>
      <c r="I70" s="544"/>
      <c r="J70" s="544"/>
      <c r="K70" s="544"/>
      <c r="L70" s="544"/>
      <c r="M70" s="544"/>
      <c r="N70" s="544"/>
      <c r="O70" s="544"/>
      <c r="P70" s="544"/>
      <c r="Q70" s="544"/>
      <c r="R70" s="544"/>
      <c r="S70" s="544"/>
      <c r="T70" s="544"/>
      <c r="U70" s="544"/>
      <c r="V70" s="544"/>
      <c r="W70" s="544"/>
      <c r="X70" s="544"/>
      <c r="Y70" s="544"/>
      <c r="Z70" s="544"/>
      <c r="AA70" s="544"/>
      <c r="AB70" s="544"/>
      <c r="AC70" s="544"/>
      <c r="AD70" s="544"/>
      <c r="AE70" s="544"/>
      <c r="AF70" s="544"/>
      <c r="AG70" s="545"/>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t="e">
        <f>Model!Y204</f>
        <v>#DIV/0!</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t="e">
        <f>Model!AD204</f>
        <v>#DIV/0!</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2">
        <v>-0.147</v>
      </c>
      <c r="AF74" s="542">
        <v>-0.147</v>
      </c>
      <c r="AG74" s="542">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5"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5" t="str">
        <f>'Segment Analysis'!C62</f>
        <v>Investment Banking &amp; Capital Markets</v>
      </c>
      <c r="D78" s="8"/>
      <c r="E78" s="8"/>
      <c r="F78" s="546">
        <f>'Segment Analysis'!F62</f>
        <v>1</v>
      </c>
      <c r="G78" s="546">
        <f>'Segment Analysis'!G62</f>
        <v>1</v>
      </c>
      <c r="H78" s="546">
        <f>'Segment Analysis'!H62</f>
        <v>1</v>
      </c>
      <c r="I78" s="546">
        <f>'Segment Analysis'!I62</f>
        <v>1</v>
      </c>
      <c r="J78" s="388">
        <f>'Segment Analysis'!J62</f>
        <v>1</v>
      </c>
      <c r="K78" s="546">
        <f>'Segment Analysis'!K62</f>
        <v>1</v>
      </c>
      <c r="L78" s="546">
        <f>'Segment Analysis'!L62</f>
        <v>1</v>
      </c>
      <c r="M78" s="546">
        <f>'Segment Analysis'!M62</f>
        <v>1</v>
      </c>
      <c r="N78" s="546">
        <f>'Segment Analysis'!N62</f>
        <v>1</v>
      </c>
      <c r="O78" s="388">
        <f>'Segment Analysis'!O62</f>
        <v>1</v>
      </c>
      <c r="P78" s="546">
        <f>'Segment Analysis'!P62</f>
        <v>1</v>
      </c>
      <c r="Q78" s="546">
        <f>'Segment Analysis'!Q62</f>
        <v>1</v>
      </c>
      <c r="R78" s="546">
        <f>'Segment Analysis'!R62</f>
        <v>1</v>
      </c>
      <c r="S78" s="546">
        <f>'Segment Analysis'!S62</f>
        <v>1</v>
      </c>
      <c r="T78" s="388">
        <f>'Segment Analysis'!T62</f>
        <v>1</v>
      </c>
      <c r="U78" s="316">
        <v>1</v>
      </c>
      <c r="V78" s="316">
        <v>1</v>
      </c>
      <c r="W78" s="316">
        <v>1</v>
      </c>
      <c r="X78" s="316">
        <v>1</v>
      </c>
      <c r="Y78" s="388" t="e">
        <f>'Segment Analysis'!Y62</f>
        <v>#DIV/0!</v>
      </c>
      <c r="Z78" s="316">
        <v>1</v>
      </c>
      <c r="AA78" s="316">
        <v>1</v>
      </c>
      <c r="AB78" s="316">
        <v>1</v>
      </c>
      <c r="AC78" s="316">
        <v>1</v>
      </c>
      <c r="AD78" s="388" t="e">
        <f>'Segment Analysis'!AD62</f>
        <v>#DIV/0!</v>
      </c>
      <c r="AE78" s="317">
        <v>1</v>
      </c>
      <c r="AF78" s="317">
        <v>1</v>
      </c>
      <c r="AG78" s="317">
        <v>1</v>
      </c>
      <c r="AH78" s="8"/>
      <c r="AI78" s="8"/>
    </row>
    <row r="79" ht="12.75" customHeight="1" hidden="1" spans="1:35" x14ac:dyDescent="0.25">
      <c r="A79" s="8"/>
      <c r="B79" s="8"/>
      <c r="C79" s="515" t="str">
        <f>'Segment Analysis'!C63</f>
        <v>Asset Management and Other</v>
      </c>
      <c r="D79" s="8"/>
      <c r="E79" s="8"/>
      <c r="F79" s="546">
        <f>'Segment Analysis'!F63</f>
        <v>0</v>
      </c>
      <c r="G79" s="546">
        <f>'Segment Analysis'!G63</f>
        <v>0</v>
      </c>
      <c r="H79" s="546">
        <f>'Segment Analysis'!H63</f>
        <v>0</v>
      </c>
      <c r="I79" s="546">
        <f>'Segment Analysis'!I63</f>
        <v>0</v>
      </c>
      <c r="J79" s="388">
        <f>'Segment Analysis'!J63</f>
        <v>0</v>
      </c>
      <c r="K79" s="546">
        <f>'Segment Analysis'!K63</f>
        <v>0</v>
      </c>
      <c r="L79" s="546">
        <f>'Segment Analysis'!L63</f>
        <v>0</v>
      </c>
      <c r="M79" s="546">
        <f>'Segment Analysis'!M63</f>
        <v>0</v>
      </c>
      <c r="N79" s="546">
        <f>'Segment Analysis'!N63</f>
        <v>0</v>
      </c>
      <c r="O79" s="388">
        <f>'Segment Analysis'!O63</f>
        <v>0</v>
      </c>
      <c r="P79" s="546">
        <f>'Segment Analysis'!P63</f>
        <v>0</v>
      </c>
      <c r="Q79" s="546">
        <f>'Segment Analysis'!Q63</f>
        <v>0</v>
      </c>
      <c r="R79" s="546">
        <f>'Segment Analysis'!R63</f>
        <v>0</v>
      </c>
      <c r="S79" s="546">
        <f>'Segment Analysis'!S63</f>
        <v>0</v>
      </c>
      <c r="T79" s="388">
        <f>'Segment Analysis'!T63</f>
        <v>0</v>
      </c>
      <c r="U79" s="316">
        <v>0</v>
      </c>
      <c r="V79" s="316">
        <v>0</v>
      </c>
      <c r="W79" s="316">
        <v>0</v>
      </c>
      <c r="X79" s="316">
        <v>0</v>
      </c>
      <c r="Y79" s="388" t="e">
        <f>'Segment Analysis'!Y63</f>
        <v>#DIV/0!</v>
      </c>
      <c r="Z79" s="316">
        <v>0</v>
      </c>
      <c r="AA79" s="316">
        <v>0</v>
      </c>
      <c r="AB79" s="316">
        <v>0</v>
      </c>
      <c r="AC79" s="316">
        <v>0</v>
      </c>
      <c r="AD79" s="388" t="e">
        <f>'Segment Analysis'!AD63</f>
        <v>#DIV/0!</v>
      </c>
      <c r="AE79" s="317">
        <v>0</v>
      </c>
      <c r="AF79" s="317">
        <v>0</v>
      </c>
      <c r="AG79" s="317">
        <v>0</v>
      </c>
      <c r="AH79" s="8"/>
      <c r="AI79" s="8"/>
    </row>
    <row r="80" ht="12.75" customHeight="1" hidden="1" spans="1:35" x14ac:dyDescent="0.25">
      <c r="A80" s="8"/>
      <c r="B80" s="8"/>
      <c r="C80" s="515">
        <f>'Segment Analysis'!C64</f>
        <v>0</v>
      </c>
      <c r="D80" s="8"/>
      <c r="E80" s="8"/>
      <c r="F80" s="546">
        <f>'Segment Analysis'!F64</f>
        <v>0</v>
      </c>
      <c r="G80" s="546">
        <f>'Segment Analysis'!G64</f>
        <v>0</v>
      </c>
      <c r="H80" s="546">
        <f>'Segment Analysis'!H64</f>
        <v>0</v>
      </c>
      <c r="I80" s="546">
        <f>'Segment Analysis'!I64</f>
        <v>0</v>
      </c>
      <c r="J80" s="388">
        <f>'Segment Analysis'!J64</f>
        <v>0</v>
      </c>
      <c r="K80" s="546">
        <f>'Segment Analysis'!K64</f>
        <v>0</v>
      </c>
      <c r="L80" s="546">
        <f>'Segment Analysis'!L64</f>
        <v>0</v>
      </c>
      <c r="M80" s="546">
        <f>'Segment Analysis'!M64</f>
        <v>0</v>
      </c>
      <c r="N80" s="546">
        <f>'Segment Analysis'!N64</f>
        <v>0</v>
      </c>
      <c r="O80" s="388">
        <f>'Segment Analysis'!O64</f>
        <v>0</v>
      </c>
      <c r="P80" s="546">
        <f>'Segment Analysis'!P64</f>
        <v>0</v>
      </c>
      <c r="Q80" s="546">
        <f>'Segment Analysis'!Q64</f>
        <v>0</v>
      </c>
      <c r="R80" s="546">
        <f>'Segment Analysis'!R64</f>
        <v>0</v>
      </c>
      <c r="S80" s="546">
        <f>'Segment Analysis'!S64</f>
        <v>0</v>
      </c>
      <c r="T80" s="388">
        <f>'Segment Analysis'!T64</f>
        <v>0</v>
      </c>
      <c r="U80" s="316">
        <v>0</v>
      </c>
      <c r="V80" s="316">
        <v>0</v>
      </c>
      <c r="W80" s="316">
        <v>0</v>
      </c>
      <c r="X80" s="316">
        <v>0</v>
      </c>
      <c r="Y80" s="388" t="e">
        <f>'Segment Analysis'!Y64</f>
        <v>#DIV/0!</v>
      </c>
      <c r="Z80" s="316">
        <v>0</v>
      </c>
      <c r="AA80" s="316">
        <v>0</v>
      </c>
      <c r="AB80" s="316">
        <v>0</v>
      </c>
      <c r="AC80" s="316">
        <v>0</v>
      </c>
      <c r="AD80" s="388" t="e">
        <f>'Segment Analysis'!AD64</f>
        <v>#DIV/0!</v>
      </c>
      <c r="AE80" s="317">
        <v>0</v>
      </c>
      <c r="AF80" s="317">
        <v>0</v>
      </c>
      <c r="AG80" s="317">
        <v>0</v>
      </c>
      <c r="AH80" s="8"/>
      <c r="AI80" s="8"/>
    </row>
    <row r="81" ht="12.75" customHeight="1" hidden="1" spans="1:35" x14ac:dyDescent="0.25">
      <c r="A81" s="8"/>
      <c r="B81" s="8"/>
      <c r="C81" s="515">
        <f>'Segment Analysis'!C65</f>
        <v>0</v>
      </c>
      <c r="D81" s="8"/>
      <c r="E81" s="8"/>
      <c r="F81" s="546">
        <f>'Segment Analysis'!F65</f>
        <v>0</v>
      </c>
      <c r="G81" s="546">
        <f>'Segment Analysis'!G65</f>
        <v>0</v>
      </c>
      <c r="H81" s="546">
        <f>'Segment Analysis'!H65</f>
        <v>0</v>
      </c>
      <c r="I81" s="546">
        <f>'Segment Analysis'!I65</f>
        <v>0</v>
      </c>
      <c r="J81" s="388">
        <f>'Segment Analysis'!J65</f>
        <v>0</v>
      </c>
      <c r="K81" s="546">
        <f>'Segment Analysis'!K65</f>
        <v>0</v>
      </c>
      <c r="L81" s="546">
        <f>'Segment Analysis'!L65</f>
        <v>0</v>
      </c>
      <c r="M81" s="546">
        <f>'Segment Analysis'!M65</f>
        <v>0</v>
      </c>
      <c r="N81" s="546">
        <f>'Segment Analysis'!N65</f>
        <v>0</v>
      </c>
      <c r="O81" s="388">
        <f>'Segment Analysis'!O65</f>
        <v>0</v>
      </c>
      <c r="P81" s="546">
        <f>'Segment Analysis'!P65</f>
        <v>0</v>
      </c>
      <c r="Q81" s="546">
        <f>'Segment Analysis'!Q65</f>
        <v>0</v>
      </c>
      <c r="R81" s="546">
        <f>'Segment Analysis'!R65</f>
        <v>0</v>
      </c>
      <c r="S81" s="546">
        <f>'Segment Analysis'!S65</f>
        <v>0</v>
      </c>
      <c r="T81" s="388">
        <f>'Segment Analysis'!T65</f>
        <v>0</v>
      </c>
      <c r="U81" s="316">
        <v>0</v>
      </c>
      <c r="V81" s="316">
        <v>0</v>
      </c>
      <c r="W81" s="316">
        <v>0</v>
      </c>
      <c r="X81" s="316">
        <v>0</v>
      </c>
      <c r="Y81" s="388" t="e">
        <f>'Segment Analysis'!Y65</f>
        <v>#DIV/0!</v>
      </c>
      <c r="Z81" s="316">
        <v>0</v>
      </c>
      <c r="AA81" s="316">
        <v>0</v>
      </c>
      <c r="AB81" s="316">
        <v>0</v>
      </c>
      <c r="AC81" s="316">
        <v>0</v>
      </c>
      <c r="AD81" s="388" t="e">
        <f>'Segment Analysis'!AD65</f>
        <v>#DIV/0!</v>
      </c>
      <c r="AE81" s="317">
        <v>0</v>
      </c>
      <c r="AF81" s="317">
        <v>0</v>
      </c>
      <c r="AG81" s="317">
        <v>0</v>
      </c>
      <c r="AH81" s="8"/>
      <c r="AI81" s="8"/>
    </row>
    <row r="82" ht="12.75" customHeight="1" hidden="1" spans="1:35" x14ac:dyDescent="0.25">
      <c r="A82" s="8"/>
      <c r="B82" s="8"/>
      <c r="C82" s="515">
        <f>'Segment Analysis'!C66</f>
        <v>0</v>
      </c>
      <c r="D82" s="8"/>
      <c r="E82" s="8"/>
      <c r="F82" s="546">
        <f>'Segment Analysis'!F66</f>
        <v>0</v>
      </c>
      <c r="G82" s="546">
        <f>'Segment Analysis'!G66</f>
        <v>0</v>
      </c>
      <c r="H82" s="546">
        <f>'Segment Analysis'!H66</f>
        <v>0</v>
      </c>
      <c r="I82" s="546">
        <f>'Segment Analysis'!I66</f>
        <v>0</v>
      </c>
      <c r="J82" s="388">
        <f>'Segment Analysis'!J66</f>
        <v>0</v>
      </c>
      <c r="K82" s="546">
        <f>'Segment Analysis'!K66</f>
        <v>0</v>
      </c>
      <c r="L82" s="546">
        <f>'Segment Analysis'!L66</f>
        <v>0</v>
      </c>
      <c r="M82" s="546">
        <f>'Segment Analysis'!M66</f>
        <v>0</v>
      </c>
      <c r="N82" s="546">
        <f>'Segment Analysis'!N66</f>
        <v>0</v>
      </c>
      <c r="O82" s="388">
        <f>'Segment Analysis'!O66</f>
        <v>0</v>
      </c>
      <c r="P82" s="546">
        <f>'Segment Analysis'!P66</f>
        <v>0</v>
      </c>
      <c r="Q82" s="546">
        <f>'Segment Analysis'!Q66</f>
        <v>0</v>
      </c>
      <c r="R82" s="546">
        <f>'Segment Analysis'!R66</f>
        <v>0</v>
      </c>
      <c r="S82" s="546">
        <f>'Segment Analysis'!S66</f>
        <v>0</v>
      </c>
      <c r="T82" s="388">
        <f>'Segment Analysis'!T66</f>
        <v>0</v>
      </c>
      <c r="U82" s="316">
        <v>0</v>
      </c>
      <c r="V82" s="316">
        <v>0</v>
      </c>
      <c r="W82" s="316">
        <v>0</v>
      </c>
      <c r="X82" s="316">
        <v>0</v>
      </c>
      <c r="Y82" s="388" t="e">
        <f>'Segment Analysis'!Y66</f>
        <v>#DIV/0!</v>
      </c>
      <c r="Z82" s="316">
        <v>0</v>
      </c>
      <c r="AA82" s="316">
        <v>0</v>
      </c>
      <c r="AB82" s="316">
        <v>0</v>
      </c>
      <c r="AC82" s="316">
        <v>0</v>
      </c>
      <c r="AD82" s="388" t="e">
        <f>'Segment Analysis'!AD66</f>
        <v>#DIV/0!</v>
      </c>
      <c r="AE82" s="317">
        <v>0</v>
      </c>
      <c r="AF82" s="317">
        <v>0</v>
      </c>
      <c r="AG82" s="317">
        <v>0</v>
      </c>
      <c r="AH82" s="8"/>
      <c r="AI82" s="8"/>
    </row>
    <row r="83" ht="12.75" customHeight="1" hidden="1" spans="1:35" x14ac:dyDescent="0.25">
      <c r="A83" s="8"/>
      <c r="B83" s="8"/>
      <c r="C83" s="515">
        <f>'Segment Analysis'!C67</f>
        <v>0</v>
      </c>
      <c r="D83" s="8"/>
      <c r="E83" s="8"/>
      <c r="F83" s="546">
        <f>'Segment Analysis'!F67</f>
        <v>0</v>
      </c>
      <c r="G83" s="546">
        <f>'Segment Analysis'!G67</f>
        <v>0</v>
      </c>
      <c r="H83" s="546">
        <f>'Segment Analysis'!H67</f>
        <v>0</v>
      </c>
      <c r="I83" s="546">
        <f>'Segment Analysis'!I67</f>
        <v>0</v>
      </c>
      <c r="J83" s="388">
        <f>'Segment Analysis'!J67</f>
        <v>0</v>
      </c>
      <c r="K83" s="546">
        <f>'Segment Analysis'!K67</f>
        <v>0</v>
      </c>
      <c r="L83" s="546">
        <f>'Segment Analysis'!L67</f>
        <v>0</v>
      </c>
      <c r="M83" s="546">
        <f>'Segment Analysis'!M67</f>
        <v>0</v>
      </c>
      <c r="N83" s="546">
        <f>'Segment Analysis'!N67</f>
        <v>0</v>
      </c>
      <c r="O83" s="388">
        <f>'Segment Analysis'!O67</f>
        <v>0</v>
      </c>
      <c r="P83" s="546">
        <f>'Segment Analysis'!P67</f>
        <v>0</v>
      </c>
      <c r="Q83" s="546">
        <f>'Segment Analysis'!Q67</f>
        <v>0</v>
      </c>
      <c r="R83" s="546">
        <f>'Segment Analysis'!R67</f>
        <v>0</v>
      </c>
      <c r="S83" s="546">
        <f>'Segment Analysis'!S67</f>
        <v>0</v>
      </c>
      <c r="T83" s="388">
        <f>'Segment Analysis'!T67</f>
        <v>0</v>
      </c>
      <c r="U83" s="316">
        <v>0</v>
      </c>
      <c r="V83" s="316">
        <v>0</v>
      </c>
      <c r="W83" s="316">
        <v>0</v>
      </c>
      <c r="X83" s="316">
        <v>0</v>
      </c>
      <c r="Y83" s="388" t="e">
        <f>'Segment Analysis'!Y67</f>
        <v>#DIV/0!</v>
      </c>
      <c r="Z83" s="316">
        <v>0</v>
      </c>
      <c r="AA83" s="316">
        <v>0</v>
      </c>
      <c r="AB83" s="316">
        <v>0</v>
      </c>
      <c r="AC83" s="316">
        <v>0</v>
      </c>
      <c r="AD83" s="388" t="e">
        <f>'Segment Analysis'!AD67</f>
        <v>#DIV/0!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5" t="s">
        <v>469</v>
      </c>
      <c r="D90" s="536"/>
      <c r="E90" s="536"/>
      <c r="F90" s="537"/>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9"/>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t="e">
        <f>Model!F203</f>
        <v>#DIV/0!</v>
      </c>
      <c r="G92" s="384" t="e">
        <f>Model!G203</f>
        <v>#DIV/0!</v>
      </c>
      <c r="H92" s="384" t="e">
        <f>Model!H203</f>
        <v>#DIV/0!</v>
      </c>
      <c r="I92" s="384" t="e">
        <f>Model!I203</f>
        <v>#DIV/0!</v>
      </c>
      <c r="J92" s="385" t="e">
        <f>Model!J203</f>
        <v>#DIV/0!</v>
      </c>
      <c r="K92" s="384" t="e">
        <f>Model!K203</f>
        <v>#DIV/0!</v>
      </c>
      <c r="L92" s="384" t="e">
        <f>Model!L203</f>
        <v>#DIV/0!</v>
      </c>
      <c r="M92" s="384" t="e">
        <f>Model!M203</f>
        <v>#DIV/0!</v>
      </c>
      <c r="N92" s="384" t="e">
        <f>Model!N203</f>
        <v>#DIV/0!</v>
      </c>
      <c r="O92" s="385" t="e">
        <f>Model!O203</f>
        <v>#DIV/0!</v>
      </c>
      <c r="P92" s="384" t="e">
        <f>Model!P203</f>
        <v>#DIV/0!</v>
      </c>
      <c r="Q92" s="384" t="e">
        <f>Model!Q203</f>
        <v>#DIV/0!</v>
      </c>
      <c r="R92" s="384" t="e">
        <f>Model!R203</f>
        <v>#DIV/0!</v>
      </c>
      <c r="S92" s="384" t="e">
        <f>Model!S203</f>
        <v>#DIV/0!</v>
      </c>
      <c r="T92" s="385" t="e">
        <f>Model!T203</f>
        <v>#DIV/0!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t="e">
        <f>Model!Y203</f>
        <v>#DIV/0!</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t="e">
        <f>Model!AD203</f>
        <v>#DIV/0!</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40">
        <v>0</v>
      </c>
      <c r="V97" s="540">
        <v>0</v>
      </c>
      <c r="W97" s="540">
        <v>0</v>
      </c>
      <c r="X97" s="540">
        <v>0</v>
      </c>
      <c r="Y97" s="322">
        <f>Model!Y84</f>
        <v>0</v>
      </c>
      <c r="Z97" s="540">
        <v>0</v>
      </c>
      <c r="AA97" s="540">
        <v>0</v>
      </c>
      <c r="AB97" s="540">
        <v>0</v>
      </c>
      <c r="AC97" s="540">
        <v>0</v>
      </c>
      <c r="AD97" s="322">
        <f>Model!AD84</f>
        <v>0</v>
      </c>
      <c r="AE97" s="541">
        <v>0</v>
      </c>
      <c r="AF97" s="541">
        <v>0</v>
      </c>
      <c r="AG97" s="541">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5" t="s">
        <v>470</v>
      </c>
      <c r="D99" s="536"/>
      <c r="E99" s="536"/>
      <c r="F99" s="537"/>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539"/>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3"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40">
        <v>0</v>
      </c>
      <c r="V106" s="540">
        <v>0</v>
      </c>
      <c r="W106" s="540">
        <v>0</v>
      </c>
      <c r="X106" s="540">
        <v>0</v>
      </c>
      <c r="Y106" s="322">
        <f>Model!Y95</f>
        <v>0</v>
      </c>
      <c r="Z106" s="540">
        <v>0</v>
      </c>
      <c r="AA106" s="540">
        <v>0</v>
      </c>
      <c r="AB106" s="540">
        <v>0</v>
      </c>
      <c r="AC106" s="540">
        <v>0</v>
      </c>
      <c r="AD106" s="322">
        <f>Model!AD95</f>
        <v>0</v>
      </c>
      <c r="AE106" s="541">
        <v>0</v>
      </c>
      <c r="AF106" s="541">
        <v>0</v>
      </c>
      <c r="AG106" s="541">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40">
        <v>0</v>
      </c>
      <c r="V108" s="540">
        <v>0</v>
      </c>
      <c r="W108" s="540">
        <v>0</v>
      </c>
      <c r="X108" s="540">
        <v>0</v>
      </c>
      <c r="Y108" s="322">
        <f>Model!Y98</f>
        <v>0</v>
      </c>
      <c r="Z108" s="540">
        <v>0</v>
      </c>
      <c r="AA108" s="540">
        <v>0</v>
      </c>
      <c r="AB108" s="540">
        <v>0</v>
      </c>
      <c r="AC108" s="540">
        <v>0</v>
      </c>
      <c r="AD108" s="322">
        <f>Model!AD98</f>
        <v>0</v>
      </c>
      <c r="AE108" s="541">
        <v>0</v>
      </c>
      <c r="AF108" s="541">
        <v>0</v>
      </c>
      <c r="AG108" s="541">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30" t="s">
        <v>472</v>
      </c>
      <c r="D111" s="531"/>
      <c r="E111" s="531"/>
      <c r="F111" s="543"/>
      <c r="G111" s="544"/>
      <c r="H111" s="544"/>
      <c r="I111" s="544"/>
      <c r="J111" s="544"/>
      <c r="K111" s="544"/>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5"/>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3" t="str">
        <f>Model!C184</f>
        <v>Accounts Receivables as a % of Sales</v>
      </c>
      <c r="D113" s="8"/>
      <c r="E113" s="8"/>
      <c r="F113" s="547"/>
      <c r="G113" s="547" t="e">
        <f>Model!G184</f>
        <v>#DIV/0!</v>
      </c>
      <c r="H113" s="547" t="e">
        <f>Model!H184</f>
        <v>#DIV/0!</v>
      </c>
      <c r="I113" s="547" t="e">
        <f>Model!I184</f>
        <v>#DIV/0!</v>
      </c>
      <c r="J113" s="548" t="e">
        <f>Model!J184</f>
        <v>#DIV/0!</v>
      </c>
      <c r="K113" s="547" t="e">
        <f>Model!K184</f>
        <v>#DIV/0!</v>
      </c>
      <c r="L113" s="547" t="e">
        <f>Model!L184</f>
        <v>#DIV/0!</v>
      </c>
      <c r="M113" s="547" t="e">
        <f>Model!M184</f>
        <v>#DIV/0!</v>
      </c>
      <c r="N113" s="547" t="e">
        <f>Model!N184</f>
        <v>#DIV/0!</v>
      </c>
      <c r="O113" s="548" t="e">
        <f>Model!O184</f>
        <v>#DIV/0!</v>
      </c>
      <c r="P113" s="547" t="e">
        <f>Model!P184</f>
        <v>#DIV/0!</v>
      </c>
      <c r="Q113" s="547" t="e">
        <f>Model!Q184</f>
        <v>#DIV/0!</v>
      </c>
      <c r="R113" s="547" t="e">
        <f>Model!R184</f>
        <v>#DIV/0!</v>
      </c>
      <c r="S113" s="547" t="e">
        <f>Model!S184</f>
        <v>#DIV/0!</v>
      </c>
      <c r="T113" s="548" t="e">
        <f>Model!T184</f>
        <v>#DIV/0!</v>
      </c>
      <c r="U113" s="549">
        <f>IF(Case_Scenario="Bull",U114,IF(Case_Scenario="Base",U115,IF(Case_Scenario="bear",U116,"N/A")))</f>
        <v>0.63</v>
      </c>
      <c r="V113" s="549">
        <f>IF(Case_Scenario="Bull",V114,IF(Case_Scenario="Base",V115,IF(Case_Scenario="bear",V116,"N/A")))</f>
        <v>0.62</v>
      </c>
      <c r="W113" s="549">
        <f>IF(Case_Scenario="Bull",W114,IF(Case_Scenario="Base",W115,IF(Case_Scenario="bear",W116,"N/A")))</f>
        <v>0.61</v>
      </c>
      <c r="X113" s="549">
        <f>IF(Case_Scenario="Bull",X114,IF(Case_Scenario="Base",X115,IF(Case_Scenario="bear",X116,"N/A")))</f>
        <v>0.6</v>
      </c>
      <c r="Y113" s="548" t="e">
        <f>Model!Y184</f>
        <v>#DIV/0!</v>
      </c>
      <c r="Z113" s="549">
        <f>IF(Case_Scenario="Bull",Z114,IF(Case_Scenario="Base",Z115,IF(Case_Scenario="bear",Z116,"N/A")))</f>
        <v>0.63</v>
      </c>
      <c r="AA113" s="549">
        <f>IF(Case_Scenario="Bull",AA114,IF(Case_Scenario="Base",AA115,IF(Case_Scenario="bear",AA116,"N/A")))</f>
        <v>0.62</v>
      </c>
      <c r="AB113" s="549">
        <f>IF(Case_Scenario="Bull",AB114,IF(Case_Scenario="Base",AB115,IF(Case_Scenario="bear",AB116,"N/A")))</f>
        <v>0.61</v>
      </c>
      <c r="AC113" s="549">
        <f>IF(Case_Scenario="Bull",AC114,IF(Case_Scenario="Base",AC115,IF(Case_Scenario="bear",AC116,"N/A")))</f>
        <v>0.6</v>
      </c>
      <c r="AD113" s="548" t="e">
        <f>Model!AD184</f>
        <v>#DIV/0!</v>
      </c>
      <c r="AE113" s="548">
        <f>IF(Case_Scenario="Bull",AE114,IF(Case_Scenario="Base",AE115,IF(Case_Scenario="bear",AE116,"N/A")))</f>
        <v>0.66</v>
      </c>
      <c r="AF113" s="548">
        <f>IF(Case_Scenario="Bull",AF114,IF(Case_Scenario="Base",AF115,IF(Case_Scenario="bear",AF116,"N/A")))</f>
        <v>0.65</v>
      </c>
      <c r="AG113" s="548">
        <f>IF(Case_Scenario="Bull",AG114,IF(Case_Scenario="Base",AG115,IF(Case_Scenario="bear",AG116,"N/A")))</f>
        <v>0.65</v>
      </c>
      <c r="AH113" s="8"/>
      <c r="AI113" s="8"/>
    </row>
    <row r="114" ht="12.75" customHeight="1" spans="1:35" x14ac:dyDescent="0.25">
      <c r="A114" s="8"/>
      <c r="B114" s="8"/>
      <c r="C114" s="458" t="s">
        <v>239</v>
      </c>
      <c r="D114" s="8"/>
      <c r="E114" s="8"/>
      <c r="F114" s="547"/>
      <c r="G114" s="547"/>
      <c r="H114" s="547"/>
      <c r="I114" s="547"/>
      <c r="J114" s="548"/>
      <c r="K114" s="547"/>
      <c r="L114" s="547"/>
      <c r="M114" s="547"/>
      <c r="N114" s="547"/>
      <c r="O114" s="548"/>
      <c r="P114" s="547"/>
      <c r="Q114" s="547"/>
      <c r="R114" s="547"/>
      <c r="S114" s="547"/>
      <c r="T114" s="548"/>
      <c r="U114" s="550">
        <f>U115-0.02</f>
        <v>0.61</v>
      </c>
      <c r="V114" s="550">
        <f t="shared" ref="V114:X114" si="45">V115-0.02</f>
        <v>0.6</v>
      </c>
      <c r="W114" s="550">
        <f t="shared" si="45"/>
        <v>0.59</v>
      </c>
      <c r="X114" s="550">
        <f t="shared" si="45"/>
        <v>0.58</v>
      </c>
      <c r="Y114" s="548"/>
      <c r="Z114" s="550">
        <f>Z115-0.02</f>
        <v>0.61</v>
      </c>
      <c r="AA114" s="550">
        <f t="shared" ref="AA114:AC114" si="46">AA115-0.02</f>
        <v>0.6</v>
      </c>
      <c r="AB114" s="550">
        <f t="shared" si="46"/>
        <v>0.59</v>
      </c>
      <c r="AC114" s="550">
        <f t="shared" si="46"/>
        <v>0.58</v>
      </c>
      <c r="AD114" s="502"/>
      <c r="AE114" s="551">
        <f>AE115-0.02</f>
        <v>0.64</v>
      </c>
      <c r="AF114" s="551">
        <f t="shared" ref="AF114:AG114" si="47">AF115-0.02</f>
        <v>0.63</v>
      </c>
      <c r="AG114" s="551">
        <f t="shared" si="47"/>
        <v>0.63</v>
      </c>
      <c r="AH114" s="8"/>
      <c r="AI114" s="8"/>
    </row>
    <row r="115" ht="12.75" customHeight="1" spans="1:35" x14ac:dyDescent="0.25">
      <c r="A115" s="8"/>
      <c r="B115" s="8"/>
      <c r="C115" s="458" t="s">
        <v>240</v>
      </c>
      <c r="D115" s="8"/>
      <c r="E115" s="8"/>
      <c r="F115" s="547"/>
      <c r="G115" s="547"/>
      <c r="H115" s="547"/>
      <c r="I115" s="547"/>
      <c r="J115" s="548"/>
      <c r="K115" s="547"/>
      <c r="L115" s="547"/>
      <c r="M115" s="547"/>
      <c r="N115" s="547"/>
      <c r="O115" s="548"/>
      <c r="P115" s="547"/>
      <c r="Q115" s="547"/>
      <c r="R115" s="547"/>
      <c r="S115" s="547"/>
      <c r="T115" s="548"/>
      <c r="U115" s="550">
        <v>0.63</v>
      </c>
      <c r="V115" s="550">
        <v>0.62</v>
      </c>
      <c r="W115" s="550">
        <v>0.61</v>
      </c>
      <c r="X115" s="550">
        <v>0.6</v>
      </c>
      <c r="Y115" s="548"/>
      <c r="Z115" s="550">
        <v>0.63</v>
      </c>
      <c r="AA115" s="550">
        <v>0.62</v>
      </c>
      <c r="AB115" s="550">
        <v>0.61</v>
      </c>
      <c r="AC115" s="550">
        <v>0.6</v>
      </c>
      <c r="AD115" s="502"/>
      <c r="AE115" s="551">
        <v>0.66</v>
      </c>
      <c r="AF115" s="551">
        <v>0.65</v>
      </c>
      <c r="AG115" s="551">
        <v>0.65</v>
      </c>
      <c r="AH115" s="8"/>
      <c r="AI115" s="8"/>
    </row>
    <row r="116" ht="12.75" customHeight="1" spans="1:35" x14ac:dyDescent="0.25">
      <c r="A116" s="8"/>
      <c r="B116" s="8"/>
      <c r="C116" s="458" t="s">
        <v>241</v>
      </c>
      <c r="D116" s="8"/>
      <c r="E116" s="8"/>
      <c r="F116" s="547"/>
      <c r="G116" s="547"/>
      <c r="H116" s="547"/>
      <c r="I116" s="547"/>
      <c r="J116" s="548"/>
      <c r="K116" s="547"/>
      <c r="L116" s="547"/>
      <c r="M116" s="547"/>
      <c r="N116" s="547"/>
      <c r="O116" s="548"/>
      <c r="P116" s="547"/>
      <c r="Q116" s="547"/>
      <c r="R116" s="547"/>
      <c r="S116" s="547"/>
      <c r="T116" s="548"/>
      <c r="U116" s="550">
        <f>U115+0.02</f>
        <v>0.65</v>
      </c>
      <c r="V116" s="550">
        <f t="shared" ref="V116:X116" si="48">V115+0.02</f>
        <v>0.64</v>
      </c>
      <c r="W116" s="550">
        <f t="shared" si="48"/>
        <v>0.63</v>
      </c>
      <c r="X116" s="550">
        <f t="shared" si="48"/>
        <v>0.62</v>
      </c>
      <c r="Y116" s="548"/>
      <c r="Z116" s="550">
        <f>Z115+0.02</f>
        <v>0.65</v>
      </c>
      <c r="AA116" s="550">
        <f t="shared" ref="AA116:AC116" si="49">AA115+0.02</f>
        <v>0.64</v>
      </c>
      <c r="AB116" s="550">
        <f t="shared" si="49"/>
        <v>0.63</v>
      </c>
      <c r="AC116" s="550">
        <f t="shared" si="49"/>
        <v>0.62</v>
      </c>
      <c r="AD116" s="502"/>
      <c r="AE116" s="551">
        <f>AE115+0.02</f>
        <v>0.68</v>
      </c>
      <c r="AF116" s="551">
        <f t="shared" ref="AF116:AG116" si="50">AF115+0.02</f>
        <v>0.67</v>
      </c>
      <c r="AG116" s="551">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3" t="str">
        <f>Model!C185</f>
        <v>Mezzanine Debt as a % of Previous Liabilities</v>
      </c>
      <c r="D118" s="8"/>
      <c r="E118" s="8"/>
      <c r="F118" s="547"/>
      <c r="G118" s="547" t="e">
        <f>Model!G185</f>
        <v>#DIV/0!</v>
      </c>
      <c r="H118" s="547" t="e">
        <f>Model!H185</f>
        <v>#DIV/0!</v>
      </c>
      <c r="I118" s="547" t="e">
        <f>Model!I185</f>
        <v>#DIV/0!</v>
      </c>
      <c r="J118" s="548" t="e">
        <f>Model!J185</f>
        <v>#DIV/0!</v>
      </c>
      <c r="K118" s="547" t="e">
        <f>Model!K185</f>
        <v>#DIV/0!</v>
      </c>
      <c r="L118" s="547" t="e">
        <f>Model!L185</f>
        <v>#DIV/0!</v>
      </c>
      <c r="M118" s="547" t="e">
        <f>Model!M185</f>
        <v>#DIV/0!</v>
      </c>
      <c r="N118" s="547" t="e">
        <f>Model!N185</f>
        <v>#DIV/0!</v>
      </c>
      <c r="O118" s="548" t="e">
        <f>Model!O185</f>
        <v>#DIV/0!</v>
      </c>
      <c r="P118" s="547" t="e">
        <f>Model!P185</f>
        <v>#DIV/0!</v>
      </c>
      <c r="Q118" s="547" t="e">
        <f>Model!Q185</f>
        <v>#DIV/0!</v>
      </c>
      <c r="R118" s="547" t="e">
        <f>Model!R185</f>
        <v>#DIV/0!</v>
      </c>
      <c r="S118" s="547" t="e">
        <f>Model!S185</f>
        <v>#DIV/0!</v>
      </c>
      <c r="T118" s="548" t="e">
        <f>Model!T185</f>
        <v>#DIV/0!</v>
      </c>
      <c r="U118" s="549">
        <f>IF(Case_Scenario="Bull",U119,IF(Case_Scenario="Base",U120,IF(Case_Scenario="bear",U121,"N/A")))</f>
        <v>0</v>
      </c>
      <c r="V118" s="549">
        <f>IF(Case_Scenario="Bull",V119,IF(Case_Scenario="Base",V120,IF(Case_Scenario="bear",V121,"N/A")))</f>
        <v>0</v>
      </c>
      <c r="W118" s="549">
        <f>IF(Case_Scenario="Bull",W119,IF(Case_Scenario="Base",W120,IF(Case_Scenario="bear",W121,"N/A")))</f>
        <v>0</v>
      </c>
      <c r="X118" s="549">
        <f>IF(Case_Scenario="Bull",X119,IF(Case_Scenario="Base",X120,IF(Case_Scenario="bear",X121,"N/A")))</f>
        <v>0</v>
      </c>
      <c r="Y118" s="548">
        <f>Model!Y185</f>
        <v>0</v>
      </c>
      <c r="Z118" s="549">
        <f>IF(Case_Scenario="Bull",Z119,IF(Case_Scenario="Base",Z120,IF(Case_Scenario="bear",Z121,"N/A")))</f>
        <v>0</v>
      </c>
      <c r="AA118" s="549">
        <f>IF(Case_Scenario="Bull",AA119,IF(Case_Scenario="Base",AA120,IF(Case_Scenario="bear",AA121,"N/A")))</f>
        <v>0</v>
      </c>
      <c r="AB118" s="549">
        <f>IF(Case_Scenario="Bull",AB119,IF(Case_Scenario="Base",AB120,IF(Case_Scenario="bear",AB121,"N/A")))</f>
        <v>0</v>
      </c>
      <c r="AC118" s="549">
        <f>IF(Case_Scenario="Bull",AC119,IF(Case_Scenario="Base",AC120,IF(Case_Scenario="bear",AC121,"N/A")))</f>
        <v>0</v>
      </c>
      <c r="AD118" s="548">
        <f>Model!AD185</f>
        <v>0</v>
      </c>
      <c r="AE118" s="548">
        <f>IF(Case_Scenario="Bull",AE119,IF(Case_Scenario="Base",AE120,IF(Case_Scenario="bear",AE121,"N/A")))</f>
        <v>0</v>
      </c>
      <c r="AF118" s="548">
        <f>IF(Case_Scenario="Bull",AF119,IF(Case_Scenario="Base",AF120,IF(Case_Scenario="bear",AF121,"N/A")))</f>
        <v>0</v>
      </c>
      <c r="AG118" s="548">
        <f>IF(Case_Scenario="Bull",AG119,IF(Case_Scenario="Base",AG120,IF(Case_Scenario="bear",AG121,"N/A")))</f>
        <v>0</v>
      </c>
      <c r="AH118" s="363"/>
      <c r="AI118" s="363"/>
    </row>
    <row r="119" ht="12.75" customHeight="1" hidden="1" spans="1:35" s="361" customFormat="1" x14ac:dyDescent="0.25">
      <c r="A119" s="8"/>
      <c r="B119" s="8"/>
      <c r="C119" s="458" t="s">
        <v>239</v>
      </c>
      <c r="D119" s="8"/>
      <c r="E119" s="8"/>
      <c r="F119" s="547"/>
      <c r="G119" s="547"/>
      <c r="H119" s="547"/>
      <c r="I119" s="547"/>
      <c r="J119" s="548"/>
      <c r="K119" s="547"/>
      <c r="L119" s="547"/>
      <c r="M119" s="547"/>
      <c r="N119" s="547"/>
      <c r="O119" s="548"/>
      <c r="P119" s="547"/>
      <c r="Q119" s="547"/>
      <c r="R119" s="547"/>
      <c r="S119" s="547"/>
      <c r="T119" s="548"/>
      <c r="U119" s="552">
        <v>0</v>
      </c>
      <c r="V119" s="552">
        <v>0</v>
      </c>
      <c r="W119" s="552">
        <v>0</v>
      </c>
      <c r="X119" s="552">
        <v>0</v>
      </c>
      <c r="Y119" s="548"/>
      <c r="Z119" s="552">
        <v>0</v>
      </c>
      <c r="AA119" s="552">
        <v>0</v>
      </c>
      <c r="AB119" s="552">
        <v>0</v>
      </c>
      <c r="AC119" s="552">
        <v>0</v>
      </c>
      <c r="AD119" s="548"/>
      <c r="AE119" s="553">
        <v>0</v>
      </c>
      <c r="AF119" s="553">
        <v>0</v>
      </c>
      <c r="AG119" s="553">
        <v>0</v>
      </c>
      <c r="AH119" s="363"/>
      <c r="AI119" s="363"/>
    </row>
    <row r="120" ht="12.75" customHeight="1" hidden="1" spans="1:35" s="361" customFormat="1" x14ac:dyDescent="0.25">
      <c r="A120" s="8"/>
      <c r="B120" s="8"/>
      <c r="C120" s="458" t="s">
        <v>240</v>
      </c>
      <c r="D120" s="8"/>
      <c r="E120" s="8"/>
      <c r="F120" s="547"/>
      <c r="G120" s="547"/>
      <c r="H120" s="547"/>
      <c r="I120" s="547"/>
      <c r="J120" s="548"/>
      <c r="K120" s="547"/>
      <c r="L120" s="547"/>
      <c r="M120" s="547"/>
      <c r="N120" s="547"/>
      <c r="O120" s="548"/>
      <c r="P120" s="547"/>
      <c r="Q120" s="547"/>
      <c r="R120" s="547"/>
      <c r="S120" s="547"/>
      <c r="T120" s="548"/>
      <c r="U120" s="552">
        <v>0</v>
      </c>
      <c r="V120" s="552">
        <v>0</v>
      </c>
      <c r="W120" s="552">
        <v>0</v>
      </c>
      <c r="X120" s="552">
        <v>0</v>
      </c>
      <c r="Y120" s="548"/>
      <c r="Z120" s="552">
        <v>0</v>
      </c>
      <c r="AA120" s="552">
        <v>0</v>
      </c>
      <c r="AB120" s="552">
        <v>0</v>
      </c>
      <c r="AC120" s="552">
        <v>0</v>
      </c>
      <c r="AD120" s="548"/>
      <c r="AE120" s="553">
        <f>AC120</f>
        <v>0</v>
      </c>
      <c r="AF120" s="553">
        <f t="shared" ref="AF120:AG120" si="51">AD120</f>
        <v>0</v>
      </c>
      <c r="AG120" s="553">
        <f t="shared" si="51"/>
        <v>0</v>
      </c>
      <c r="AH120" s="363"/>
      <c r="AI120" s="363"/>
    </row>
    <row r="121" ht="12.75" customHeight="1" hidden="1" spans="1:35" s="361" customFormat="1" x14ac:dyDescent="0.25">
      <c r="A121" s="8"/>
      <c r="B121" s="8"/>
      <c r="C121" s="458" t="s">
        <v>241</v>
      </c>
      <c r="D121" s="8"/>
      <c r="E121" s="8"/>
      <c r="F121" s="547">
        <v>0</v>
      </c>
      <c r="G121" s="547"/>
      <c r="H121" s="547"/>
      <c r="I121" s="547"/>
      <c r="J121" s="548"/>
      <c r="K121" s="547"/>
      <c r="L121" s="547"/>
      <c r="M121" s="547"/>
      <c r="N121" s="547"/>
      <c r="O121" s="548"/>
      <c r="P121" s="547"/>
      <c r="Q121" s="547"/>
      <c r="R121" s="547"/>
      <c r="S121" s="547"/>
      <c r="T121" s="548"/>
      <c r="U121" s="552">
        <v>0</v>
      </c>
      <c r="V121" s="552">
        <v>0</v>
      </c>
      <c r="W121" s="552">
        <v>0</v>
      </c>
      <c r="X121" s="552">
        <v>0</v>
      </c>
      <c r="Y121" s="548"/>
      <c r="Z121" s="552">
        <v>0</v>
      </c>
      <c r="AA121" s="552">
        <v>0</v>
      </c>
      <c r="AB121" s="552">
        <v>0</v>
      </c>
      <c r="AC121" s="552">
        <v>0</v>
      </c>
      <c r="AD121" s="548"/>
      <c r="AE121" s="553">
        <v>0</v>
      </c>
      <c r="AF121" s="553">
        <v>0</v>
      </c>
      <c r="AG121" s="553">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5" t="s">
        <v>473</v>
      </c>
      <c r="D133" s="536"/>
      <c r="E133" s="536"/>
      <c r="F133" s="537"/>
      <c r="G133" s="538"/>
      <c r="H133" s="538"/>
      <c r="I133" s="538"/>
      <c r="J133" s="538"/>
      <c r="K133" s="538"/>
      <c r="L133" s="538"/>
      <c r="M133" s="538"/>
      <c r="N133" s="538"/>
      <c r="O133" s="538"/>
      <c r="P133" s="538"/>
      <c r="Q133" s="538"/>
      <c r="R133" s="538"/>
      <c r="S133" s="538"/>
      <c r="T133" s="538"/>
      <c r="U133" s="538"/>
      <c r="V133" s="538"/>
      <c r="W133" s="538"/>
      <c r="X133" s="538"/>
      <c r="Y133" s="538"/>
      <c r="Z133" s="538"/>
      <c r="AA133" s="538"/>
      <c r="AB133" s="538"/>
      <c r="AC133" s="538"/>
      <c r="AD133" s="538"/>
      <c r="AE133" s="538"/>
      <c r="AF133" s="538"/>
      <c r="AG133" s="539"/>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3" t="str">
        <f>Model!C186</f>
        <v>Prepaid &amp; Other Curernt Assets as a % of Previous Assets</v>
      </c>
      <c r="D135" s="8"/>
      <c r="E135" s="8"/>
      <c r="F135" s="547"/>
      <c r="G135" s="547" t="e">
        <f>Model!G186</f>
        <v>#DIV/0!</v>
      </c>
      <c r="H135" s="547" t="e">
        <f>Model!H186</f>
        <v>#DIV/0!</v>
      </c>
      <c r="I135" s="547" t="e">
        <f>Model!I186</f>
        <v>#DIV/0!</v>
      </c>
      <c r="J135" s="548" t="e">
        <f>Model!J186</f>
        <v>#DIV/0!</v>
      </c>
      <c r="K135" s="547" t="e">
        <f>Model!K186</f>
        <v>#DIV/0!</v>
      </c>
      <c r="L135" s="547" t="e">
        <f>Model!L186</f>
        <v>#DIV/0!</v>
      </c>
      <c r="M135" s="547" t="e">
        <f>Model!M186</f>
        <v>#DIV/0!</v>
      </c>
      <c r="N135" s="547" t="e">
        <f>Model!N186</f>
        <v>#DIV/0!</v>
      </c>
      <c r="O135" s="548" t="e">
        <f>Model!O186</f>
        <v>#DIV/0!</v>
      </c>
      <c r="P135" s="547" t="e">
        <f>Model!P186</f>
        <v>#DIV/0!</v>
      </c>
      <c r="Q135" s="547" t="e">
        <f>Model!Q186</f>
        <v>#DIV/0!</v>
      </c>
      <c r="R135" s="547" t="e">
        <f>Model!R186</f>
        <v>#DIV/0!</v>
      </c>
      <c r="S135" s="547" t="e">
        <f>Model!S186</f>
        <v>#DIV/0!</v>
      </c>
      <c r="T135" s="548" t="e">
        <f>Model!T186</f>
        <v>#DIV/0!</v>
      </c>
      <c r="U135" s="549">
        <f>IF(Case_Scenario="Bull",U136,IF(Case_Scenario="Base",U137,IF(Case_Scenario="bear",U138,"N/A")))</f>
        <v>0.77</v>
      </c>
      <c r="V135" s="549">
        <f>IF(Case_Scenario="Bull",V136,IF(Case_Scenario="Base",V137,IF(Case_Scenario="bear",V138,"N/A")))</f>
        <v>0.77</v>
      </c>
      <c r="W135" s="549">
        <f>IF(Case_Scenario="Bull",W136,IF(Case_Scenario="Base",W137,IF(Case_Scenario="bear",W138,"N/A")))</f>
        <v>0.77</v>
      </c>
      <c r="X135" s="549">
        <f>IF(Case_Scenario="Bull",X136,IF(Case_Scenario="Base",X137,IF(Case_Scenario="bear",X138,"N/A")))</f>
        <v>0.78</v>
      </c>
      <c r="Y135" s="548">
        <f>Model!Y186</f>
        <v>0.7925559916105476</v>
      </c>
      <c r="Z135" s="549">
        <f>IF(Case_Scenario="Bull",Z136,IF(Case_Scenario="Base",Z137,IF(Case_Scenario="bear",Z138,"N/A")))</f>
        <v>0.77</v>
      </c>
      <c r="AA135" s="549">
        <f>IF(Case_Scenario="Bull",AA136,IF(Case_Scenario="Base",AA137,IF(Case_Scenario="bear",AA138,"N/A")))</f>
        <v>0.77</v>
      </c>
      <c r="AB135" s="549">
        <f>IF(Case_Scenario="Bull",AB136,IF(Case_Scenario="Base",AB137,IF(Case_Scenario="bear",AB138,"N/A")))</f>
        <v>0.77</v>
      </c>
      <c r="AC135" s="549">
        <f>IF(Case_Scenario="Bull",AC136,IF(Case_Scenario="Base",AC137,IF(Case_Scenario="bear",AC138,"N/A")))</f>
        <v>0.78</v>
      </c>
      <c r="AD135" s="548">
        <f>Model!AD186</f>
        <v>0.7979079756157391</v>
      </c>
      <c r="AE135" s="548">
        <f>IF(Case_Scenario="Bull",AE136,IF(Case_Scenario="Base",AE137,IF(Case_Scenario="bear",AE138,"N/A")))</f>
        <v>0.834</v>
      </c>
      <c r="AF135" s="548">
        <f>IF(Case_Scenario="Bull",AF136,IF(Case_Scenario="Base",AF137,IF(Case_Scenario="bear",AF138,"N/A")))</f>
        <v>0.82</v>
      </c>
      <c r="AG135" s="548">
        <f>IF(Case_Scenario="Bull",AG136,IF(Case_Scenario="Base",AG137,IF(Case_Scenario="bear",AG138,"N/A")))</f>
        <v>0.81</v>
      </c>
      <c r="AH135" s="8"/>
      <c r="AI135" s="8"/>
      <c r="AJ135" s="503"/>
      <c r="AK135" s="8"/>
      <c r="AL135" s="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8"/>
      <c r="BP135" s="8"/>
      <c r="BQ135" s="8"/>
      <c r="BR135" s="8"/>
      <c r="BS135" s="8"/>
      <c r="BT135" s="548"/>
      <c r="BU135" s="548"/>
      <c r="BV135" s="548"/>
      <c r="BW135" s="547"/>
      <c r="BX135" s="548"/>
      <c r="BY135" s="547"/>
      <c r="BZ135" s="547"/>
      <c r="CA135" s="547"/>
      <c r="CB135" s="547"/>
      <c r="CC135" s="548"/>
      <c r="CD135" s="547"/>
      <c r="CE135" s="547"/>
      <c r="CF135" s="547"/>
      <c r="CG135" s="547"/>
      <c r="CH135" s="548"/>
      <c r="CI135" s="547"/>
      <c r="CJ135" s="547"/>
      <c r="CK135" s="547"/>
      <c r="CL135" s="549"/>
      <c r="CM135" s="548"/>
      <c r="CN135" s="549"/>
      <c r="CO135" s="549"/>
      <c r="CP135" s="549"/>
      <c r="CQ135" s="549"/>
      <c r="CR135" s="548"/>
      <c r="CS135" s="548"/>
      <c r="CT135" s="548"/>
      <c r="CU135" s="548"/>
      <c r="CV135" s="8"/>
      <c r="CW135" s="8"/>
      <c r="CX135" s="503"/>
      <c r="CY135" s="8"/>
      <c r="CZ135" s="8"/>
      <c r="DA135" s="547"/>
      <c r="DB135" s="547"/>
      <c r="DC135" s="547"/>
      <c r="DD135" s="547"/>
      <c r="DE135" s="548"/>
      <c r="DF135" s="547"/>
      <c r="DG135" s="547"/>
      <c r="DH135" s="547"/>
      <c r="DI135" s="547"/>
      <c r="DJ135" s="548"/>
      <c r="DK135" s="547"/>
      <c r="DL135" s="547"/>
      <c r="DM135" s="547"/>
      <c r="DN135" s="547"/>
      <c r="DO135" s="548"/>
      <c r="DP135" s="547"/>
      <c r="DQ135" s="547"/>
      <c r="DR135" s="547"/>
      <c r="DS135" s="549"/>
      <c r="DT135" s="548"/>
      <c r="DU135" s="549"/>
      <c r="DV135" s="549"/>
      <c r="DW135" s="549"/>
      <c r="DX135" s="549"/>
      <c r="DY135" s="548"/>
      <c r="DZ135" s="548"/>
      <c r="EA135" s="548"/>
      <c r="EB135" s="548"/>
      <c r="EC135" s="8"/>
      <c r="ED135" s="8"/>
      <c r="EE135" s="503"/>
      <c r="EF135" s="8"/>
      <c r="EG135" s="8"/>
      <c r="EH135" s="547"/>
      <c r="EI135" s="547"/>
      <c r="EJ135" s="547"/>
      <c r="EK135" s="547"/>
      <c r="EL135" s="548"/>
      <c r="EM135" s="547"/>
      <c r="EN135" s="547"/>
      <c r="EO135" s="547"/>
      <c r="EP135" s="547"/>
      <c r="EQ135" s="548"/>
      <c r="ER135" s="547"/>
      <c r="ES135" s="547"/>
      <c r="ET135" s="547"/>
      <c r="EU135" s="547"/>
      <c r="EV135" s="548"/>
      <c r="EW135" s="547"/>
      <c r="EX135" s="547"/>
      <c r="EY135" s="547"/>
      <c r="EZ135" s="549"/>
      <c r="FA135" s="548"/>
      <c r="FB135" s="549"/>
      <c r="FC135" s="549"/>
      <c r="FD135" s="549"/>
      <c r="FE135" s="549"/>
      <c r="FF135" s="548"/>
      <c r="FG135" s="548"/>
      <c r="FH135" s="548"/>
      <c r="FI135" s="548"/>
      <c r="FJ135" s="8"/>
      <c r="FK135" s="8"/>
      <c r="FL135" s="503"/>
      <c r="FM135" s="8"/>
      <c r="FN135" s="8"/>
      <c r="FO135" s="547"/>
      <c r="FP135" s="547"/>
      <c r="FQ135" s="547"/>
      <c r="FR135" s="547"/>
      <c r="FS135" s="548"/>
      <c r="FT135" s="547"/>
      <c r="FU135" s="547"/>
      <c r="FV135" s="547"/>
      <c r="FW135" s="547"/>
      <c r="FX135" s="548"/>
      <c r="FY135" s="547"/>
      <c r="FZ135" s="547"/>
      <c r="GA135" s="547"/>
      <c r="GB135" s="547"/>
      <c r="GC135" s="548"/>
      <c r="GD135" s="547"/>
      <c r="GE135" s="547"/>
      <c r="GF135" s="547"/>
      <c r="GG135" s="549"/>
      <c r="GH135" s="548"/>
      <c r="GI135" s="549"/>
      <c r="GJ135" s="549"/>
      <c r="GK135" s="549"/>
      <c r="GL135" s="549"/>
      <c r="GM135" s="548"/>
      <c r="GN135" s="548"/>
      <c r="GO135" s="548"/>
      <c r="GP135" s="548"/>
      <c r="GQ135" s="8"/>
      <c r="GR135" s="8"/>
      <c r="GS135" s="503"/>
      <c r="GT135" s="8"/>
      <c r="GU135" s="8"/>
      <c r="GV135" s="547"/>
      <c r="GW135" s="547"/>
      <c r="GX135" s="547"/>
      <c r="GY135" s="547"/>
      <c r="GZ135" s="548"/>
      <c r="HA135" s="547"/>
      <c r="HB135" s="547"/>
      <c r="HC135" s="547"/>
      <c r="HD135" s="547"/>
      <c r="HE135" s="548"/>
      <c r="HF135" s="547"/>
      <c r="HG135" s="547"/>
      <c r="HH135" s="547"/>
      <c r="HI135" s="547"/>
      <c r="HJ135" s="548"/>
      <c r="HK135" s="547"/>
      <c r="HL135" s="547"/>
      <c r="HM135" s="547"/>
      <c r="HN135" s="549"/>
      <c r="HO135" s="548"/>
      <c r="HP135" s="549"/>
      <c r="HQ135" s="549"/>
      <c r="HR135" s="549"/>
      <c r="HS135" s="549"/>
      <c r="HT135" s="548"/>
      <c r="HU135" s="548"/>
      <c r="HV135" s="548"/>
      <c r="HW135" s="548"/>
      <c r="HX135" s="8"/>
      <c r="HY135" s="8"/>
      <c r="HZ135" s="503"/>
      <c r="IA135" s="8"/>
      <c r="IB135" s="8"/>
      <c r="IC135" s="547"/>
      <c r="ID135" s="547"/>
      <c r="IE135" s="547"/>
      <c r="IF135" s="547"/>
      <c r="IG135" s="548"/>
      <c r="IH135" s="547"/>
      <c r="II135" s="547"/>
      <c r="IJ135" s="547"/>
      <c r="IK135" s="547"/>
      <c r="IL135" s="548"/>
      <c r="IM135" s="547"/>
      <c r="IN135" s="547"/>
      <c r="IO135" s="547"/>
      <c r="IP135" s="547"/>
      <c r="IQ135" s="548"/>
      <c r="IR135" s="547"/>
      <c r="IS135" s="547"/>
      <c r="IT135" s="547"/>
      <c r="IU135" s="549"/>
      <c r="IV135" s="548"/>
      <c r="IW135" s="549"/>
      <c r="IX135" s="549"/>
      <c r="IY135" s="549"/>
      <c r="IZ135" s="549"/>
      <c r="JA135" s="548"/>
      <c r="JB135" s="548"/>
      <c r="JC135" s="548"/>
      <c r="JD135" s="548"/>
      <c r="JE135" s="8"/>
      <c r="JF135" s="8"/>
      <c r="JG135" s="503"/>
      <c r="JH135" s="8"/>
      <c r="JI135" s="8"/>
      <c r="JJ135" s="547"/>
      <c r="JK135" s="547"/>
      <c r="JL135" s="547"/>
      <c r="JM135" s="547"/>
      <c r="JN135" s="548"/>
      <c r="JO135" s="547"/>
      <c r="JP135" s="547"/>
      <c r="JQ135" s="547"/>
      <c r="JR135" s="547"/>
      <c r="JS135" s="548"/>
      <c r="JT135" s="547"/>
      <c r="JU135" s="547"/>
      <c r="JV135" s="547"/>
      <c r="JW135" s="547"/>
      <c r="JX135" s="548"/>
      <c r="JY135" s="547"/>
      <c r="JZ135" s="547"/>
      <c r="KA135" s="547"/>
      <c r="KB135" s="549"/>
      <c r="KC135" s="548"/>
      <c r="KD135" s="549"/>
      <c r="KE135" s="549"/>
      <c r="KF135" s="549"/>
      <c r="KG135" s="549"/>
      <c r="KH135" s="548"/>
      <c r="KI135" s="548"/>
      <c r="KJ135" s="548"/>
      <c r="KK135" s="548"/>
      <c r="KL135" s="8"/>
      <c r="KM135" s="8"/>
      <c r="KN135" s="503"/>
      <c r="KO135" s="8"/>
      <c r="KP135" s="8"/>
      <c r="KQ135" s="547"/>
      <c r="KR135" s="547"/>
      <c r="KS135" s="547"/>
      <c r="KT135" s="547"/>
      <c r="KU135" s="548"/>
      <c r="KV135" s="547"/>
      <c r="KW135" s="547"/>
      <c r="KX135" s="547"/>
      <c r="KY135" s="547"/>
      <c r="KZ135" s="548"/>
      <c r="LA135" s="547"/>
      <c r="LB135" s="547"/>
      <c r="LC135" s="547"/>
      <c r="LD135" s="547"/>
      <c r="LE135" s="548"/>
      <c r="LF135" s="547"/>
      <c r="LG135" s="547"/>
      <c r="LH135" s="547"/>
      <c r="LI135" s="549"/>
      <c r="LJ135" s="548"/>
      <c r="LK135" s="549"/>
      <c r="LL135" s="549"/>
      <c r="LM135" s="549"/>
      <c r="LN135" s="549"/>
      <c r="LO135" s="548"/>
      <c r="LP135" s="548"/>
      <c r="LQ135" s="548"/>
      <c r="LR135" s="548"/>
      <c r="LS135" s="8"/>
      <c r="LT135" s="8"/>
      <c r="LU135" s="503"/>
      <c r="LV135" s="8"/>
      <c r="LW135" s="8"/>
      <c r="LX135" s="547"/>
      <c r="LY135" s="547"/>
      <c r="LZ135" s="547"/>
      <c r="MA135" s="547"/>
      <c r="MB135" s="548"/>
      <c r="MC135" s="547"/>
      <c r="MD135" s="547"/>
      <c r="ME135" s="547"/>
      <c r="MF135" s="547"/>
      <c r="MG135" s="548"/>
      <c r="MH135" s="547"/>
      <c r="MI135" s="547"/>
      <c r="MJ135" s="547"/>
      <c r="MK135" s="547"/>
      <c r="ML135" s="548"/>
      <c r="MM135" s="547"/>
      <c r="MN135" s="547"/>
      <c r="MO135" s="547"/>
      <c r="MP135" s="549"/>
      <c r="MQ135" s="548"/>
      <c r="MR135" s="549"/>
      <c r="MS135" s="549"/>
      <c r="MT135" s="549"/>
      <c r="MU135" s="549"/>
      <c r="MV135" s="548"/>
      <c r="MW135" s="548"/>
      <c r="MX135" s="548"/>
      <c r="MY135" s="548"/>
      <c r="MZ135" s="8"/>
      <c r="NA135" s="8"/>
      <c r="NB135" s="503"/>
      <c r="NC135" s="8"/>
      <c r="ND135" s="8"/>
      <c r="NE135" s="547"/>
      <c r="NF135" s="547"/>
      <c r="NG135" s="547"/>
      <c r="NH135" s="547"/>
      <c r="NI135" s="548"/>
      <c r="NJ135" s="547"/>
      <c r="NK135" s="547"/>
      <c r="NL135" s="547"/>
      <c r="NM135" s="547"/>
      <c r="NN135" s="548"/>
      <c r="NO135" s="547"/>
      <c r="NP135" s="547"/>
      <c r="NQ135" s="547"/>
      <c r="NR135" s="547"/>
      <c r="NS135" s="548"/>
      <c r="NT135" s="547"/>
      <c r="NU135" s="547"/>
      <c r="NV135" s="547"/>
      <c r="NW135" s="549"/>
      <c r="NX135" s="548"/>
      <c r="NY135" s="549"/>
      <c r="NZ135" s="549"/>
      <c r="OA135" s="549"/>
      <c r="OB135" s="549"/>
      <c r="OC135" s="548"/>
      <c r="OD135" s="548"/>
      <c r="OE135" s="548"/>
      <c r="OF135" s="548"/>
      <c r="OG135" s="8"/>
      <c r="OH135" s="8"/>
      <c r="OI135" s="503"/>
      <c r="OJ135" s="8"/>
      <c r="OK135" s="8"/>
      <c r="OL135" s="547"/>
      <c r="OM135" s="547"/>
      <c r="ON135" s="547"/>
      <c r="OO135" s="547"/>
      <c r="OP135" s="548"/>
      <c r="OQ135" s="547"/>
      <c r="OR135" s="547"/>
      <c r="OS135" s="547"/>
      <c r="OT135" s="547"/>
      <c r="OU135" s="548"/>
      <c r="OV135" s="547"/>
      <c r="OW135" s="547"/>
      <c r="OX135" s="547"/>
      <c r="OY135" s="547"/>
      <c r="OZ135" s="548"/>
      <c r="PA135" s="547"/>
      <c r="PB135" s="547"/>
      <c r="PC135" s="547"/>
      <c r="PD135" s="549"/>
      <c r="PE135" s="548"/>
      <c r="PF135" s="549"/>
      <c r="PG135" s="549"/>
      <c r="PH135" s="549"/>
      <c r="PI135" s="549"/>
      <c r="PJ135" s="548"/>
      <c r="PK135" s="548"/>
      <c r="PL135" s="548"/>
      <c r="PM135" s="548"/>
      <c r="PN135" s="8"/>
      <c r="PO135" s="8"/>
      <c r="PP135" s="503"/>
      <c r="PQ135" s="8"/>
      <c r="PR135" s="8"/>
      <c r="PS135" s="547"/>
      <c r="PT135" s="547"/>
      <c r="PU135" s="547"/>
      <c r="PV135" s="547"/>
      <c r="PW135" s="548"/>
      <c r="PX135" s="547"/>
      <c r="PY135" s="547"/>
      <c r="PZ135" s="547"/>
      <c r="QA135" s="547"/>
      <c r="QB135" s="548"/>
      <c r="QC135" s="547"/>
      <c r="QD135" s="547"/>
      <c r="QE135" s="547"/>
      <c r="QF135" s="547"/>
      <c r="QG135" s="548"/>
      <c r="QH135" s="547"/>
      <c r="QI135" s="547"/>
      <c r="QJ135" s="547"/>
      <c r="QK135" s="549"/>
      <c r="QL135" s="548"/>
      <c r="QM135" s="549"/>
      <c r="QN135" s="549"/>
      <c r="QO135" s="549"/>
      <c r="QP135" s="549"/>
      <c r="QQ135" s="548"/>
      <c r="QR135" s="548"/>
      <c r="QS135" s="548"/>
      <c r="QT135" s="548"/>
      <c r="QU135" s="8"/>
      <c r="QV135" s="8"/>
      <c r="QW135" s="503"/>
      <c r="QX135" s="8"/>
      <c r="QY135" s="8"/>
      <c r="QZ135" s="547"/>
      <c r="RA135" s="547"/>
      <c r="RB135" s="547"/>
      <c r="RC135" s="547"/>
      <c r="RD135" s="548"/>
      <c r="RE135" s="547"/>
      <c r="RF135" s="547"/>
      <c r="RG135" s="547"/>
      <c r="RH135" s="547"/>
      <c r="RI135" s="548"/>
      <c r="RJ135" s="547"/>
      <c r="RK135" s="547"/>
      <c r="RL135" s="547"/>
      <c r="RM135" s="547"/>
      <c r="RN135" s="548"/>
      <c r="RO135" s="547"/>
      <c r="RP135" s="547"/>
      <c r="RQ135" s="547"/>
      <c r="RR135" s="549"/>
      <c r="RS135" s="548"/>
      <c r="RT135" s="549"/>
      <c r="RU135" s="549"/>
      <c r="RV135" s="549"/>
      <c r="RW135" s="549"/>
      <c r="RX135" s="548"/>
      <c r="RY135" s="548"/>
      <c r="RZ135" s="548"/>
      <c r="SA135" s="548"/>
      <c r="SB135" s="8"/>
      <c r="SC135" s="8"/>
      <c r="SD135" s="503"/>
      <c r="SE135" s="8"/>
      <c r="SF135" s="8"/>
      <c r="SG135" s="547"/>
      <c r="SH135" s="547"/>
      <c r="SI135" s="547"/>
      <c r="SJ135" s="547"/>
      <c r="SK135" s="548"/>
      <c r="SL135" s="547"/>
      <c r="SM135" s="547"/>
      <c r="SN135" s="547"/>
      <c r="SO135" s="547"/>
      <c r="SP135" s="548"/>
      <c r="SQ135" s="547"/>
      <c r="SR135" s="547"/>
      <c r="SS135" s="547"/>
      <c r="ST135" s="547"/>
      <c r="SU135" s="548"/>
      <c r="SV135" s="547"/>
      <c r="SW135" s="547"/>
      <c r="SX135" s="547"/>
      <c r="SY135" s="549"/>
      <c r="SZ135" s="548"/>
      <c r="TA135" s="549"/>
      <c r="TB135" s="549"/>
      <c r="TC135" s="549"/>
      <c r="TD135" s="549"/>
      <c r="TE135" s="548"/>
      <c r="TF135" s="548"/>
      <c r="TG135" s="548"/>
      <c r="TH135" s="548"/>
      <c r="TI135" s="8"/>
      <c r="TJ135" s="8"/>
      <c r="TK135" s="503"/>
      <c r="TL135" s="8"/>
      <c r="TM135" s="8"/>
      <c r="TN135" s="547"/>
      <c r="TO135" s="547"/>
      <c r="TP135" s="547"/>
      <c r="TQ135" s="547"/>
      <c r="TR135" s="548"/>
      <c r="TS135" s="547"/>
      <c r="TT135" s="547"/>
      <c r="TU135" s="547"/>
      <c r="TV135" s="547"/>
      <c r="TW135" s="548"/>
      <c r="TX135" s="547"/>
      <c r="TY135" s="547"/>
      <c r="TZ135" s="547"/>
      <c r="UA135" s="547"/>
      <c r="UB135" s="548"/>
      <c r="UC135" s="547"/>
      <c r="UD135" s="547"/>
      <c r="UE135" s="547"/>
      <c r="UF135" s="549"/>
      <c r="UG135" s="548"/>
      <c r="UH135" s="549"/>
      <c r="UI135" s="549"/>
      <c r="UJ135" s="549"/>
      <c r="UK135" s="549"/>
      <c r="UL135" s="548"/>
      <c r="UM135" s="548"/>
      <c r="UN135" s="548"/>
      <c r="UO135" s="548"/>
      <c r="UP135" s="8"/>
      <c r="UQ135" s="8"/>
      <c r="UR135" s="503"/>
      <c r="US135" s="8"/>
      <c r="UT135" s="8"/>
      <c r="UU135" s="547"/>
      <c r="UV135" s="547"/>
      <c r="UW135" s="547"/>
      <c r="UX135" s="547"/>
      <c r="UY135" s="548"/>
      <c r="UZ135" s="547"/>
      <c r="VA135" s="547"/>
      <c r="VB135" s="547"/>
      <c r="VC135" s="547"/>
      <c r="VD135" s="548"/>
      <c r="VE135" s="547"/>
      <c r="VF135" s="547"/>
      <c r="VG135" s="547"/>
      <c r="VH135" s="547"/>
      <c r="VI135" s="548"/>
      <c r="VJ135" s="547"/>
      <c r="VK135" s="547"/>
      <c r="VL135" s="547"/>
      <c r="VM135" s="549"/>
      <c r="VN135" s="548"/>
      <c r="VO135" s="549"/>
      <c r="VP135" s="549"/>
      <c r="VQ135" s="549"/>
      <c r="VR135" s="549"/>
      <c r="VS135" s="548"/>
      <c r="VT135" s="548"/>
      <c r="VU135" s="548"/>
      <c r="VV135" s="548"/>
      <c r="VW135" s="8"/>
      <c r="VX135" s="8"/>
      <c r="VY135" s="503"/>
      <c r="VZ135" s="8"/>
      <c r="WA135" s="8"/>
      <c r="WB135" s="547"/>
      <c r="WC135" s="547"/>
      <c r="WD135" s="547"/>
      <c r="WE135" s="547"/>
      <c r="WF135" s="548"/>
      <c r="WG135" s="547"/>
      <c r="WH135" s="547"/>
      <c r="WI135" s="547"/>
      <c r="WJ135" s="547"/>
      <c r="WK135" s="548"/>
      <c r="WL135" s="547"/>
      <c r="WM135" s="547"/>
      <c r="WN135" s="547"/>
      <c r="WO135" s="547"/>
      <c r="WP135" s="548"/>
      <c r="WQ135" s="547"/>
      <c r="WR135" s="547"/>
      <c r="WS135" s="547"/>
      <c r="WT135" s="549"/>
      <c r="WU135" s="548"/>
      <c r="WV135" s="549"/>
      <c r="WW135" s="549"/>
      <c r="WX135" s="549"/>
      <c r="WY135" s="549"/>
      <c r="WZ135" s="548"/>
      <c r="XA135" s="548"/>
      <c r="XB135" s="548"/>
      <c r="XC135" s="548"/>
      <c r="XD135" s="8"/>
      <c r="XE135" s="8"/>
      <c r="XF135" s="503"/>
      <c r="XG135" s="8"/>
      <c r="XH135" s="8"/>
      <c r="XI135" s="547"/>
      <c r="XJ135" s="547"/>
      <c r="XK135" s="547"/>
      <c r="XL135" s="547"/>
      <c r="XM135" s="548"/>
      <c r="XN135" s="547"/>
      <c r="XO135" s="547"/>
      <c r="XP135" s="547"/>
      <c r="XQ135" s="547"/>
      <c r="XR135" s="548"/>
      <c r="XS135" s="547"/>
      <c r="XT135" s="547"/>
      <c r="XU135" s="547"/>
      <c r="XV135" s="547"/>
      <c r="XW135" s="548"/>
      <c r="XX135" s="547"/>
      <c r="XY135" s="547"/>
      <c r="XZ135" s="547"/>
      <c r="YA135" s="549"/>
      <c r="YB135" s="548"/>
      <c r="YC135" s="549"/>
      <c r="YD135" s="549"/>
      <c r="YE135" s="549"/>
      <c r="YF135" s="549"/>
      <c r="YG135" s="548"/>
      <c r="YH135" s="548"/>
      <c r="YI135" s="548"/>
      <c r="YJ135" s="548"/>
      <c r="YK135" s="8"/>
      <c r="YL135" s="8"/>
      <c r="YM135" s="503"/>
      <c r="YN135" s="8"/>
      <c r="YO135" s="8"/>
      <c r="YP135" s="547"/>
      <c r="YQ135" s="547"/>
      <c r="YR135" s="547"/>
      <c r="YS135" s="547"/>
      <c r="YT135" s="548"/>
      <c r="YU135" s="547"/>
      <c r="YV135" s="547"/>
      <c r="YW135" s="547"/>
      <c r="YX135" s="547"/>
      <c r="YY135" s="548"/>
      <c r="YZ135" s="547"/>
      <c r="ZA135" s="547"/>
      <c r="ZB135" s="547"/>
      <c r="ZC135" s="547"/>
      <c r="ZD135" s="548"/>
      <c r="ZE135" s="547"/>
      <c r="ZF135" s="547"/>
      <c r="ZG135" s="547"/>
      <c r="ZH135" s="549"/>
      <c r="ZI135" s="548"/>
      <c r="ZJ135" s="549"/>
      <c r="ZK135" s="549"/>
      <c r="ZL135" s="549"/>
      <c r="ZM135" s="549"/>
      <c r="ZN135" s="548"/>
      <c r="ZO135" s="548"/>
      <c r="ZP135" s="548"/>
      <c r="ZQ135" s="548"/>
      <c r="ZR135" s="8"/>
      <c r="ZS135" s="8"/>
      <c r="ZT135" s="503"/>
      <c r="ZU135" s="8"/>
      <c r="ZV135" s="8"/>
      <c r="ZW135" s="547"/>
      <c r="ZX135" s="547"/>
      <c r="ZY135" s="547"/>
      <c r="ZZ135" s="547"/>
      <c r="AAA135" s="548"/>
      <c r="AAB135" s="547"/>
      <c r="AAC135" s="547"/>
      <c r="AAD135" s="547"/>
      <c r="AAE135" s="547"/>
      <c r="AAF135" s="548"/>
      <c r="AAG135" s="547"/>
      <c r="AAH135" s="547"/>
      <c r="AAI135" s="547"/>
      <c r="AAJ135" s="547"/>
      <c r="AAK135" s="548"/>
      <c r="AAL135" s="547"/>
      <c r="AAM135" s="547"/>
      <c r="AAN135" s="547"/>
      <c r="AAO135" s="549"/>
      <c r="AAP135" s="548"/>
      <c r="AAQ135" s="549"/>
      <c r="AAR135" s="549"/>
      <c r="AAS135" s="549"/>
      <c r="AAT135" s="549"/>
      <c r="AAU135" s="548"/>
      <c r="AAV135" s="548"/>
      <c r="AAW135" s="548"/>
      <c r="AAX135" s="548"/>
      <c r="AAY135" s="8"/>
      <c r="AAZ135" s="8"/>
      <c r="ABA135" s="503"/>
      <c r="ABB135" s="8"/>
      <c r="ABC135" s="8"/>
      <c r="ABD135" s="547"/>
      <c r="ABE135" s="547"/>
      <c r="ABF135" s="547"/>
      <c r="ABG135" s="547"/>
      <c r="ABH135" s="548"/>
      <c r="ABI135" s="547"/>
      <c r="ABJ135" s="547"/>
      <c r="ABK135" s="547"/>
      <c r="ABL135" s="547"/>
      <c r="ABM135" s="548"/>
      <c r="ABN135" s="547"/>
      <c r="ABO135" s="547"/>
      <c r="ABP135" s="547"/>
      <c r="ABQ135" s="547"/>
      <c r="ABR135" s="548"/>
      <c r="ABS135" s="547"/>
      <c r="ABT135" s="547"/>
      <c r="ABU135" s="547"/>
      <c r="ABV135" s="549"/>
      <c r="ABW135" s="548"/>
      <c r="ABX135" s="549"/>
      <c r="ABY135" s="549"/>
      <c r="ABZ135" s="549"/>
      <c r="ACA135" s="549"/>
      <c r="ACB135" s="548"/>
      <c r="ACC135" s="548"/>
      <c r="ACD135" s="548"/>
      <c r="ACE135" s="548"/>
      <c r="ACF135" s="8"/>
      <c r="ACG135" s="8"/>
      <c r="ACH135" s="503"/>
      <c r="ACI135" s="8"/>
      <c r="ACJ135" s="8"/>
      <c r="ACK135" s="547"/>
      <c r="ACL135" s="547"/>
      <c r="ACM135" s="547"/>
      <c r="ACN135" s="547"/>
      <c r="ACO135" s="548"/>
      <c r="ACP135" s="547"/>
      <c r="ACQ135" s="547"/>
      <c r="ACR135" s="547"/>
      <c r="ACS135" s="547"/>
      <c r="ACT135" s="548"/>
      <c r="ACU135" s="547"/>
      <c r="ACV135" s="547"/>
      <c r="ACW135" s="547"/>
      <c r="ACX135" s="547"/>
      <c r="ACY135" s="548"/>
      <c r="ACZ135" s="547"/>
      <c r="ADA135" s="547"/>
      <c r="ADB135" s="547"/>
      <c r="ADC135" s="549"/>
      <c r="ADD135" s="548"/>
      <c r="ADE135" s="549"/>
      <c r="ADF135" s="549"/>
      <c r="ADG135" s="549"/>
      <c r="ADH135" s="549"/>
      <c r="ADI135" s="548"/>
      <c r="ADJ135" s="548"/>
      <c r="ADK135" s="548"/>
      <c r="ADL135" s="548"/>
      <c r="ADM135" s="8"/>
      <c r="ADN135" s="8"/>
      <c r="ADO135" s="503"/>
      <c r="ADP135" s="8"/>
      <c r="ADQ135" s="8"/>
      <c r="ADR135" s="547"/>
      <c r="ADS135" s="547"/>
      <c r="ADT135" s="547"/>
      <c r="ADU135" s="547"/>
      <c r="ADV135" s="548"/>
      <c r="ADW135" s="547"/>
      <c r="ADX135" s="547"/>
      <c r="ADY135" s="547"/>
      <c r="ADZ135" s="547"/>
      <c r="AEA135" s="548"/>
      <c r="AEB135" s="547"/>
      <c r="AEC135" s="547"/>
      <c r="AED135" s="547"/>
      <c r="AEE135" s="547"/>
      <c r="AEF135" s="548"/>
      <c r="AEG135" s="547"/>
      <c r="AEH135" s="547"/>
      <c r="AEI135" s="547"/>
      <c r="AEJ135" s="549"/>
      <c r="AEK135" s="548"/>
      <c r="AEL135" s="549"/>
      <c r="AEM135" s="549"/>
      <c r="AEN135" s="549"/>
      <c r="AEO135" s="549"/>
      <c r="AEP135" s="548"/>
      <c r="AEQ135" s="548"/>
      <c r="AER135" s="548"/>
      <c r="AES135" s="548"/>
      <c r="AET135" s="8"/>
      <c r="AEU135" s="8"/>
      <c r="AEV135" s="503"/>
      <c r="AEW135" s="8"/>
      <c r="AEX135" s="8"/>
      <c r="AEY135" s="547"/>
      <c r="AEZ135" s="547"/>
      <c r="AFA135" s="547"/>
      <c r="AFB135" s="547"/>
      <c r="AFC135" s="548"/>
      <c r="AFD135" s="547"/>
      <c r="AFE135" s="547"/>
      <c r="AFF135" s="547"/>
      <c r="AFG135" s="547"/>
      <c r="AFH135" s="548"/>
      <c r="AFI135" s="547"/>
      <c r="AFJ135" s="547"/>
      <c r="AFK135" s="547"/>
      <c r="AFL135" s="547"/>
      <c r="AFM135" s="548"/>
      <c r="AFN135" s="547"/>
      <c r="AFO135" s="547"/>
      <c r="AFP135" s="547"/>
      <c r="AFQ135" s="549"/>
      <c r="AFR135" s="548"/>
      <c r="AFS135" s="549"/>
      <c r="AFT135" s="549"/>
      <c r="AFU135" s="549"/>
      <c r="AFV135" s="549"/>
      <c r="AFW135" s="548"/>
      <c r="AFX135" s="548"/>
      <c r="AFY135" s="548"/>
      <c r="AFZ135" s="548"/>
      <c r="AGA135" s="8"/>
      <c r="AGB135" s="8"/>
      <c r="AGC135" s="503"/>
      <c r="AGD135" s="8"/>
      <c r="AGE135" s="8"/>
      <c r="AGF135" s="547"/>
      <c r="AGG135" s="547"/>
      <c r="AGH135" s="547"/>
      <c r="AGI135" s="547"/>
      <c r="AGJ135" s="548"/>
      <c r="AGK135" s="547"/>
      <c r="AGL135" s="547"/>
      <c r="AGM135" s="547"/>
      <c r="AGN135" s="547"/>
      <c r="AGO135" s="548"/>
      <c r="AGP135" s="547"/>
      <c r="AGQ135" s="547"/>
      <c r="AGR135" s="547"/>
      <c r="AGS135" s="547"/>
      <c r="AGT135" s="548"/>
      <c r="AGU135" s="547"/>
      <c r="AGV135" s="547"/>
      <c r="AGW135" s="547"/>
      <c r="AGX135" s="549"/>
      <c r="AGY135" s="548"/>
      <c r="AGZ135" s="549"/>
      <c r="AHA135" s="549"/>
      <c r="AHB135" s="549"/>
      <c r="AHC135" s="549"/>
      <c r="AHD135" s="548"/>
      <c r="AHE135" s="548"/>
      <c r="AHF135" s="548"/>
      <c r="AHG135" s="548"/>
      <c r="AHH135" s="8"/>
      <c r="AHI135" s="8"/>
      <c r="AHJ135" s="503"/>
      <c r="AHK135" s="8"/>
      <c r="AHL135" s="8"/>
      <c r="AHM135" s="547"/>
      <c r="AHN135" s="547"/>
      <c r="AHO135" s="547"/>
      <c r="AHP135" s="547"/>
      <c r="AHQ135" s="548"/>
      <c r="AHR135" s="547"/>
      <c r="AHS135" s="547"/>
      <c r="AHT135" s="547"/>
      <c r="AHU135" s="547"/>
      <c r="AHV135" s="548"/>
      <c r="AHW135" s="547"/>
      <c r="AHX135" s="547"/>
      <c r="AHY135" s="547"/>
      <c r="AHZ135" s="547"/>
      <c r="AIA135" s="548"/>
      <c r="AIB135" s="547"/>
      <c r="AIC135" s="547"/>
      <c r="AID135" s="547"/>
      <c r="AIE135" s="549"/>
      <c r="AIF135" s="548"/>
      <c r="AIG135" s="549"/>
      <c r="AIH135" s="549"/>
      <c r="AII135" s="549"/>
      <c r="AIJ135" s="549"/>
      <c r="AIK135" s="548"/>
      <c r="AIL135" s="548"/>
      <c r="AIM135" s="548"/>
      <c r="AIN135" s="548"/>
      <c r="AIO135" s="8"/>
      <c r="AIP135" s="8"/>
      <c r="AIQ135" s="503"/>
      <c r="AIR135" s="8"/>
      <c r="AIS135" s="8"/>
      <c r="AIT135" s="547"/>
      <c r="AIU135" s="547"/>
      <c r="AIV135" s="547"/>
      <c r="AIW135" s="547"/>
      <c r="AIX135" s="548"/>
      <c r="AIY135" s="547"/>
      <c r="AIZ135" s="547"/>
      <c r="AJA135" s="547"/>
      <c r="AJB135" s="547"/>
      <c r="AJC135" s="548"/>
      <c r="AJD135" s="547"/>
      <c r="AJE135" s="547"/>
      <c r="AJF135" s="547"/>
      <c r="AJG135" s="547"/>
      <c r="AJH135" s="548"/>
      <c r="AJI135" s="547"/>
      <c r="AJJ135" s="547"/>
      <c r="AJK135" s="547"/>
      <c r="AJL135" s="549"/>
      <c r="AJM135" s="548"/>
      <c r="AJN135" s="549"/>
      <c r="AJO135" s="549"/>
      <c r="AJP135" s="549"/>
      <c r="AJQ135" s="549"/>
      <c r="AJR135" s="548"/>
      <c r="AJS135" s="548"/>
      <c r="AJT135" s="548"/>
      <c r="AJU135" s="548"/>
      <c r="AJV135" s="8"/>
      <c r="AJW135" s="8"/>
      <c r="AJX135" s="503"/>
      <c r="AJY135" s="8"/>
      <c r="AJZ135" s="8"/>
      <c r="AKA135" s="547"/>
      <c r="AKB135" s="547"/>
      <c r="AKC135" s="547"/>
      <c r="AKD135" s="547"/>
      <c r="AKE135" s="548"/>
      <c r="AKF135" s="547"/>
      <c r="AKG135" s="547"/>
      <c r="AKH135" s="547"/>
      <c r="AKI135" s="547"/>
      <c r="AKJ135" s="548"/>
      <c r="AKK135" s="547"/>
      <c r="AKL135" s="547"/>
      <c r="AKM135" s="547"/>
      <c r="AKN135" s="547"/>
      <c r="AKO135" s="548"/>
      <c r="AKP135" s="547"/>
      <c r="AKQ135" s="547"/>
      <c r="AKR135" s="547"/>
      <c r="AKS135" s="549"/>
      <c r="AKT135" s="548"/>
      <c r="AKU135" s="549"/>
      <c r="AKV135" s="549"/>
      <c r="AKW135" s="549"/>
      <c r="AKX135" s="549"/>
      <c r="AKY135" s="548"/>
      <c r="AKZ135" s="548"/>
      <c r="ALA135" s="548"/>
      <c r="ALB135" s="548"/>
      <c r="ALC135" s="8"/>
      <c r="ALD135" s="8"/>
      <c r="ALE135" s="503"/>
      <c r="ALF135" s="8"/>
      <c r="ALG135" s="8"/>
      <c r="ALH135" s="547"/>
      <c r="ALI135" s="547"/>
      <c r="ALJ135" s="547"/>
      <c r="ALK135" s="547"/>
      <c r="ALL135" s="548"/>
      <c r="ALM135" s="547"/>
      <c r="ALN135" s="547"/>
      <c r="ALO135" s="547"/>
      <c r="ALP135" s="547"/>
      <c r="ALQ135" s="548"/>
      <c r="ALR135" s="547"/>
      <c r="ALS135" s="547"/>
      <c r="ALT135" s="547"/>
      <c r="ALU135" s="547"/>
      <c r="ALV135" s="548"/>
      <c r="ALW135" s="547"/>
      <c r="ALX135" s="547"/>
      <c r="ALY135" s="547"/>
      <c r="ALZ135" s="549"/>
      <c r="AMA135" s="548"/>
      <c r="AMB135" s="549"/>
      <c r="AMC135" s="549"/>
      <c r="AMD135" s="549"/>
      <c r="AME135" s="549"/>
      <c r="AMF135" s="548"/>
      <c r="AMG135" s="548"/>
      <c r="AMH135" s="548"/>
      <c r="AMI135" s="548"/>
      <c r="AMJ135" s="8"/>
      <c r="AMK135" s="8"/>
      <c r="AML135" s="503"/>
      <c r="AMM135" s="8"/>
      <c r="AMN135" s="8"/>
      <c r="AMO135" s="547"/>
      <c r="AMP135" s="547"/>
      <c r="AMQ135" s="547"/>
      <c r="AMR135" s="547"/>
      <c r="AMS135" s="548"/>
      <c r="AMT135" s="547"/>
      <c r="AMU135" s="547"/>
      <c r="AMV135" s="547"/>
      <c r="AMW135" s="547"/>
      <c r="AMX135" s="548"/>
      <c r="AMY135" s="547"/>
      <c r="AMZ135" s="547"/>
      <c r="ANA135" s="547"/>
      <c r="ANB135" s="547"/>
      <c r="ANC135" s="548"/>
      <c r="AND135" s="547"/>
      <c r="ANE135" s="547"/>
      <c r="ANF135" s="547"/>
      <c r="ANG135" s="549"/>
      <c r="ANH135" s="548"/>
      <c r="ANI135" s="549"/>
      <c r="ANJ135" s="549"/>
      <c r="ANK135" s="549"/>
      <c r="ANL135" s="549"/>
      <c r="ANM135" s="548"/>
      <c r="ANN135" s="548"/>
      <c r="ANO135" s="548"/>
      <c r="ANP135" s="548"/>
      <c r="ANQ135" s="8"/>
      <c r="ANR135" s="8"/>
      <c r="ANS135" s="503"/>
      <c r="ANT135" s="8"/>
      <c r="ANU135" s="8"/>
      <c r="ANV135" s="547"/>
      <c r="ANW135" s="547"/>
      <c r="ANX135" s="547"/>
      <c r="ANY135" s="547"/>
      <c r="ANZ135" s="548"/>
      <c r="AOA135" s="547"/>
      <c r="AOB135" s="547"/>
      <c r="AOC135" s="547"/>
      <c r="AOD135" s="547"/>
      <c r="AOE135" s="548"/>
      <c r="AOF135" s="547"/>
      <c r="AOG135" s="547"/>
      <c r="AOH135" s="547"/>
      <c r="AOI135" s="547"/>
      <c r="AOJ135" s="548"/>
      <c r="AOK135" s="547"/>
      <c r="AOL135" s="547"/>
      <c r="AOM135" s="547"/>
      <c r="AON135" s="549"/>
      <c r="AOO135" s="548"/>
      <c r="AOP135" s="549"/>
      <c r="AOQ135" s="549"/>
      <c r="AOR135" s="549"/>
      <c r="AOS135" s="549"/>
      <c r="AOT135" s="548"/>
      <c r="AOU135" s="548"/>
      <c r="AOV135" s="548"/>
      <c r="AOW135" s="548"/>
      <c r="AOX135" s="8"/>
      <c r="AOY135" s="8"/>
      <c r="AOZ135" s="503"/>
      <c r="APA135" s="8"/>
      <c r="APB135" s="8"/>
      <c r="APC135" s="547"/>
      <c r="APD135" s="547"/>
      <c r="APE135" s="547"/>
      <c r="APF135" s="547"/>
      <c r="APG135" s="548"/>
      <c r="APH135" s="547"/>
      <c r="API135" s="547"/>
      <c r="APJ135" s="547"/>
      <c r="APK135" s="547"/>
      <c r="APL135" s="548"/>
      <c r="APM135" s="547"/>
      <c r="APN135" s="547"/>
      <c r="APO135" s="547"/>
      <c r="APP135" s="547"/>
      <c r="APQ135" s="548"/>
      <c r="APR135" s="547"/>
      <c r="APS135" s="547"/>
      <c r="APT135" s="547"/>
      <c r="APU135" s="549"/>
      <c r="APV135" s="548"/>
      <c r="APW135" s="549"/>
      <c r="APX135" s="549"/>
      <c r="APY135" s="549"/>
      <c r="APZ135" s="549"/>
      <c r="AQA135" s="548"/>
      <c r="AQB135" s="548"/>
      <c r="AQC135" s="548"/>
      <c r="AQD135" s="548"/>
      <c r="AQE135" s="8"/>
      <c r="AQF135" s="8"/>
      <c r="AQG135" s="503"/>
      <c r="AQH135" s="8"/>
      <c r="AQI135" s="8"/>
      <c r="AQJ135" s="547"/>
      <c r="AQK135" s="547"/>
      <c r="AQL135" s="547"/>
      <c r="AQM135" s="547"/>
      <c r="AQN135" s="548"/>
      <c r="AQO135" s="547"/>
      <c r="AQP135" s="547"/>
      <c r="AQQ135" s="547"/>
      <c r="AQR135" s="547"/>
      <c r="AQS135" s="548"/>
      <c r="AQT135" s="547"/>
      <c r="AQU135" s="547"/>
      <c r="AQV135" s="547"/>
      <c r="AQW135" s="547"/>
      <c r="AQX135" s="548"/>
      <c r="AQY135" s="547"/>
      <c r="AQZ135" s="547"/>
      <c r="ARA135" s="547"/>
      <c r="ARB135" s="549"/>
      <c r="ARC135" s="548"/>
      <c r="ARD135" s="549"/>
      <c r="ARE135" s="549"/>
      <c r="ARF135" s="549"/>
      <c r="ARG135" s="549"/>
      <c r="ARH135" s="548"/>
      <c r="ARI135" s="548"/>
      <c r="ARJ135" s="548"/>
      <c r="ARK135" s="548"/>
      <c r="ARL135" s="8"/>
      <c r="ARM135" s="8"/>
      <c r="ARN135" s="503"/>
      <c r="ARO135" s="8"/>
      <c r="ARP135" s="8"/>
      <c r="ARQ135" s="547"/>
      <c r="ARR135" s="547"/>
      <c r="ARS135" s="547"/>
      <c r="ART135" s="547"/>
      <c r="ARU135" s="548"/>
      <c r="ARV135" s="547"/>
      <c r="ARW135" s="547"/>
      <c r="ARX135" s="547"/>
      <c r="ARY135" s="547"/>
      <c r="ARZ135" s="548"/>
      <c r="ASA135" s="547"/>
      <c r="ASB135" s="547"/>
      <c r="ASC135" s="547"/>
      <c r="ASD135" s="547"/>
      <c r="ASE135" s="548"/>
      <c r="ASF135" s="547"/>
      <c r="ASG135" s="547"/>
      <c r="ASH135" s="547"/>
      <c r="ASI135" s="549"/>
      <c r="ASJ135" s="548"/>
      <c r="ASK135" s="549"/>
      <c r="ASL135" s="549"/>
      <c r="ASM135" s="549"/>
      <c r="ASN135" s="549"/>
      <c r="ASO135" s="548"/>
      <c r="ASP135" s="548"/>
      <c r="ASQ135" s="548"/>
      <c r="ASR135" s="548"/>
      <c r="ASS135" s="8"/>
      <c r="AST135" s="8"/>
      <c r="ASU135" s="503"/>
      <c r="ASV135" s="8"/>
      <c r="ASW135" s="8"/>
      <c r="ASX135" s="547"/>
      <c r="ASY135" s="547"/>
      <c r="ASZ135" s="547"/>
      <c r="ATA135" s="547"/>
      <c r="ATB135" s="548"/>
      <c r="ATC135" s="547"/>
      <c r="ATD135" s="547"/>
      <c r="ATE135" s="547"/>
      <c r="ATF135" s="547"/>
      <c r="ATG135" s="548"/>
      <c r="ATH135" s="547"/>
      <c r="ATI135" s="547"/>
      <c r="ATJ135" s="547"/>
      <c r="ATK135" s="547"/>
      <c r="ATL135" s="548"/>
      <c r="ATM135" s="547"/>
      <c r="ATN135" s="547"/>
      <c r="ATO135" s="547"/>
      <c r="ATP135" s="549"/>
      <c r="ATQ135" s="548"/>
      <c r="ATR135" s="549"/>
      <c r="ATS135" s="549"/>
      <c r="ATT135" s="549"/>
      <c r="ATU135" s="549"/>
      <c r="ATV135" s="548"/>
      <c r="ATW135" s="548"/>
      <c r="ATX135" s="548"/>
      <c r="ATY135" s="548"/>
      <c r="ATZ135" s="8"/>
      <c r="AUA135" s="8"/>
      <c r="AUB135" s="503"/>
      <c r="AUC135" s="8"/>
      <c r="AUD135" s="8"/>
      <c r="AUE135" s="547"/>
      <c r="AUF135" s="547"/>
      <c r="AUG135" s="547"/>
      <c r="AUH135" s="547"/>
      <c r="AUI135" s="548"/>
      <c r="AUJ135" s="547"/>
      <c r="AUK135" s="547"/>
      <c r="AUL135" s="547"/>
      <c r="AUM135" s="547"/>
      <c r="AUN135" s="548"/>
      <c r="AUO135" s="547"/>
      <c r="AUP135" s="547"/>
      <c r="AUQ135" s="547"/>
      <c r="AUR135" s="547"/>
      <c r="AUS135" s="548"/>
      <c r="AUT135" s="547"/>
      <c r="AUU135" s="547"/>
      <c r="AUV135" s="547"/>
      <c r="AUW135" s="549"/>
      <c r="AUX135" s="548"/>
      <c r="AUY135" s="549"/>
      <c r="AUZ135" s="549"/>
      <c r="AVA135" s="549"/>
      <c r="AVB135" s="549"/>
      <c r="AVC135" s="548"/>
      <c r="AVD135" s="548"/>
      <c r="AVE135" s="548"/>
      <c r="AVF135" s="548"/>
      <c r="AVG135" s="8"/>
      <c r="AVH135" s="8"/>
      <c r="AVI135" s="503"/>
      <c r="AVJ135" s="8"/>
      <c r="AVK135" s="8"/>
      <c r="AVL135" s="547"/>
      <c r="AVM135" s="547"/>
      <c r="AVN135" s="547"/>
      <c r="AVO135" s="547"/>
      <c r="AVP135" s="548"/>
      <c r="AVQ135" s="547"/>
      <c r="AVR135" s="547"/>
      <c r="AVS135" s="547"/>
      <c r="AVT135" s="547"/>
      <c r="AVU135" s="548"/>
      <c r="AVV135" s="547"/>
      <c r="AVW135" s="547"/>
      <c r="AVX135" s="547"/>
      <c r="AVY135" s="547"/>
      <c r="AVZ135" s="548"/>
      <c r="AWA135" s="547"/>
      <c r="AWB135" s="547"/>
      <c r="AWC135" s="547"/>
      <c r="AWD135" s="549"/>
      <c r="AWE135" s="548"/>
      <c r="AWF135" s="549"/>
      <c r="AWG135" s="549"/>
      <c r="AWH135" s="549"/>
      <c r="AWI135" s="549"/>
      <c r="AWJ135" s="548"/>
      <c r="AWK135" s="548"/>
      <c r="AWL135" s="548"/>
      <c r="AWM135" s="548"/>
      <c r="AWN135" s="8"/>
      <c r="AWO135" s="8"/>
      <c r="AWP135" s="503"/>
      <c r="AWQ135" s="8"/>
      <c r="AWR135" s="8"/>
      <c r="AWS135" s="547"/>
      <c r="AWT135" s="547"/>
      <c r="AWU135" s="547"/>
      <c r="AWV135" s="547"/>
      <c r="AWW135" s="548"/>
      <c r="AWX135" s="547"/>
      <c r="AWY135" s="547"/>
      <c r="AWZ135" s="547"/>
      <c r="AXA135" s="547"/>
      <c r="AXB135" s="548"/>
      <c r="AXC135" s="547"/>
      <c r="AXD135" s="547"/>
      <c r="AXE135" s="547"/>
      <c r="AXF135" s="547"/>
      <c r="AXG135" s="548"/>
      <c r="AXH135" s="547"/>
      <c r="AXI135" s="547"/>
      <c r="AXJ135" s="547"/>
      <c r="AXK135" s="549"/>
      <c r="AXL135" s="548"/>
      <c r="AXM135" s="549"/>
      <c r="AXN135" s="549"/>
      <c r="AXO135" s="549"/>
      <c r="AXP135" s="549"/>
      <c r="AXQ135" s="548"/>
      <c r="AXR135" s="548"/>
      <c r="AXS135" s="548"/>
      <c r="AXT135" s="548"/>
      <c r="AXU135" s="8"/>
      <c r="AXV135" s="8"/>
      <c r="AXW135" s="503"/>
      <c r="AXX135" s="8"/>
      <c r="AXY135" s="8"/>
      <c r="AXZ135" s="547"/>
      <c r="AYA135" s="547"/>
      <c r="AYB135" s="547"/>
      <c r="AYC135" s="547"/>
      <c r="AYD135" s="548"/>
      <c r="AYE135" s="547"/>
      <c r="AYF135" s="547"/>
      <c r="AYG135" s="547"/>
      <c r="AYH135" s="547"/>
      <c r="AYI135" s="548"/>
      <c r="AYJ135" s="547"/>
      <c r="AYK135" s="547"/>
      <c r="AYL135" s="547"/>
      <c r="AYM135" s="547"/>
      <c r="AYN135" s="548"/>
      <c r="AYO135" s="547"/>
      <c r="AYP135" s="547"/>
      <c r="AYQ135" s="547"/>
      <c r="AYR135" s="549"/>
      <c r="AYS135" s="548"/>
      <c r="AYT135" s="549"/>
      <c r="AYU135" s="549"/>
      <c r="AYV135" s="549"/>
      <c r="AYW135" s="549"/>
      <c r="AYX135" s="548"/>
      <c r="AYY135" s="548"/>
      <c r="AYZ135" s="548"/>
      <c r="AZA135" s="548"/>
      <c r="AZB135" s="8"/>
      <c r="AZC135" s="8"/>
      <c r="AZD135" s="503"/>
      <c r="AZE135" s="8"/>
      <c r="AZF135" s="8"/>
      <c r="AZG135" s="547"/>
      <c r="AZH135" s="547"/>
      <c r="AZI135" s="547"/>
      <c r="AZJ135" s="547"/>
      <c r="AZK135" s="548"/>
      <c r="AZL135" s="547"/>
      <c r="AZM135" s="547"/>
      <c r="AZN135" s="547"/>
      <c r="AZO135" s="547"/>
      <c r="AZP135" s="548"/>
      <c r="AZQ135" s="547"/>
      <c r="AZR135" s="547"/>
      <c r="AZS135" s="547"/>
      <c r="AZT135" s="547"/>
      <c r="AZU135" s="548"/>
      <c r="AZV135" s="547"/>
      <c r="AZW135" s="547"/>
      <c r="AZX135" s="547"/>
      <c r="AZY135" s="549"/>
      <c r="AZZ135" s="548"/>
      <c r="BAA135" s="549"/>
      <c r="BAB135" s="549"/>
      <c r="BAC135" s="549"/>
      <c r="BAD135" s="549"/>
      <c r="BAE135" s="548"/>
      <c r="BAF135" s="548"/>
      <c r="BAG135" s="548"/>
      <c r="BAH135" s="548"/>
      <c r="BAI135" s="8"/>
      <c r="BAJ135" s="8"/>
      <c r="BAK135" s="503"/>
      <c r="BAL135" s="8"/>
      <c r="BAM135" s="8"/>
      <c r="BAN135" s="547"/>
      <c r="BAO135" s="547"/>
      <c r="BAP135" s="547"/>
      <c r="BAQ135" s="547"/>
      <c r="BAR135" s="548"/>
      <c r="BAS135" s="547"/>
      <c r="BAT135" s="547"/>
      <c r="BAU135" s="547"/>
      <c r="BAV135" s="547"/>
      <c r="BAW135" s="548"/>
      <c r="BAX135" s="547"/>
      <c r="BAY135" s="547"/>
      <c r="BAZ135" s="547"/>
      <c r="BBA135" s="547"/>
      <c r="BBB135" s="548"/>
      <c r="BBC135" s="547"/>
      <c r="BBD135" s="547"/>
      <c r="BBE135" s="547"/>
      <c r="BBF135" s="549"/>
      <c r="BBG135" s="548"/>
      <c r="BBH135" s="549"/>
      <c r="BBI135" s="549"/>
      <c r="BBJ135" s="549"/>
      <c r="BBK135" s="549"/>
      <c r="BBL135" s="548"/>
      <c r="BBM135" s="548"/>
      <c r="BBN135" s="548"/>
      <c r="BBO135" s="548"/>
      <c r="BBP135" s="8"/>
      <c r="BBQ135" s="8"/>
      <c r="BBR135" s="503"/>
      <c r="BBS135" s="8"/>
      <c r="BBT135" s="8"/>
      <c r="BBU135" s="547"/>
      <c r="BBV135" s="547"/>
      <c r="BBW135" s="547"/>
      <c r="BBX135" s="547"/>
      <c r="BBY135" s="548"/>
      <c r="BBZ135" s="547"/>
      <c r="BCA135" s="547"/>
      <c r="BCB135" s="547"/>
      <c r="BCC135" s="547"/>
      <c r="BCD135" s="548"/>
      <c r="BCE135" s="547"/>
      <c r="BCF135" s="547"/>
      <c r="BCG135" s="547"/>
      <c r="BCH135" s="547"/>
      <c r="BCI135" s="548"/>
      <c r="BCJ135" s="547"/>
      <c r="BCK135" s="547"/>
      <c r="BCL135" s="547"/>
      <c r="BCM135" s="549"/>
      <c r="BCN135" s="548"/>
      <c r="BCO135" s="549"/>
      <c r="BCP135" s="549"/>
      <c r="BCQ135" s="549"/>
      <c r="BCR135" s="549"/>
      <c r="BCS135" s="548"/>
      <c r="BCT135" s="548"/>
      <c r="BCU135" s="548"/>
      <c r="BCV135" s="548"/>
      <c r="BCW135" s="8"/>
      <c r="BCX135" s="8"/>
      <c r="BCY135" s="503"/>
      <c r="BCZ135" s="8"/>
      <c r="BDA135" s="8"/>
      <c r="BDB135" s="547"/>
      <c r="BDC135" s="547"/>
      <c r="BDD135" s="547"/>
      <c r="BDE135" s="547"/>
      <c r="BDF135" s="548"/>
      <c r="BDG135" s="547"/>
      <c r="BDH135" s="547"/>
      <c r="BDI135" s="547"/>
      <c r="BDJ135" s="547"/>
      <c r="BDK135" s="548"/>
      <c r="BDL135" s="547"/>
      <c r="BDM135" s="547"/>
      <c r="BDN135" s="547"/>
      <c r="BDO135" s="547"/>
      <c r="BDP135" s="548"/>
      <c r="BDQ135" s="547"/>
      <c r="BDR135" s="547"/>
      <c r="BDS135" s="547"/>
      <c r="BDT135" s="549"/>
      <c r="BDU135" s="548"/>
      <c r="BDV135" s="549"/>
      <c r="BDW135" s="549"/>
      <c r="BDX135" s="549"/>
      <c r="BDY135" s="549"/>
      <c r="BDZ135" s="548"/>
      <c r="BEA135" s="548"/>
      <c r="BEB135" s="548"/>
      <c r="BEC135" s="548"/>
      <c r="BED135" s="8"/>
      <c r="BEE135" s="8"/>
      <c r="BEF135" s="503"/>
      <c r="BEG135" s="8"/>
      <c r="BEH135" s="8"/>
      <c r="BEI135" s="547"/>
      <c r="BEJ135" s="547"/>
      <c r="BEK135" s="547"/>
      <c r="BEL135" s="547"/>
      <c r="BEM135" s="548"/>
      <c r="BEN135" s="547"/>
      <c r="BEO135" s="547"/>
      <c r="BEP135" s="547"/>
      <c r="BEQ135" s="547"/>
      <c r="BER135" s="548"/>
      <c r="BES135" s="547"/>
      <c r="BET135" s="547"/>
      <c r="BEU135" s="547"/>
      <c r="BEV135" s="547"/>
      <c r="BEW135" s="548"/>
      <c r="BEX135" s="547"/>
      <c r="BEY135" s="547"/>
      <c r="BEZ135" s="547"/>
      <c r="BFA135" s="549"/>
      <c r="BFB135" s="548"/>
      <c r="BFC135" s="549"/>
      <c r="BFD135" s="549"/>
      <c r="BFE135" s="549"/>
      <c r="BFF135" s="549"/>
      <c r="BFG135" s="548"/>
      <c r="BFH135" s="548"/>
      <c r="BFI135" s="548"/>
      <c r="BFJ135" s="548"/>
      <c r="BFK135" s="8"/>
      <c r="BFL135" s="8"/>
      <c r="BFM135" s="503"/>
      <c r="BFN135" s="8"/>
      <c r="BFO135" s="8"/>
      <c r="BFP135" s="547"/>
      <c r="BFQ135" s="547"/>
      <c r="BFR135" s="547"/>
      <c r="BFS135" s="547"/>
      <c r="BFT135" s="548"/>
      <c r="BFU135" s="547"/>
      <c r="BFV135" s="547"/>
      <c r="BFW135" s="547"/>
      <c r="BFX135" s="547"/>
      <c r="BFY135" s="548"/>
      <c r="BFZ135" s="547"/>
      <c r="BGA135" s="547"/>
      <c r="BGB135" s="547"/>
      <c r="BGC135" s="547"/>
      <c r="BGD135" s="548"/>
      <c r="BGE135" s="547"/>
      <c r="BGF135" s="547"/>
      <c r="BGG135" s="547"/>
      <c r="BGH135" s="549"/>
      <c r="BGI135" s="548"/>
      <c r="BGJ135" s="549"/>
      <c r="BGK135" s="549"/>
      <c r="BGL135" s="549"/>
      <c r="BGM135" s="549"/>
      <c r="BGN135" s="548"/>
      <c r="BGO135" s="548"/>
      <c r="BGP135" s="548"/>
      <c r="BGQ135" s="548"/>
      <c r="BGR135" s="8"/>
      <c r="BGS135" s="8"/>
      <c r="BGT135" s="503"/>
      <c r="BGU135" s="8"/>
      <c r="BGV135" s="8"/>
      <c r="BGW135" s="547"/>
      <c r="BGX135" s="547"/>
      <c r="BGY135" s="547"/>
      <c r="BGZ135" s="547"/>
      <c r="BHA135" s="548"/>
      <c r="BHB135" s="547"/>
      <c r="BHC135" s="547"/>
      <c r="BHD135" s="547"/>
      <c r="BHE135" s="547"/>
      <c r="BHF135" s="548"/>
      <c r="BHG135" s="547"/>
      <c r="BHH135" s="547"/>
      <c r="BHI135" s="547"/>
      <c r="BHJ135" s="547"/>
      <c r="BHK135" s="548"/>
      <c r="BHL135" s="547"/>
      <c r="BHM135" s="547"/>
      <c r="BHN135" s="547"/>
      <c r="BHO135" s="549"/>
      <c r="BHP135" s="548"/>
      <c r="BHQ135" s="549"/>
      <c r="BHR135" s="549"/>
      <c r="BHS135" s="549"/>
      <c r="BHT135" s="549"/>
      <c r="BHU135" s="548"/>
      <c r="BHV135" s="548"/>
      <c r="BHW135" s="548"/>
      <c r="BHX135" s="548"/>
      <c r="BHY135" s="8"/>
      <c r="BHZ135" s="8"/>
      <c r="BIA135" s="503"/>
      <c r="BIB135" s="8"/>
      <c r="BIC135" s="8"/>
      <c r="BID135" s="547"/>
      <c r="BIE135" s="547"/>
      <c r="BIF135" s="547"/>
      <c r="BIG135" s="547"/>
      <c r="BIH135" s="548"/>
      <c r="BII135" s="547"/>
      <c r="BIJ135" s="547"/>
      <c r="BIK135" s="547"/>
      <c r="BIL135" s="547"/>
      <c r="BIM135" s="548"/>
      <c r="BIN135" s="547"/>
      <c r="BIO135" s="547"/>
      <c r="BIP135" s="547"/>
      <c r="BIQ135" s="547"/>
      <c r="BIR135" s="548"/>
      <c r="BIS135" s="547"/>
      <c r="BIT135" s="547"/>
      <c r="BIU135" s="547"/>
      <c r="BIV135" s="549"/>
      <c r="BIW135" s="548"/>
      <c r="BIX135" s="549"/>
      <c r="BIY135" s="549"/>
      <c r="BIZ135" s="549"/>
      <c r="BJA135" s="549"/>
      <c r="BJB135" s="548"/>
      <c r="BJC135" s="548"/>
      <c r="BJD135" s="548"/>
      <c r="BJE135" s="548"/>
      <c r="BJF135" s="8"/>
      <c r="BJG135" s="8"/>
      <c r="BJH135" s="503"/>
      <c r="BJI135" s="8"/>
      <c r="BJJ135" s="8"/>
      <c r="BJK135" s="547"/>
      <c r="BJL135" s="547"/>
      <c r="BJM135" s="547"/>
      <c r="BJN135" s="547"/>
      <c r="BJO135" s="548"/>
      <c r="BJP135" s="547"/>
      <c r="BJQ135" s="547"/>
      <c r="BJR135" s="547"/>
      <c r="BJS135" s="547"/>
      <c r="BJT135" s="548"/>
      <c r="BJU135" s="547"/>
      <c r="BJV135" s="547"/>
      <c r="BJW135" s="547"/>
      <c r="BJX135" s="547"/>
      <c r="BJY135" s="548"/>
      <c r="BJZ135" s="547"/>
      <c r="BKA135" s="547"/>
      <c r="BKB135" s="547"/>
      <c r="BKC135" s="549"/>
      <c r="BKD135" s="548"/>
      <c r="BKE135" s="549"/>
      <c r="BKF135" s="549"/>
      <c r="BKG135" s="549"/>
      <c r="BKH135" s="549"/>
      <c r="BKI135" s="548"/>
      <c r="BKJ135" s="548"/>
      <c r="BKK135" s="548"/>
      <c r="BKL135" s="548"/>
      <c r="BKM135" s="8"/>
      <c r="BKN135" s="8"/>
      <c r="BKO135" s="503"/>
      <c r="BKP135" s="8"/>
      <c r="BKQ135" s="8"/>
      <c r="BKR135" s="547"/>
      <c r="BKS135" s="547"/>
      <c r="BKT135" s="547"/>
      <c r="BKU135" s="547"/>
      <c r="BKV135" s="548"/>
      <c r="BKW135" s="547"/>
      <c r="BKX135" s="547"/>
      <c r="BKY135" s="547"/>
      <c r="BKZ135" s="547"/>
      <c r="BLA135" s="548"/>
      <c r="BLB135" s="547"/>
      <c r="BLC135" s="547"/>
      <c r="BLD135" s="547"/>
      <c r="BLE135" s="547"/>
      <c r="BLF135" s="548"/>
      <c r="BLG135" s="547"/>
      <c r="BLH135" s="547"/>
      <c r="BLI135" s="547"/>
      <c r="BLJ135" s="549"/>
      <c r="BLK135" s="548"/>
      <c r="BLL135" s="549"/>
      <c r="BLM135" s="549"/>
      <c r="BLN135" s="549"/>
      <c r="BLO135" s="549"/>
      <c r="BLP135" s="548"/>
      <c r="BLQ135" s="548"/>
      <c r="BLR135" s="548"/>
      <c r="BLS135" s="548"/>
      <c r="BLT135" s="8"/>
      <c r="BLU135" s="8"/>
      <c r="BLV135" s="503"/>
      <c r="BLW135" s="8"/>
      <c r="BLX135" s="8"/>
      <c r="BLY135" s="547"/>
      <c r="BLZ135" s="547"/>
      <c r="BMA135" s="547"/>
      <c r="BMB135" s="547"/>
      <c r="BMC135" s="548"/>
      <c r="BMD135" s="547"/>
      <c r="BME135" s="547"/>
      <c r="BMF135" s="547"/>
      <c r="BMG135" s="547"/>
      <c r="BMH135" s="548"/>
      <c r="BMI135" s="547"/>
      <c r="BMJ135" s="547"/>
      <c r="BMK135" s="547"/>
      <c r="BML135" s="547"/>
      <c r="BMM135" s="548"/>
      <c r="BMN135" s="547"/>
      <c r="BMO135" s="547"/>
      <c r="BMP135" s="547"/>
      <c r="BMQ135" s="549"/>
      <c r="BMR135" s="548"/>
      <c r="BMS135" s="549"/>
      <c r="BMT135" s="549"/>
      <c r="BMU135" s="549"/>
      <c r="BMV135" s="549"/>
      <c r="BMW135" s="548"/>
      <c r="BMX135" s="548"/>
      <c r="BMY135" s="548"/>
      <c r="BMZ135" s="548"/>
      <c r="BNA135" s="8"/>
      <c r="BNB135" s="8"/>
      <c r="BNC135" s="503"/>
      <c r="BND135" s="8"/>
      <c r="BNE135" s="8"/>
      <c r="BNF135" s="547"/>
      <c r="BNG135" s="547"/>
      <c r="BNH135" s="547"/>
      <c r="BNI135" s="547"/>
      <c r="BNJ135" s="548"/>
      <c r="BNK135" s="547"/>
      <c r="BNL135" s="547"/>
      <c r="BNM135" s="547"/>
      <c r="BNN135" s="547"/>
      <c r="BNO135" s="548"/>
      <c r="BNP135" s="547"/>
      <c r="BNQ135" s="547"/>
      <c r="BNR135" s="547"/>
      <c r="BNS135" s="547"/>
      <c r="BNT135" s="548"/>
      <c r="BNU135" s="547"/>
      <c r="BNV135" s="547"/>
      <c r="BNW135" s="547"/>
      <c r="BNX135" s="549"/>
      <c r="BNY135" s="548"/>
      <c r="BNZ135" s="549"/>
      <c r="BOA135" s="549"/>
      <c r="BOB135" s="549"/>
      <c r="BOC135" s="549"/>
      <c r="BOD135" s="548"/>
      <c r="BOE135" s="548"/>
      <c r="BOF135" s="548"/>
      <c r="BOG135" s="548"/>
      <c r="BOH135" s="8"/>
      <c r="BOI135" s="8"/>
      <c r="BOJ135" s="503"/>
      <c r="BOK135" s="8"/>
      <c r="BOL135" s="8"/>
      <c r="BOM135" s="547"/>
      <c r="BON135" s="547"/>
      <c r="BOO135" s="547"/>
      <c r="BOP135" s="547"/>
      <c r="BOQ135" s="548"/>
      <c r="BOR135" s="547"/>
      <c r="BOS135" s="547"/>
      <c r="BOT135" s="547"/>
      <c r="BOU135" s="547"/>
      <c r="BOV135" s="548"/>
      <c r="BOW135" s="547"/>
      <c r="BOX135" s="547"/>
      <c r="BOY135" s="547"/>
      <c r="BOZ135" s="547"/>
      <c r="BPA135" s="548"/>
      <c r="BPB135" s="547"/>
      <c r="BPC135" s="547"/>
      <c r="BPD135" s="547"/>
      <c r="BPE135" s="549"/>
      <c r="BPF135" s="548"/>
      <c r="BPG135" s="549"/>
      <c r="BPH135" s="549"/>
      <c r="BPI135" s="549"/>
      <c r="BPJ135" s="549"/>
      <c r="BPK135" s="548"/>
      <c r="BPL135" s="548"/>
      <c r="BPM135" s="548"/>
      <c r="BPN135" s="548"/>
      <c r="BPO135" s="8"/>
      <c r="BPP135" s="8"/>
      <c r="BPQ135" s="503"/>
      <c r="BPR135" s="8"/>
      <c r="BPS135" s="8"/>
      <c r="BPT135" s="547"/>
      <c r="BPU135" s="547"/>
      <c r="BPV135" s="547"/>
      <c r="BPW135" s="547"/>
      <c r="BPX135" s="548"/>
      <c r="BPY135" s="547"/>
      <c r="BPZ135" s="547"/>
      <c r="BQA135" s="547"/>
      <c r="BQB135" s="547"/>
      <c r="BQC135" s="548"/>
      <c r="BQD135" s="547"/>
      <c r="BQE135" s="547"/>
      <c r="BQF135" s="547"/>
      <c r="BQG135" s="547"/>
      <c r="BQH135" s="548"/>
      <c r="BQI135" s="547"/>
      <c r="BQJ135" s="547"/>
      <c r="BQK135" s="547"/>
      <c r="BQL135" s="549"/>
      <c r="BQM135" s="548"/>
      <c r="BQN135" s="549"/>
      <c r="BQO135" s="549"/>
      <c r="BQP135" s="549"/>
      <c r="BQQ135" s="549"/>
      <c r="BQR135" s="548"/>
      <c r="BQS135" s="548"/>
      <c r="BQT135" s="548"/>
      <c r="BQU135" s="548"/>
      <c r="BQV135" s="8"/>
      <c r="BQW135" s="8"/>
      <c r="BQX135" s="503"/>
      <c r="BQY135" s="8"/>
      <c r="BQZ135" s="8"/>
      <c r="BRA135" s="547"/>
      <c r="BRB135" s="547"/>
      <c r="BRC135" s="547"/>
      <c r="BRD135" s="547"/>
      <c r="BRE135" s="548"/>
      <c r="BRF135" s="547"/>
      <c r="BRG135" s="547"/>
      <c r="BRH135" s="547"/>
      <c r="BRI135" s="547"/>
      <c r="BRJ135" s="548"/>
      <c r="BRK135" s="547"/>
      <c r="BRL135" s="547"/>
      <c r="BRM135" s="547"/>
      <c r="BRN135" s="547"/>
      <c r="BRO135" s="548"/>
      <c r="BRP135" s="547"/>
      <c r="BRQ135" s="547"/>
      <c r="BRR135" s="547"/>
      <c r="BRS135" s="549"/>
      <c r="BRT135" s="548"/>
      <c r="BRU135" s="549"/>
      <c r="BRV135" s="549"/>
      <c r="BRW135" s="549"/>
      <c r="BRX135" s="549"/>
      <c r="BRY135" s="548"/>
      <c r="BRZ135" s="548"/>
      <c r="BSA135" s="548"/>
      <c r="BSB135" s="548"/>
      <c r="BSC135" s="8"/>
      <c r="BSD135" s="8"/>
      <c r="BSE135" s="503"/>
      <c r="BSF135" s="8"/>
      <c r="BSG135" s="8"/>
      <c r="BSH135" s="547"/>
      <c r="BSI135" s="547"/>
      <c r="BSJ135" s="547"/>
      <c r="BSK135" s="547"/>
      <c r="BSL135" s="548"/>
      <c r="BSM135" s="547"/>
      <c r="BSN135" s="547"/>
      <c r="BSO135" s="547"/>
      <c r="BSP135" s="547"/>
      <c r="BSQ135" s="548"/>
      <c r="BSR135" s="547"/>
      <c r="BSS135" s="547"/>
      <c r="BST135" s="547"/>
      <c r="BSU135" s="547"/>
      <c r="BSV135" s="548"/>
      <c r="BSW135" s="547"/>
      <c r="BSX135" s="547"/>
      <c r="BSY135" s="547"/>
      <c r="BSZ135" s="549"/>
      <c r="BTA135" s="548"/>
      <c r="BTB135" s="549"/>
      <c r="BTC135" s="549"/>
      <c r="BTD135" s="549"/>
      <c r="BTE135" s="549"/>
      <c r="BTF135" s="548"/>
      <c r="BTG135" s="548"/>
      <c r="BTH135" s="548"/>
      <c r="BTI135" s="548"/>
      <c r="BTJ135" s="8"/>
      <c r="BTK135" s="8"/>
      <c r="BTL135" s="503"/>
      <c r="BTM135" s="8"/>
      <c r="BTN135" s="8"/>
      <c r="BTO135" s="547"/>
      <c r="BTP135" s="547"/>
      <c r="BTQ135" s="547"/>
      <c r="BTR135" s="547"/>
      <c r="BTS135" s="548"/>
      <c r="BTT135" s="547"/>
      <c r="BTU135" s="547"/>
      <c r="BTV135" s="547"/>
      <c r="BTW135" s="547"/>
      <c r="BTX135" s="548"/>
      <c r="BTY135" s="547"/>
      <c r="BTZ135" s="547"/>
      <c r="BUA135" s="547"/>
      <c r="BUB135" s="547"/>
      <c r="BUC135" s="548"/>
      <c r="BUD135" s="547"/>
      <c r="BUE135" s="547"/>
      <c r="BUF135" s="547"/>
      <c r="BUG135" s="549"/>
      <c r="BUH135" s="548"/>
      <c r="BUI135" s="549"/>
      <c r="BUJ135" s="549"/>
      <c r="BUK135" s="549"/>
      <c r="BUL135" s="549"/>
      <c r="BUM135" s="548"/>
      <c r="BUN135" s="548"/>
      <c r="BUO135" s="548"/>
      <c r="BUP135" s="548"/>
      <c r="BUQ135" s="8"/>
      <c r="BUR135" s="8"/>
      <c r="BUS135" s="503"/>
      <c r="BUT135" s="8"/>
      <c r="BUU135" s="8"/>
      <c r="BUV135" s="547"/>
      <c r="BUW135" s="547"/>
      <c r="BUX135" s="547"/>
      <c r="BUY135" s="547"/>
      <c r="BUZ135" s="548"/>
      <c r="BVA135" s="547"/>
      <c r="BVB135" s="547"/>
      <c r="BVC135" s="547"/>
      <c r="BVD135" s="547"/>
      <c r="BVE135" s="548"/>
      <c r="BVF135" s="547"/>
      <c r="BVG135" s="547"/>
      <c r="BVH135" s="547"/>
      <c r="BVI135" s="547"/>
      <c r="BVJ135" s="548"/>
      <c r="BVK135" s="547"/>
      <c r="BVL135" s="547"/>
      <c r="BVM135" s="547"/>
      <c r="BVN135" s="549"/>
      <c r="BVO135" s="548"/>
      <c r="BVP135" s="549"/>
      <c r="BVQ135" s="549"/>
      <c r="BVR135" s="549"/>
      <c r="BVS135" s="549"/>
      <c r="BVT135" s="548"/>
      <c r="BVU135" s="548"/>
      <c r="BVV135" s="548"/>
      <c r="BVW135" s="548"/>
      <c r="BVX135" s="8"/>
      <c r="BVY135" s="8"/>
      <c r="BVZ135" s="503"/>
      <c r="BWA135" s="8"/>
      <c r="BWB135" s="8"/>
      <c r="BWC135" s="547"/>
      <c r="BWD135" s="547"/>
      <c r="BWE135" s="547"/>
      <c r="BWF135" s="547"/>
      <c r="BWG135" s="548"/>
      <c r="BWH135" s="547"/>
      <c r="BWI135" s="547"/>
      <c r="BWJ135" s="547"/>
      <c r="BWK135" s="547"/>
      <c r="BWL135" s="548"/>
      <c r="BWM135" s="547"/>
      <c r="BWN135" s="547"/>
      <c r="BWO135" s="547"/>
      <c r="BWP135" s="547"/>
      <c r="BWQ135" s="548"/>
      <c r="BWR135" s="547"/>
      <c r="BWS135" s="547"/>
      <c r="BWT135" s="547"/>
      <c r="BWU135" s="549"/>
      <c r="BWV135" s="548"/>
      <c r="BWW135" s="549"/>
      <c r="BWX135" s="549"/>
      <c r="BWY135" s="549"/>
      <c r="BWZ135" s="549"/>
      <c r="BXA135" s="548"/>
      <c r="BXB135" s="548"/>
      <c r="BXC135" s="548"/>
      <c r="BXD135" s="548"/>
      <c r="BXE135" s="8"/>
      <c r="BXF135" s="8"/>
      <c r="BXG135" s="503"/>
      <c r="BXH135" s="8"/>
      <c r="BXI135" s="8"/>
      <c r="BXJ135" s="547"/>
      <c r="BXK135" s="547"/>
      <c r="BXL135" s="547"/>
      <c r="BXM135" s="547"/>
      <c r="BXN135" s="548"/>
      <c r="BXO135" s="547"/>
      <c r="BXP135" s="547"/>
      <c r="BXQ135" s="547"/>
      <c r="BXR135" s="547"/>
      <c r="BXS135" s="548"/>
      <c r="BXT135" s="547"/>
      <c r="BXU135" s="547"/>
      <c r="BXV135" s="547"/>
      <c r="BXW135" s="547"/>
      <c r="BXX135" s="548"/>
      <c r="BXY135" s="547"/>
      <c r="BXZ135" s="547"/>
      <c r="BYA135" s="547"/>
      <c r="BYB135" s="549"/>
      <c r="BYC135" s="548"/>
      <c r="BYD135" s="549"/>
      <c r="BYE135" s="549"/>
      <c r="BYF135" s="549"/>
      <c r="BYG135" s="549"/>
      <c r="BYH135" s="548"/>
      <c r="BYI135" s="548"/>
      <c r="BYJ135" s="548"/>
      <c r="BYK135" s="548"/>
      <c r="BYL135" s="8"/>
      <c r="BYM135" s="8"/>
      <c r="BYN135" s="503"/>
      <c r="BYO135" s="8"/>
      <c r="BYP135" s="8"/>
      <c r="BYQ135" s="547"/>
      <c r="BYR135" s="547"/>
      <c r="BYS135" s="547"/>
      <c r="BYT135" s="547"/>
      <c r="BYU135" s="548"/>
      <c r="BYV135" s="547"/>
      <c r="BYW135" s="547"/>
      <c r="BYX135" s="547"/>
      <c r="BYY135" s="547"/>
      <c r="BYZ135" s="548"/>
      <c r="BZA135" s="547"/>
      <c r="BZB135" s="547"/>
      <c r="BZC135" s="547"/>
      <c r="BZD135" s="547"/>
      <c r="BZE135" s="548"/>
      <c r="BZF135" s="547"/>
      <c r="BZG135" s="547"/>
      <c r="BZH135" s="547"/>
      <c r="BZI135" s="549"/>
      <c r="BZJ135" s="548"/>
      <c r="BZK135" s="549"/>
      <c r="BZL135" s="549"/>
      <c r="BZM135" s="549"/>
      <c r="BZN135" s="549"/>
      <c r="BZO135" s="548"/>
      <c r="BZP135" s="548"/>
      <c r="BZQ135" s="548"/>
      <c r="BZR135" s="548"/>
      <c r="BZS135" s="8"/>
      <c r="BZT135" s="8"/>
      <c r="BZU135" s="503"/>
      <c r="BZV135" s="8"/>
      <c r="BZW135" s="8"/>
      <c r="BZX135" s="547"/>
      <c r="BZY135" s="547"/>
      <c r="BZZ135" s="547"/>
      <c r="CAA135" s="547"/>
      <c r="CAB135" s="548"/>
      <c r="CAC135" s="547"/>
      <c r="CAD135" s="547"/>
      <c r="CAE135" s="547"/>
      <c r="CAF135" s="547"/>
      <c r="CAG135" s="548"/>
      <c r="CAH135" s="547"/>
      <c r="CAI135" s="547"/>
      <c r="CAJ135" s="547"/>
      <c r="CAK135" s="547"/>
      <c r="CAL135" s="548"/>
      <c r="CAM135" s="547"/>
      <c r="CAN135" s="547"/>
      <c r="CAO135" s="547"/>
      <c r="CAP135" s="549"/>
      <c r="CAQ135" s="548"/>
      <c r="CAR135" s="549"/>
      <c r="CAS135" s="549"/>
      <c r="CAT135" s="549"/>
      <c r="CAU135" s="549"/>
      <c r="CAV135" s="548"/>
      <c r="CAW135" s="548"/>
      <c r="CAX135" s="548"/>
      <c r="CAY135" s="548"/>
      <c r="CAZ135" s="8"/>
      <c r="CBA135" s="8"/>
      <c r="CBB135" s="503"/>
      <c r="CBC135" s="8"/>
      <c r="CBD135" s="8"/>
      <c r="CBE135" s="547"/>
      <c r="CBF135" s="547"/>
      <c r="CBG135" s="547"/>
      <c r="CBH135" s="547"/>
      <c r="CBI135" s="548"/>
      <c r="CBJ135" s="547"/>
      <c r="CBK135" s="547"/>
      <c r="CBL135" s="547"/>
      <c r="CBM135" s="547"/>
      <c r="CBN135" s="548"/>
      <c r="CBO135" s="547"/>
      <c r="CBP135" s="547"/>
      <c r="CBQ135" s="547"/>
      <c r="CBR135" s="547"/>
      <c r="CBS135" s="548"/>
      <c r="CBT135" s="547"/>
      <c r="CBU135" s="547"/>
      <c r="CBV135" s="547"/>
      <c r="CBW135" s="549"/>
      <c r="CBX135" s="548"/>
      <c r="CBY135" s="549"/>
      <c r="CBZ135" s="549"/>
      <c r="CCA135" s="549"/>
      <c r="CCB135" s="549"/>
      <c r="CCC135" s="548"/>
      <c r="CCD135" s="548"/>
      <c r="CCE135" s="548"/>
      <c r="CCF135" s="548"/>
      <c r="CCG135" s="8"/>
      <c r="CCH135" s="8"/>
      <c r="CCI135" s="503"/>
      <c r="CCJ135" s="8"/>
      <c r="CCK135" s="8"/>
      <c r="CCL135" s="547"/>
      <c r="CCM135" s="547"/>
      <c r="CCN135" s="547"/>
      <c r="CCO135" s="547"/>
      <c r="CCP135" s="548"/>
      <c r="CCQ135" s="547"/>
      <c r="CCR135" s="547"/>
      <c r="CCS135" s="547"/>
      <c r="CCT135" s="547"/>
      <c r="CCU135" s="548"/>
      <c r="CCV135" s="547"/>
      <c r="CCW135" s="547"/>
      <c r="CCX135" s="547"/>
      <c r="CCY135" s="547"/>
      <c r="CCZ135" s="548"/>
      <c r="CDA135" s="547"/>
      <c r="CDB135" s="547"/>
      <c r="CDC135" s="547"/>
      <c r="CDD135" s="549"/>
      <c r="CDE135" s="548"/>
      <c r="CDF135" s="549"/>
      <c r="CDG135" s="549"/>
      <c r="CDH135" s="549"/>
      <c r="CDI135" s="549"/>
      <c r="CDJ135" s="548"/>
      <c r="CDK135" s="548"/>
      <c r="CDL135" s="548"/>
      <c r="CDM135" s="548"/>
      <c r="CDN135" s="8"/>
      <c r="CDO135" s="8"/>
      <c r="CDP135" s="503"/>
      <c r="CDQ135" s="8"/>
      <c r="CDR135" s="8"/>
      <c r="CDS135" s="547"/>
      <c r="CDT135" s="547"/>
      <c r="CDU135" s="547"/>
      <c r="CDV135" s="547"/>
      <c r="CDW135" s="548"/>
      <c r="CDX135" s="547"/>
      <c r="CDY135" s="547"/>
      <c r="CDZ135" s="547"/>
      <c r="CEA135" s="547"/>
      <c r="CEB135" s="548"/>
      <c r="CEC135" s="547"/>
      <c r="CED135" s="547"/>
      <c r="CEE135" s="547"/>
      <c r="CEF135" s="547"/>
      <c r="CEG135" s="548"/>
      <c r="CEH135" s="547"/>
      <c r="CEI135" s="547"/>
      <c r="CEJ135" s="547"/>
      <c r="CEK135" s="549"/>
      <c r="CEL135" s="548"/>
      <c r="CEM135" s="549"/>
      <c r="CEN135" s="549"/>
      <c r="CEO135" s="549"/>
      <c r="CEP135" s="549"/>
      <c r="CEQ135" s="548"/>
      <c r="CER135" s="548"/>
      <c r="CES135" s="548"/>
      <c r="CET135" s="548"/>
      <c r="CEU135" s="8"/>
      <c r="CEV135" s="8"/>
      <c r="CEW135" s="503"/>
      <c r="CEX135" s="8"/>
      <c r="CEY135" s="8"/>
      <c r="CEZ135" s="547"/>
      <c r="CFA135" s="547"/>
      <c r="CFB135" s="547"/>
      <c r="CFC135" s="547"/>
      <c r="CFD135" s="548"/>
      <c r="CFE135" s="547"/>
      <c r="CFF135" s="547"/>
      <c r="CFG135" s="547"/>
      <c r="CFH135" s="547"/>
      <c r="CFI135" s="548"/>
      <c r="CFJ135" s="547"/>
      <c r="CFK135" s="547"/>
      <c r="CFL135" s="547"/>
      <c r="CFM135" s="547"/>
      <c r="CFN135" s="548"/>
      <c r="CFO135" s="547"/>
      <c r="CFP135" s="547"/>
      <c r="CFQ135" s="547"/>
      <c r="CFR135" s="549"/>
      <c r="CFS135" s="548"/>
      <c r="CFT135" s="549"/>
      <c r="CFU135" s="549"/>
      <c r="CFV135" s="549"/>
      <c r="CFW135" s="549"/>
      <c r="CFX135" s="548"/>
      <c r="CFY135" s="548"/>
      <c r="CFZ135" s="548"/>
      <c r="CGA135" s="548"/>
      <c r="CGB135" s="8"/>
      <c r="CGC135" s="8"/>
      <c r="CGD135" s="503"/>
      <c r="CGE135" s="8"/>
      <c r="CGF135" s="8"/>
      <c r="CGG135" s="547"/>
      <c r="CGH135" s="547"/>
      <c r="CGI135" s="547"/>
      <c r="CGJ135" s="547"/>
      <c r="CGK135" s="548"/>
      <c r="CGL135" s="547"/>
      <c r="CGM135" s="547"/>
      <c r="CGN135" s="547"/>
      <c r="CGO135" s="547"/>
      <c r="CGP135" s="548"/>
      <c r="CGQ135" s="547"/>
      <c r="CGR135" s="547"/>
      <c r="CGS135" s="547"/>
      <c r="CGT135" s="547"/>
      <c r="CGU135" s="548"/>
      <c r="CGV135" s="547"/>
      <c r="CGW135" s="547"/>
      <c r="CGX135" s="547"/>
      <c r="CGY135" s="549"/>
      <c r="CGZ135" s="548"/>
      <c r="CHA135" s="549"/>
      <c r="CHB135" s="549"/>
      <c r="CHC135" s="549"/>
      <c r="CHD135" s="549"/>
      <c r="CHE135" s="548"/>
      <c r="CHF135" s="548"/>
      <c r="CHG135" s="548"/>
      <c r="CHH135" s="548"/>
      <c r="CHI135" s="8"/>
      <c r="CHJ135" s="8"/>
      <c r="CHK135" s="503"/>
      <c r="CHL135" s="8"/>
      <c r="CHM135" s="8"/>
      <c r="CHN135" s="547"/>
      <c r="CHO135" s="547"/>
      <c r="CHP135" s="547"/>
      <c r="CHQ135" s="547"/>
      <c r="CHR135" s="548"/>
      <c r="CHS135" s="547"/>
      <c r="CHT135" s="547"/>
      <c r="CHU135" s="547"/>
      <c r="CHV135" s="547"/>
      <c r="CHW135" s="548"/>
      <c r="CHX135" s="547"/>
      <c r="CHY135" s="547"/>
      <c r="CHZ135" s="547"/>
      <c r="CIA135" s="547"/>
      <c r="CIB135" s="548"/>
      <c r="CIC135" s="547"/>
      <c r="CID135" s="547"/>
      <c r="CIE135" s="547"/>
      <c r="CIF135" s="549"/>
      <c r="CIG135" s="548"/>
      <c r="CIH135" s="549"/>
      <c r="CII135" s="549"/>
      <c r="CIJ135" s="549"/>
      <c r="CIK135" s="549"/>
      <c r="CIL135" s="548"/>
      <c r="CIM135" s="548"/>
      <c r="CIN135" s="548"/>
      <c r="CIO135" s="548"/>
      <c r="CIP135" s="8"/>
      <c r="CIQ135" s="8"/>
      <c r="CIR135" s="503"/>
      <c r="CIS135" s="8"/>
      <c r="CIT135" s="8"/>
      <c r="CIU135" s="547"/>
      <c r="CIV135" s="547"/>
      <c r="CIW135" s="547"/>
      <c r="CIX135" s="547"/>
      <c r="CIY135" s="548"/>
      <c r="CIZ135" s="547"/>
      <c r="CJA135" s="547"/>
      <c r="CJB135" s="547"/>
      <c r="CJC135" s="547"/>
      <c r="CJD135" s="548"/>
      <c r="CJE135" s="547"/>
      <c r="CJF135" s="547"/>
      <c r="CJG135" s="547"/>
      <c r="CJH135" s="547"/>
      <c r="CJI135" s="548"/>
      <c r="CJJ135" s="547"/>
      <c r="CJK135" s="547"/>
      <c r="CJL135" s="547"/>
      <c r="CJM135" s="549"/>
      <c r="CJN135" s="548"/>
      <c r="CJO135" s="549"/>
      <c r="CJP135" s="549"/>
      <c r="CJQ135" s="549"/>
      <c r="CJR135" s="549"/>
      <c r="CJS135" s="548"/>
      <c r="CJT135" s="548"/>
      <c r="CJU135" s="548"/>
      <c r="CJV135" s="548"/>
      <c r="CJW135" s="8"/>
      <c r="CJX135" s="8"/>
      <c r="CJY135" s="503"/>
      <c r="CJZ135" s="8"/>
      <c r="CKA135" s="8"/>
      <c r="CKB135" s="547"/>
      <c r="CKC135" s="547"/>
      <c r="CKD135" s="547"/>
      <c r="CKE135" s="547"/>
      <c r="CKF135" s="548"/>
      <c r="CKG135" s="547"/>
      <c r="CKH135" s="547"/>
      <c r="CKI135" s="547"/>
      <c r="CKJ135" s="547"/>
      <c r="CKK135" s="548"/>
      <c r="CKL135" s="547"/>
      <c r="CKM135" s="547"/>
      <c r="CKN135" s="547"/>
      <c r="CKO135" s="547"/>
      <c r="CKP135" s="548"/>
      <c r="CKQ135" s="547"/>
      <c r="CKR135" s="547"/>
      <c r="CKS135" s="547"/>
      <c r="CKT135" s="549"/>
      <c r="CKU135" s="548"/>
      <c r="CKV135" s="549"/>
      <c r="CKW135" s="549"/>
      <c r="CKX135" s="549"/>
      <c r="CKY135" s="549"/>
      <c r="CKZ135" s="548"/>
      <c r="CLA135" s="548"/>
      <c r="CLB135" s="548"/>
      <c r="CLC135" s="548"/>
      <c r="CLD135" s="8"/>
      <c r="CLE135" s="8"/>
      <c r="CLF135" s="503"/>
      <c r="CLG135" s="8"/>
      <c r="CLH135" s="8"/>
      <c r="CLI135" s="547"/>
      <c r="CLJ135" s="547"/>
      <c r="CLK135" s="547"/>
      <c r="CLL135" s="547"/>
      <c r="CLM135" s="548"/>
      <c r="CLN135" s="547"/>
      <c r="CLO135" s="547"/>
      <c r="CLP135" s="547"/>
      <c r="CLQ135" s="547"/>
      <c r="CLR135" s="548"/>
      <c r="CLS135" s="547"/>
      <c r="CLT135" s="547"/>
      <c r="CLU135" s="547"/>
      <c r="CLV135" s="547"/>
      <c r="CLW135" s="548"/>
      <c r="CLX135" s="547"/>
      <c r="CLY135" s="547"/>
      <c r="CLZ135" s="547"/>
      <c r="CMA135" s="549"/>
      <c r="CMB135" s="548"/>
      <c r="CMC135" s="549"/>
      <c r="CMD135" s="549"/>
      <c r="CME135" s="549"/>
      <c r="CMF135" s="549"/>
      <c r="CMG135" s="548"/>
      <c r="CMH135" s="548"/>
      <c r="CMI135" s="548"/>
      <c r="CMJ135" s="548"/>
      <c r="CMK135" s="8"/>
      <c r="CML135" s="8"/>
      <c r="CMM135" s="503"/>
      <c r="CMN135" s="8"/>
      <c r="CMO135" s="8"/>
      <c r="CMP135" s="547"/>
      <c r="CMQ135" s="547"/>
      <c r="CMR135" s="547"/>
      <c r="CMS135" s="547"/>
      <c r="CMT135" s="548"/>
      <c r="CMU135" s="547"/>
      <c r="CMV135" s="547"/>
      <c r="CMW135" s="547"/>
      <c r="CMX135" s="547"/>
      <c r="CMY135" s="548"/>
      <c r="CMZ135" s="547"/>
      <c r="CNA135" s="547"/>
      <c r="CNB135" s="547"/>
      <c r="CNC135" s="547"/>
      <c r="CND135" s="548"/>
      <c r="CNE135" s="547"/>
      <c r="CNF135" s="547"/>
      <c r="CNG135" s="547"/>
      <c r="CNH135" s="549"/>
      <c r="CNI135" s="548"/>
      <c r="CNJ135" s="549"/>
      <c r="CNK135" s="549"/>
      <c r="CNL135" s="549"/>
      <c r="CNM135" s="549"/>
      <c r="CNN135" s="548"/>
      <c r="CNO135" s="548"/>
      <c r="CNP135" s="548"/>
      <c r="CNQ135" s="548"/>
      <c r="CNR135" s="8"/>
      <c r="CNS135" s="8"/>
      <c r="CNT135" s="503"/>
      <c r="CNU135" s="8"/>
      <c r="CNV135" s="8"/>
      <c r="CNW135" s="547"/>
      <c r="CNX135" s="547"/>
      <c r="CNY135" s="547"/>
      <c r="CNZ135" s="547"/>
      <c r="COA135" s="548"/>
      <c r="COB135" s="547"/>
      <c r="COC135" s="547"/>
      <c r="COD135" s="547"/>
      <c r="COE135" s="547"/>
      <c r="COF135" s="548"/>
      <c r="COG135" s="547"/>
      <c r="COH135" s="547"/>
      <c r="COI135" s="547"/>
      <c r="COJ135" s="547"/>
      <c r="COK135" s="548"/>
      <c r="COL135" s="547"/>
      <c r="COM135" s="547"/>
      <c r="CON135" s="547"/>
      <c r="COO135" s="549"/>
      <c r="COP135" s="548"/>
      <c r="COQ135" s="549"/>
      <c r="COR135" s="549"/>
      <c r="COS135" s="549"/>
      <c r="COT135" s="549"/>
      <c r="COU135" s="548"/>
      <c r="COV135" s="548"/>
      <c r="COW135" s="548"/>
      <c r="COX135" s="548"/>
      <c r="COY135" s="8"/>
      <c r="COZ135" s="8"/>
      <c r="CPA135" s="503"/>
      <c r="CPB135" s="8"/>
      <c r="CPC135" s="8"/>
      <c r="CPD135" s="547"/>
      <c r="CPE135" s="547"/>
      <c r="CPF135" s="547"/>
      <c r="CPG135" s="547"/>
      <c r="CPH135" s="548"/>
      <c r="CPI135" s="547"/>
      <c r="CPJ135" s="547"/>
      <c r="CPK135" s="547"/>
      <c r="CPL135" s="547"/>
      <c r="CPM135" s="548"/>
      <c r="CPN135" s="547"/>
      <c r="CPO135" s="547"/>
      <c r="CPP135" s="547"/>
      <c r="CPQ135" s="547"/>
      <c r="CPR135" s="548"/>
      <c r="CPS135" s="547"/>
      <c r="CPT135" s="547"/>
      <c r="CPU135" s="547"/>
      <c r="CPV135" s="549"/>
      <c r="CPW135" s="548"/>
      <c r="CPX135" s="549"/>
      <c r="CPY135" s="549"/>
      <c r="CPZ135" s="549"/>
      <c r="CQA135" s="549"/>
      <c r="CQB135" s="548"/>
      <c r="CQC135" s="548"/>
      <c r="CQD135" s="548"/>
      <c r="CQE135" s="548"/>
      <c r="CQF135" s="8"/>
      <c r="CQG135" s="8"/>
      <c r="CQH135" s="503"/>
      <c r="CQI135" s="8"/>
      <c r="CQJ135" s="8"/>
      <c r="CQK135" s="547"/>
      <c r="CQL135" s="547"/>
      <c r="CQM135" s="547"/>
      <c r="CQN135" s="547"/>
      <c r="CQO135" s="548"/>
      <c r="CQP135" s="547"/>
      <c r="CQQ135" s="547"/>
      <c r="CQR135" s="547"/>
      <c r="CQS135" s="547"/>
      <c r="CQT135" s="548"/>
      <c r="CQU135" s="547"/>
      <c r="CQV135" s="547"/>
      <c r="CQW135" s="547"/>
      <c r="CQX135" s="547"/>
      <c r="CQY135" s="548"/>
      <c r="CQZ135" s="547"/>
      <c r="CRA135" s="547"/>
      <c r="CRB135" s="547"/>
      <c r="CRC135" s="549"/>
      <c r="CRD135" s="548"/>
      <c r="CRE135" s="549"/>
      <c r="CRF135" s="549"/>
      <c r="CRG135" s="549"/>
      <c r="CRH135" s="549"/>
      <c r="CRI135" s="548"/>
      <c r="CRJ135" s="548"/>
      <c r="CRK135" s="548"/>
      <c r="CRL135" s="548"/>
      <c r="CRM135" s="8"/>
      <c r="CRN135" s="8"/>
      <c r="CRO135" s="503"/>
      <c r="CRP135" s="8"/>
      <c r="CRQ135" s="8"/>
      <c r="CRR135" s="547"/>
      <c r="CRS135" s="547"/>
      <c r="CRT135" s="547"/>
      <c r="CRU135" s="547"/>
      <c r="CRV135" s="548"/>
      <c r="CRW135" s="547"/>
      <c r="CRX135" s="547"/>
      <c r="CRY135" s="547"/>
      <c r="CRZ135" s="547"/>
      <c r="CSA135" s="548"/>
      <c r="CSB135" s="547"/>
      <c r="CSC135" s="547"/>
      <c r="CSD135" s="547"/>
      <c r="CSE135" s="547"/>
      <c r="CSF135" s="548"/>
      <c r="CSG135" s="547"/>
      <c r="CSH135" s="547"/>
      <c r="CSI135" s="547"/>
      <c r="CSJ135" s="549"/>
      <c r="CSK135" s="548"/>
      <c r="CSL135" s="549"/>
      <c r="CSM135" s="549"/>
      <c r="CSN135" s="549"/>
      <c r="CSO135" s="549"/>
      <c r="CSP135" s="548"/>
      <c r="CSQ135" s="548"/>
      <c r="CSR135" s="548"/>
      <c r="CSS135" s="548"/>
      <c r="CST135" s="8"/>
      <c r="CSU135" s="8"/>
      <c r="CSV135" s="503"/>
      <c r="CSW135" s="8"/>
      <c r="CSX135" s="8"/>
      <c r="CSY135" s="547"/>
      <c r="CSZ135" s="547"/>
      <c r="CTA135" s="547"/>
      <c r="CTB135" s="547"/>
      <c r="CTC135" s="548"/>
      <c r="CTD135" s="547"/>
      <c r="CTE135" s="547"/>
      <c r="CTF135" s="547"/>
      <c r="CTG135" s="547"/>
      <c r="CTH135" s="548"/>
      <c r="CTI135" s="547"/>
      <c r="CTJ135" s="547"/>
      <c r="CTK135" s="547"/>
      <c r="CTL135" s="547"/>
      <c r="CTM135" s="548"/>
      <c r="CTN135" s="547"/>
      <c r="CTO135" s="547"/>
      <c r="CTP135" s="547"/>
      <c r="CTQ135" s="549"/>
      <c r="CTR135" s="548"/>
      <c r="CTS135" s="549"/>
      <c r="CTT135" s="549"/>
      <c r="CTU135" s="549"/>
      <c r="CTV135" s="549"/>
      <c r="CTW135" s="548"/>
      <c r="CTX135" s="548"/>
      <c r="CTY135" s="548"/>
      <c r="CTZ135" s="548"/>
      <c r="CUA135" s="8"/>
      <c r="CUB135" s="8"/>
      <c r="CUC135" s="503"/>
      <c r="CUD135" s="8"/>
      <c r="CUE135" s="8"/>
      <c r="CUF135" s="547"/>
      <c r="CUG135" s="547"/>
      <c r="CUH135" s="547"/>
      <c r="CUI135" s="547"/>
      <c r="CUJ135" s="548"/>
      <c r="CUK135" s="547"/>
      <c r="CUL135" s="547"/>
      <c r="CUM135" s="547"/>
      <c r="CUN135" s="547"/>
      <c r="CUO135" s="548"/>
      <c r="CUP135" s="547"/>
      <c r="CUQ135" s="547"/>
      <c r="CUR135" s="547"/>
      <c r="CUS135" s="547"/>
      <c r="CUT135" s="548"/>
      <c r="CUU135" s="547"/>
      <c r="CUV135" s="547"/>
      <c r="CUW135" s="547"/>
      <c r="CUX135" s="549"/>
      <c r="CUY135" s="548"/>
      <c r="CUZ135" s="549"/>
      <c r="CVA135" s="549"/>
      <c r="CVB135" s="549"/>
      <c r="CVC135" s="549"/>
      <c r="CVD135" s="548"/>
      <c r="CVE135" s="548"/>
      <c r="CVF135" s="548"/>
      <c r="CVG135" s="548"/>
      <c r="CVH135" s="8"/>
      <c r="CVI135" s="8"/>
      <c r="CVJ135" s="503"/>
      <c r="CVK135" s="8"/>
      <c r="CVL135" s="8"/>
      <c r="CVM135" s="547"/>
      <c r="CVN135" s="547"/>
      <c r="CVO135" s="547"/>
      <c r="CVP135" s="547"/>
      <c r="CVQ135" s="548"/>
      <c r="CVR135" s="547"/>
      <c r="CVS135" s="547"/>
      <c r="CVT135" s="547"/>
      <c r="CVU135" s="547"/>
      <c r="CVV135" s="548"/>
      <c r="CVW135" s="547"/>
      <c r="CVX135" s="547"/>
      <c r="CVY135" s="547"/>
      <c r="CVZ135" s="547"/>
      <c r="CWA135" s="548"/>
      <c r="CWB135" s="547"/>
      <c r="CWC135" s="547"/>
      <c r="CWD135" s="547"/>
      <c r="CWE135" s="549"/>
      <c r="CWF135" s="548"/>
      <c r="CWG135" s="549"/>
      <c r="CWH135" s="549"/>
      <c r="CWI135" s="549"/>
      <c r="CWJ135" s="549"/>
      <c r="CWK135" s="548"/>
      <c r="CWL135" s="548"/>
      <c r="CWM135" s="548"/>
      <c r="CWN135" s="548"/>
      <c r="CWO135" s="8"/>
      <c r="CWP135" s="8"/>
      <c r="CWQ135" s="503"/>
      <c r="CWR135" s="8"/>
      <c r="CWS135" s="8"/>
      <c r="CWT135" s="547"/>
      <c r="CWU135" s="547"/>
      <c r="CWV135" s="547"/>
      <c r="CWW135" s="547"/>
      <c r="CWX135" s="548"/>
      <c r="CWY135" s="547"/>
      <c r="CWZ135" s="547"/>
      <c r="CXA135" s="547"/>
      <c r="CXB135" s="547"/>
      <c r="CXC135" s="548"/>
      <c r="CXD135" s="547"/>
      <c r="CXE135" s="547"/>
      <c r="CXF135" s="547"/>
      <c r="CXG135" s="547"/>
      <c r="CXH135" s="548"/>
      <c r="CXI135" s="547"/>
      <c r="CXJ135" s="547"/>
      <c r="CXK135" s="547"/>
      <c r="CXL135" s="549"/>
      <c r="CXM135" s="548"/>
      <c r="CXN135" s="549"/>
      <c r="CXO135" s="549"/>
      <c r="CXP135" s="549"/>
      <c r="CXQ135" s="549"/>
      <c r="CXR135" s="548"/>
      <c r="CXS135" s="548"/>
      <c r="CXT135" s="548"/>
      <c r="CXU135" s="548"/>
      <c r="CXV135" s="8"/>
      <c r="CXW135" s="8"/>
      <c r="CXX135" s="503"/>
      <c r="CXY135" s="8"/>
      <c r="CXZ135" s="8"/>
      <c r="CYA135" s="547"/>
      <c r="CYB135" s="547"/>
      <c r="CYC135" s="547"/>
      <c r="CYD135" s="547"/>
      <c r="CYE135" s="548"/>
      <c r="CYF135" s="547"/>
      <c r="CYG135" s="547"/>
      <c r="CYH135" s="547"/>
      <c r="CYI135" s="547"/>
      <c r="CYJ135" s="548"/>
      <c r="CYK135" s="547"/>
      <c r="CYL135" s="547"/>
      <c r="CYM135" s="547"/>
      <c r="CYN135" s="547"/>
      <c r="CYO135" s="548"/>
      <c r="CYP135" s="547"/>
      <c r="CYQ135" s="547"/>
      <c r="CYR135" s="547"/>
      <c r="CYS135" s="549"/>
      <c r="CYT135" s="548"/>
      <c r="CYU135" s="549"/>
      <c r="CYV135" s="549"/>
      <c r="CYW135" s="549"/>
      <c r="CYX135" s="549"/>
      <c r="CYY135" s="548"/>
      <c r="CYZ135" s="548"/>
      <c r="CZA135" s="548"/>
      <c r="CZB135" s="548"/>
      <c r="CZC135" s="8"/>
      <c r="CZD135" s="8"/>
      <c r="CZE135" s="503"/>
      <c r="CZF135" s="8"/>
      <c r="CZG135" s="8"/>
      <c r="CZH135" s="547"/>
      <c r="CZI135" s="547"/>
      <c r="CZJ135" s="547"/>
      <c r="CZK135" s="547"/>
      <c r="CZL135" s="548"/>
      <c r="CZM135" s="547"/>
      <c r="CZN135" s="547"/>
      <c r="CZO135" s="547"/>
      <c r="CZP135" s="547"/>
      <c r="CZQ135" s="548"/>
      <c r="CZR135" s="547"/>
      <c r="CZS135" s="547"/>
      <c r="CZT135" s="547"/>
      <c r="CZU135" s="547"/>
      <c r="CZV135" s="548"/>
      <c r="CZW135" s="547"/>
      <c r="CZX135" s="547"/>
      <c r="CZY135" s="547"/>
      <c r="CZZ135" s="549"/>
      <c r="DAA135" s="548"/>
      <c r="DAB135" s="549"/>
      <c r="DAC135" s="549"/>
      <c r="DAD135" s="549"/>
      <c r="DAE135" s="549"/>
      <c r="DAF135" s="548"/>
      <c r="DAG135" s="548"/>
      <c r="DAH135" s="548"/>
      <c r="DAI135" s="548"/>
      <c r="DAJ135" s="8"/>
      <c r="DAK135" s="8"/>
      <c r="DAL135" s="503"/>
      <c r="DAM135" s="8"/>
      <c r="DAN135" s="8"/>
      <c r="DAO135" s="547"/>
      <c r="DAP135" s="547"/>
      <c r="DAQ135" s="547"/>
      <c r="DAR135" s="547"/>
      <c r="DAS135" s="548"/>
      <c r="DAT135" s="547"/>
      <c r="DAU135" s="547"/>
      <c r="DAV135" s="547"/>
      <c r="DAW135" s="547"/>
      <c r="DAX135" s="548"/>
      <c r="DAY135" s="547"/>
      <c r="DAZ135" s="547"/>
      <c r="DBA135" s="547"/>
      <c r="DBB135" s="547"/>
      <c r="DBC135" s="548"/>
      <c r="DBD135" s="547"/>
      <c r="DBE135" s="547"/>
      <c r="DBF135" s="547"/>
      <c r="DBG135" s="549"/>
      <c r="DBH135" s="548"/>
      <c r="DBI135" s="549"/>
      <c r="DBJ135" s="549"/>
      <c r="DBK135" s="549"/>
      <c r="DBL135" s="549"/>
      <c r="DBM135" s="548"/>
      <c r="DBN135" s="548"/>
      <c r="DBO135" s="548"/>
      <c r="DBP135" s="548"/>
      <c r="DBQ135" s="8"/>
      <c r="DBR135" s="8"/>
      <c r="DBS135" s="503"/>
      <c r="DBT135" s="8"/>
      <c r="DBU135" s="8"/>
      <c r="DBV135" s="547"/>
      <c r="DBW135" s="547"/>
      <c r="DBX135" s="547"/>
      <c r="DBY135" s="547"/>
      <c r="DBZ135" s="548"/>
      <c r="DCA135" s="547"/>
      <c r="DCB135" s="547"/>
      <c r="DCC135" s="547"/>
      <c r="DCD135" s="547"/>
      <c r="DCE135" s="548"/>
      <c r="DCF135" s="547"/>
      <c r="DCG135" s="547"/>
      <c r="DCH135" s="547"/>
      <c r="DCI135" s="547"/>
      <c r="DCJ135" s="548"/>
      <c r="DCK135" s="547"/>
      <c r="DCL135" s="547"/>
      <c r="DCM135" s="547"/>
      <c r="DCN135" s="549"/>
      <c r="DCO135" s="548"/>
      <c r="DCP135" s="549"/>
      <c r="DCQ135" s="549"/>
      <c r="DCR135" s="549"/>
      <c r="DCS135" s="549"/>
      <c r="DCT135" s="548"/>
      <c r="DCU135" s="548"/>
      <c r="DCV135" s="548"/>
      <c r="DCW135" s="548"/>
      <c r="DCX135" s="8"/>
      <c r="DCY135" s="8"/>
      <c r="DCZ135" s="503"/>
      <c r="DDA135" s="8"/>
      <c r="DDB135" s="8"/>
      <c r="DDC135" s="547"/>
      <c r="DDD135" s="547"/>
      <c r="DDE135" s="547"/>
      <c r="DDF135" s="547"/>
      <c r="DDG135" s="548"/>
      <c r="DDH135" s="547"/>
      <c r="DDI135" s="547"/>
      <c r="DDJ135" s="547"/>
      <c r="DDK135" s="547"/>
      <c r="DDL135" s="548"/>
      <c r="DDM135" s="547"/>
      <c r="DDN135" s="547"/>
      <c r="DDO135" s="547"/>
      <c r="DDP135" s="547"/>
      <c r="DDQ135" s="548"/>
      <c r="DDR135" s="547"/>
      <c r="DDS135" s="547"/>
      <c r="DDT135" s="547"/>
      <c r="DDU135" s="549"/>
      <c r="DDV135" s="548"/>
      <c r="DDW135" s="549"/>
      <c r="DDX135" s="549"/>
      <c r="DDY135" s="549"/>
      <c r="DDZ135" s="549"/>
      <c r="DEA135" s="548"/>
      <c r="DEB135" s="548"/>
      <c r="DEC135" s="548"/>
      <c r="DED135" s="548"/>
      <c r="DEE135" s="8"/>
      <c r="DEF135" s="8"/>
      <c r="DEG135" s="503"/>
      <c r="DEH135" s="8"/>
      <c r="DEI135" s="8"/>
      <c r="DEJ135" s="547"/>
      <c r="DEK135" s="547"/>
      <c r="DEL135" s="547"/>
      <c r="DEM135" s="547"/>
      <c r="DEN135" s="548"/>
      <c r="DEO135" s="547"/>
      <c r="DEP135" s="547"/>
      <c r="DEQ135" s="547"/>
      <c r="DER135" s="547"/>
      <c r="DES135" s="548"/>
      <c r="DET135" s="547"/>
      <c r="DEU135" s="547"/>
      <c r="DEV135" s="547"/>
      <c r="DEW135" s="547"/>
      <c r="DEX135" s="548"/>
      <c r="DEY135" s="547"/>
      <c r="DEZ135" s="547"/>
      <c r="DFA135" s="547"/>
      <c r="DFB135" s="549"/>
      <c r="DFC135" s="548"/>
      <c r="DFD135" s="549"/>
      <c r="DFE135" s="549"/>
      <c r="DFF135" s="549"/>
      <c r="DFG135" s="549"/>
      <c r="DFH135" s="548"/>
      <c r="DFI135" s="548"/>
      <c r="DFJ135" s="548"/>
      <c r="DFK135" s="548"/>
      <c r="DFL135" s="8"/>
      <c r="DFM135" s="8"/>
      <c r="DFN135" s="503"/>
      <c r="DFO135" s="8"/>
      <c r="DFP135" s="8"/>
      <c r="DFQ135" s="547"/>
      <c r="DFR135" s="547"/>
      <c r="DFS135" s="547"/>
      <c r="DFT135" s="547"/>
      <c r="DFU135" s="548"/>
      <c r="DFV135" s="547"/>
      <c r="DFW135" s="547"/>
      <c r="DFX135" s="547"/>
      <c r="DFY135" s="547"/>
      <c r="DFZ135" s="548"/>
      <c r="DGA135" s="547"/>
      <c r="DGB135" s="547"/>
      <c r="DGC135" s="547"/>
      <c r="DGD135" s="547"/>
      <c r="DGE135" s="548"/>
      <c r="DGF135" s="547"/>
      <c r="DGG135" s="547"/>
      <c r="DGH135" s="547"/>
      <c r="DGI135" s="549"/>
      <c r="DGJ135" s="548"/>
      <c r="DGK135" s="549"/>
      <c r="DGL135" s="549"/>
      <c r="DGM135" s="549"/>
      <c r="DGN135" s="549"/>
      <c r="DGO135" s="548"/>
      <c r="DGP135" s="548"/>
      <c r="DGQ135" s="548"/>
      <c r="DGR135" s="548"/>
      <c r="DGS135" s="8"/>
      <c r="DGT135" s="8"/>
      <c r="DGU135" s="503"/>
      <c r="DGV135" s="8"/>
      <c r="DGW135" s="8"/>
      <c r="DGX135" s="547"/>
      <c r="DGY135" s="547"/>
      <c r="DGZ135" s="547"/>
      <c r="DHA135" s="547"/>
      <c r="DHB135" s="548"/>
      <c r="DHC135" s="547"/>
      <c r="DHD135" s="547"/>
      <c r="DHE135" s="547"/>
      <c r="DHF135" s="547"/>
      <c r="DHG135" s="548"/>
      <c r="DHH135" s="547"/>
      <c r="DHI135" s="547"/>
      <c r="DHJ135" s="547"/>
      <c r="DHK135" s="547"/>
      <c r="DHL135" s="548"/>
      <c r="DHM135" s="547"/>
      <c r="DHN135" s="547"/>
      <c r="DHO135" s="547"/>
      <c r="DHP135" s="549"/>
      <c r="DHQ135" s="548"/>
      <c r="DHR135" s="549"/>
      <c r="DHS135" s="549"/>
      <c r="DHT135" s="549"/>
      <c r="DHU135" s="549"/>
      <c r="DHV135" s="548"/>
      <c r="DHW135" s="548"/>
      <c r="DHX135" s="548"/>
      <c r="DHY135" s="548"/>
      <c r="DHZ135" s="8"/>
      <c r="DIA135" s="8"/>
      <c r="DIB135" s="503"/>
      <c r="DIC135" s="8"/>
      <c r="DID135" s="8"/>
      <c r="DIE135" s="547"/>
      <c r="DIF135" s="547"/>
      <c r="DIG135" s="547"/>
      <c r="DIH135" s="547"/>
      <c r="DII135" s="548"/>
      <c r="DIJ135" s="547"/>
      <c r="DIK135" s="547"/>
      <c r="DIL135" s="547"/>
      <c r="DIM135" s="547"/>
      <c r="DIN135" s="548"/>
      <c r="DIO135" s="547"/>
      <c r="DIP135" s="547"/>
      <c r="DIQ135" s="547"/>
      <c r="DIR135" s="547"/>
      <c r="DIS135" s="548"/>
      <c r="DIT135" s="547"/>
      <c r="DIU135" s="547"/>
      <c r="DIV135" s="547"/>
      <c r="DIW135" s="549"/>
      <c r="DIX135" s="548"/>
      <c r="DIY135" s="549"/>
      <c r="DIZ135" s="549"/>
      <c r="DJA135" s="549"/>
      <c r="DJB135" s="549"/>
      <c r="DJC135" s="548"/>
      <c r="DJD135" s="548"/>
      <c r="DJE135" s="548"/>
      <c r="DJF135" s="548"/>
      <c r="DJG135" s="8"/>
      <c r="DJH135" s="8"/>
      <c r="DJI135" s="503"/>
      <c r="DJJ135" s="8"/>
      <c r="DJK135" s="8"/>
      <c r="DJL135" s="547"/>
      <c r="DJM135" s="547"/>
      <c r="DJN135" s="547"/>
      <c r="DJO135" s="547"/>
      <c r="DJP135" s="548"/>
      <c r="DJQ135" s="547"/>
      <c r="DJR135" s="547"/>
      <c r="DJS135" s="547"/>
      <c r="DJT135" s="547"/>
      <c r="DJU135" s="548"/>
      <c r="DJV135" s="547"/>
      <c r="DJW135" s="547"/>
      <c r="DJX135" s="547"/>
      <c r="DJY135" s="547"/>
      <c r="DJZ135" s="548"/>
      <c r="DKA135" s="547"/>
      <c r="DKB135" s="547"/>
      <c r="DKC135" s="547"/>
      <c r="DKD135" s="549"/>
      <c r="DKE135" s="548"/>
      <c r="DKF135" s="549"/>
      <c r="DKG135" s="549"/>
      <c r="DKH135" s="549"/>
      <c r="DKI135" s="549"/>
      <c r="DKJ135" s="548"/>
      <c r="DKK135" s="548"/>
      <c r="DKL135" s="548"/>
      <c r="DKM135" s="548"/>
      <c r="DKN135" s="8"/>
      <c r="DKO135" s="8"/>
      <c r="DKP135" s="503"/>
      <c r="DKQ135" s="8"/>
      <c r="DKR135" s="8"/>
      <c r="DKS135" s="547"/>
      <c r="DKT135" s="547"/>
      <c r="DKU135" s="547"/>
      <c r="DKV135" s="547"/>
      <c r="DKW135" s="548"/>
      <c r="DKX135" s="547"/>
      <c r="DKY135" s="547"/>
      <c r="DKZ135" s="547"/>
      <c r="DLA135" s="547"/>
      <c r="DLB135" s="548"/>
      <c r="DLC135" s="547"/>
      <c r="DLD135" s="547"/>
      <c r="DLE135" s="547"/>
      <c r="DLF135" s="547"/>
      <c r="DLG135" s="548"/>
      <c r="DLH135" s="547"/>
      <c r="DLI135" s="547"/>
      <c r="DLJ135" s="547"/>
      <c r="DLK135" s="549"/>
      <c r="DLL135" s="548"/>
      <c r="DLM135" s="549"/>
      <c r="DLN135" s="549"/>
      <c r="DLO135" s="549"/>
      <c r="DLP135" s="549"/>
      <c r="DLQ135" s="548"/>
      <c r="DLR135" s="548"/>
      <c r="DLS135" s="548"/>
      <c r="DLT135" s="548"/>
      <c r="DLU135" s="8"/>
      <c r="DLV135" s="8"/>
      <c r="DLW135" s="503"/>
      <c r="DLX135" s="8"/>
      <c r="DLY135" s="8"/>
      <c r="DLZ135" s="547"/>
      <c r="DMA135" s="547"/>
      <c r="DMB135" s="547"/>
      <c r="DMC135" s="547"/>
      <c r="DMD135" s="548"/>
      <c r="DME135" s="547"/>
      <c r="DMF135" s="547"/>
      <c r="DMG135" s="547"/>
      <c r="DMH135" s="547"/>
      <c r="DMI135" s="548"/>
      <c r="DMJ135" s="547"/>
      <c r="DMK135" s="547"/>
      <c r="DML135" s="547"/>
      <c r="DMM135" s="547"/>
      <c r="DMN135" s="548"/>
      <c r="DMO135" s="547"/>
      <c r="DMP135" s="547"/>
      <c r="DMQ135" s="547"/>
      <c r="DMR135" s="549"/>
      <c r="DMS135" s="548"/>
      <c r="DMT135" s="549"/>
      <c r="DMU135" s="549"/>
      <c r="DMV135" s="549"/>
      <c r="DMW135" s="549"/>
      <c r="DMX135" s="548"/>
      <c r="DMY135" s="548"/>
      <c r="DMZ135" s="548"/>
      <c r="DNA135" s="548"/>
      <c r="DNB135" s="8"/>
      <c r="DNC135" s="8"/>
      <c r="DND135" s="503"/>
      <c r="DNE135" s="8"/>
      <c r="DNF135" s="8"/>
      <c r="DNG135" s="547"/>
      <c r="DNH135" s="547"/>
      <c r="DNI135" s="547"/>
      <c r="DNJ135" s="547"/>
      <c r="DNK135" s="548"/>
      <c r="DNL135" s="547"/>
      <c r="DNM135" s="547"/>
      <c r="DNN135" s="547"/>
      <c r="DNO135" s="547"/>
      <c r="DNP135" s="548"/>
      <c r="DNQ135" s="547"/>
      <c r="DNR135" s="547"/>
      <c r="DNS135" s="547"/>
      <c r="DNT135" s="547"/>
      <c r="DNU135" s="548"/>
      <c r="DNV135" s="547"/>
      <c r="DNW135" s="547"/>
      <c r="DNX135" s="547"/>
      <c r="DNY135" s="549"/>
      <c r="DNZ135" s="548"/>
      <c r="DOA135" s="549"/>
      <c r="DOB135" s="549"/>
      <c r="DOC135" s="549"/>
      <c r="DOD135" s="549"/>
      <c r="DOE135" s="548"/>
      <c r="DOF135" s="548"/>
      <c r="DOG135" s="548"/>
      <c r="DOH135" s="548"/>
      <c r="DOI135" s="8"/>
      <c r="DOJ135" s="8"/>
      <c r="DOK135" s="503"/>
      <c r="DOL135" s="8"/>
      <c r="DOM135" s="8"/>
      <c r="DON135" s="547"/>
      <c r="DOO135" s="547"/>
      <c r="DOP135" s="547"/>
      <c r="DOQ135" s="547"/>
      <c r="DOR135" s="548"/>
      <c r="DOS135" s="547"/>
      <c r="DOT135" s="547"/>
      <c r="DOU135" s="547"/>
      <c r="DOV135" s="547"/>
      <c r="DOW135" s="548"/>
      <c r="DOX135" s="547"/>
      <c r="DOY135" s="547"/>
      <c r="DOZ135" s="547"/>
      <c r="DPA135" s="547"/>
      <c r="DPB135" s="548"/>
      <c r="DPC135" s="547"/>
      <c r="DPD135" s="547"/>
      <c r="DPE135" s="547"/>
      <c r="DPF135" s="549"/>
      <c r="DPG135" s="548"/>
      <c r="DPH135" s="549"/>
      <c r="DPI135" s="549"/>
      <c r="DPJ135" s="549"/>
      <c r="DPK135" s="549"/>
      <c r="DPL135" s="548"/>
      <c r="DPM135" s="548"/>
      <c r="DPN135" s="548"/>
      <c r="DPO135" s="548"/>
      <c r="DPP135" s="8"/>
      <c r="DPQ135" s="8"/>
      <c r="DPR135" s="503"/>
      <c r="DPS135" s="8"/>
      <c r="DPT135" s="8"/>
      <c r="DPU135" s="547"/>
      <c r="DPV135" s="547"/>
      <c r="DPW135" s="547"/>
      <c r="DPX135" s="547"/>
      <c r="DPY135" s="548"/>
      <c r="DPZ135" s="547"/>
      <c r="DQA135" s="547"/>
      <c r="DQB135" s="547"/>
      <c r="DQC135" s="547"/>
      <c r="DQD135" s="548"/>
      <c r="DQE135" s="547"/>
      <c r="DQF135" s="547"/>
      <c r="DQG135" s="547"/>
      <c r="DQH135" s="547"/>
      <c r="DQI135" s="548"/>
      <c r="DQJ135" s="547"/>
      <c r="DQK135" s="547"/>
      <c r="DQL135" s="547"/>
      <c r="DQM135" s="549"/>
      <c r="DQN135" s="548"/>
      <c r="DQO135" s="549"/>
      <c r="DQP135" s="549"/>
      <c r="DQQ135" s="549"/>
      <c r="DQR135" s="549"/>
      <c r="DQS135" s="548"/>
      <c r="DQT135" s="548"/>
      <c r="DQU135" s="548"/>
      <c r="DQV135" s="548"/>
      <c r="DQW135" s="8"/>
      <c r="DQX135" s="8"/>
      <c r="DQY135" s="503"/>
      <c r="DQZ135" s="8"/>
      <c r="DRA135" s="8"/>
      <c r="DRB135" s="547"/>
      <c r="DRC135" s="547"/>
      <c r="DRD135" s="547"/>
      <c r="DRE135" s="547"/>
      <c r="DRF135" s="548"/>
      <c r="DRG135" s="547"/>
      <c r="DRH135" s="547"/>
      <c r="DRI135" s="547"/>
      <c r="DRJ135" s="547"/>
      <c r="DRK135" s="548"/>
      <c r="DRL135" s="547"/>
      <c r="DRM135" s="547"/>
      <c r="DRN135" s="547"/>
      <c r="DRO135" s="547"/>
      <c r="DRP135" s="548"/>
      <c r="DRQ135" s="547"/>
      <c r="DRR135" s="547"/>
      <c r="DRS135" s="547"/>
      <c r="DRT135" s="549"/>
      <c r="DRU135" s="548"/>
      <c r="DRV135" s="549"/>
      <c r="DRW135" s="549"/>
      <c r="DRX135" s="549"/>
      <c r="DRY135" s="549"/>
      <c r="DRZ135" s="548"/>
      <c r="DSA135" s="548"/>
      <c r="DSB135" s="548"/>
      <c r="DSC135" s="548"/>
      <c r="DSD135" s="8"/>
      <c r="DSE135" s="8"/>
      <c r="DSF135" s="503"/>
      <c r="DSG135" s="8"/>
      <c r="DSH135" s="8"/>
      <c r="DSI135" s="547"/>
      <c r="DSJ135" s="547"/>
      <c r="DSK135" s="547"/>
      <c r="DSL135" s="547"/>
      <c r="DSM135" s="548"/>
      <c r="DSN135" s="547"/>
      <c r="DSO135" s="547"/>
      <c r="DSP135" s="547"/>
      <c r="DSQ135" s="547"/>
      <c r="DSR135" s="548"/>
      <c r="DSS135" s="547"/>
      <c r="DST135" s="547"/>
      <c r="DSU135" s="547"/>
      <c r="DSV135" s="547"/>
      <c r="DSW135" s="548"/>
      <c r="DSX135" s="547"/>
      <c r="DSY135" s="547"/>
      <c r="DSZ135" s="547"/>
      <c r="DTA135" s="549"/>
      <c r="DTB135" s="548"/>
      <c r="DTC135" s="549"/>
      <c r="DTD135" s="549"/>
      <c r="DTE135" s="549"/>
      <c r="DTF135" s="549"/>
      <c r="DTG135" s="548"/>
      <c r="DTH135" s="548"/>
      <c r="DTI135" s="548"/>
      <c r="DTJ135" s="548"/>
      <c r="DTK135" s="8"/>
      <c r="DTL135" s="8"/>
      <c r="DTM135" s="503"/>
      <c r="DTN135" s="8"/>
      <c r="DTO135" s="8"/>
      <c r="DTP135" s="547"/>
      <c r="DTQ135" s="547"/>
      <c r="DTR135" s="547"/>
      <c r="DTS135" s="547"/>
      <c r="DTT135" s="548"/>
      <c r="DTU135" s="547"/>
      <c r="DTV135" s="547"/>
      <c r="DTW135" s="547"/>
      <c r="DTX135" s="547"/>
      <c r="DTY135" s="548"/>
      <c r="DTZ135" s="547"/>
      <c r="DUA135" s="547"/>
      <c r="DUB135" s="547"/>
      <c r="DUC135" s="547"/>
      <c r="DUD135" s="548"/>
      <c r="DUE135" s="547"/>
      <c r="DUF135" s="547"/>
      <c r="DUG135" s="547"/>
      <c r="DUH135" s="549"/>
      <c r="DUI135" s="548"/>
      <c r="DUJ135" s="549"/>
      <c r="DUK135" s="549"/>
      <c r="DUL135" s="549"/>
      <c r="DUM135" s="549"/>
      <c r="DUN135" s="548"/>
      <c r="DUO135" s="548"/>
      <c r="DUP135" s="548"/>
      <c r="DUQ135" s="548"/>
      <c r="DUR135" s="8"/>
      <c r="DUS135" s="8"/>
      <c r="DUT135" s="503"/>
      <c r="DUU135" s="8"/>
      <c r="DUV135" s="8"/>
      <c r="DUW135" s="547"/>
      <c r="DUX135" s="547"/>
      <c r="DUY135" s="547"/>
      <c r="DUZ135" s="547"/>
      <c r="DVA135" s="548"/>
      <c r="DVB135" s="547"/>
      <c r="DVC135" s="547"/>
      <c r="DVD135" s="547"/>
      <c r="DVE135" s="547"/>
      <c r="DVF135" s="548"/>
      <c r="DVG135" s="547"/>
      <c r="DVH135" s="547"/>
      <c r="DVI135" s="547"/>
      <c r="DVJ135" s="547"/>
      <c r="DVK135" s="548"/>
      <c r="DVL135" s="547"/>
      <c r="DVM135" s="547"/>
      <c r="DVN135" s="547"/>
      <c r="DVO135" s="549"/>
      <c r="DVP135" s="548"/>
      <c r="DVQ135" s="549"/>
      <c r="DVR135" s="549"/>
      <c r="DVS135" s="549"/>
      <c r="DVT135" s="549"/>
      <c r="DVU135" s="548"/>
      <c r="DVV135" s="548"/>
      <c r="DVW135" s="548"/>
      <c r="DVX135" s="548"/>
      <c r="DVY135" s="8"/>
      <c r="DVZ135" s="8"/>
      <c r="DWA135" s="503"/>
      <c r="DWB135" s="8"/>
      <c r="DWC135" s="8"/>
      <c r="DWD135" s="547"/>
      <c r="DWE135" s="547"/>
      <c r="DWF135" s="547"/>
      <c r="DWG135" s="547"/>
      <c r="DWH135" s="548"/>
      <c r="DWI135" s="547"/>
      <c r="DWJ135" s="547"/>
      <c r="DWK135" s="547"/>
      <c r="DWL135" s="547"/>
      <c r="DWM135" s="548"/>
      <c r="DWN135" s="547"/>
      <c r="DWO135" s="547"/>
      <c r="DWP135" s="547"/>
      <c r="DWQ135" s="547"/>
      <c r="DWR135" s="548"/>
      <c r="DWS135" s="547"/>
      <c r="DWT135" s="547"/>
      <c r="DWU135" s="547"/>
      <c r="DWV135" s="549"/>
      <c r="DWW135" s="548"/>
      <c r="DWX135" s="549"/>
      <c r="DWY135" s="549"/>
      <c r="DWZ135" s="549"/>
      <c r="DXA135" s="549"/>
      <c r="DXB135" s="548"/>
      <c r="DXC135" s="548"/>
      <c r="DXD135" s="548"/>
      <c r="DXE135" s="548"/>
      <c r="DXF135" s="8"/>
      <c r="DXG135" s="8"/>
      <c r="DXH135" s="503"/>
      <c r="DXI135" s="8"/>
      <c r="DXJ135" s="8"/>
      <c r="DXK135" s="547"/>
      <c r="DXL135" s="547"/>
      <c r="DXM135" s="547"/>
      <c r="DXN135" s="547"/>
      <c r="DXO135" s="548"/>
      <c r="DXP135" s="547"/>
      <c r="DXQ135" s="547"/>
      <c r="DXR135" s="547"/>
      <c r="DXS135" s="547"/>
      <c r="DXT135" s="548"/>
      <c r="DXU135" s="547"/>
      <c r="DXV135" s="547"/>
      <c r="DXW135" s="547"/>
      <c r="DXX135" s="547"/>
      <c r="DXY135" s="548"/>
      <c r="DXZ135" s="547"/>
      <c r="DYA135" s="547"/>
      <c r="DYB135" s="547"/>
      <c r="DYC135" s="549"/>
      <c r="DYD135" s="548"/>
      <c r="DYE135" s="549"/>
      <c r="DYF135" s="549"/>
      <c r="DYG135" s="549"/>
      <c r="DYH135" s="549"/>
      <c r="DYI135" s="548"/>
      <c r="DYJ135" s="548"/>
      <c r="DYK135" s="548"/>
      <c r="DYL135" s="548"/>
      <c r="DYM135" s="8"/>
      <c r="DYN135" s="8"/>
      <c r="DYO135" s="503"/>
      <c r="DYP135" s="8"/>
      <c r="DYQ135" s="8"/>
      <c r="DYR135" s="547"/>
      <c r="DYS135" s="547"/>
      <c r="DYT135" s="547"/>
      <c r="DYU135" s="547"/>
      <c r="DYV135" s="548"/>
      <c r="DYW135" s="547"/>
      <c r="DYX135" s="547"/>
      <c r="DYY135" s="547"/>
      <c r="DYZ135" s="547"/>
      <c r="DZA135" s="548"/>
      <c r="DZB135" s="547"/>
      <c r="DZC135" s="547"/>
      <c r="DZD135" s="547"/>
      <c r="DZE135" s="547"/>
      <c r="DZF135" s="548"/>
      <c r="DZG135" s="547"/>
      <c r="DZH135" s="547"/>
      <c r="DZI135" s="547"/>
      <c r="DZJ135" s="549"/>
      <c r="DZK135" s="548"/>
      <c r="DZL135" s="549"/>
      <c r="DZM135" s="549"/>
      <c r="DZN135" s="549"/>
      <c r="DZO135" s="549"/>
      <c r="DZP135" s="548"/>
      <c r="DZQ135" s="548"/>
      <c r="DZR135" s="548"/>
      <c r="DZS135" s="548"/>
      <c r="DZT135" s="8"/>
      <c r="DZU135" s="8"/>
      <c r="DZV135" s="503"/>
      <c r="DZW135" s="8"/>
      <c r="DZX135" s="8"/>
      <c r="DZY135" s="547"/>
      <c r="DZZ135" s="547"/>
      <c r="EAA135" s="547"/>
      <c r="EAB135" s="547"/>
      <c r="EAC135" s="548"/>
      <c r="EAD135" s="547"/>
      <c r="EAE135" s="547"/>
      <c r="EAF135" s="547"/>
      <c r="EAG135" s="547"/>
      <c r="EAH135" s="548"/>
      <c r="EAI135" s="547"/>
      <c r="EAJ135" s="547"/>
      <c r="EAK135" s="547"/>
      <c r="EAL135" s="547"/>
      <c r="EAM135" s="548"/>
      <c r="EAN135" s="547"/>
      <c r="EAO135" s="547"/>
      <c r="EAP135" s="547"/>
      <c r="EAQ135" s="549"/>
      <c r="EAR135" s="548"/>
      <c r="EAS135" s="549"/>
      <c r="EAT135" s="549"/>
      <c r="EAU135" s="549"/>
      <c r="EAV135" s="549"/>
      <c r="EAW135" s="548"/>
      <c r="EAX135" s="548"/>
      <c r="EAY135" s="548"/>
      <c r="EAZ135" s="548"/>
      <c r="EBA135" s="8"/>
      <c r="EBB135" s="8"/>
      <c r="EBC135" s="503"/>
      <c r="EBD135" s="8"/>
      <c r="EBE135" s="8"/>
      <c r="EBF135" s="547"/>
      <c r="EBG135" s="547"/>
      <c r="EBH135" s="547"/>
      <c r="EBI135" s="547"/>
      <c r="EBJ135" s="548"/>
      <c r="EBK135" s="547"/>
      <c r="EBL135" s="547"/>
      <c r="EBM135" s="547"/>
      <c r="EBN135" s="547"/>
      <c r="EBO135" s="548"/>
      <c r="EBP135" s="547"/>
      <c r="EBQ135" s="547"/>
      <c r="EBR135" s="547"/>
      <c r="EBS135" s="547"/>
      <c r="EBT135" s="548"/>
      <c r="EBU135" s="547"/>
      <c r="EBV135" s="547"/>
      <c r="EBW135" s="547"/>
      <c r="EBX135" s="549"/>
      <c r="EBY135" s="548"/>
      <c r="EBZ135" s="549"/>
      <c r="ECA135" s="549"/>
      <c r="ECB135" s="549"/>
      <c r="ECC135" s="549"/>
      <c r="ECD135" s="548"/>
      <c r="ECE135" s="548"/>
      <c r="ECF135" s="548"/>
      <c r="ECG135" s="548"/>
      <c r="ECH135" s="8"/>
      <c r="ECI135" s="8"/>
      <c r="ECJ135" s="503"/>
      <c r="ECK135" s="8"/>
      <c r="ECL135" s="8"/>
      <c r="ECM135" s="547"/>
      <c r="ECN135" s="547"/>
      <c r="ECO135" s="547"/>
      <c r="ECP135" s="547"/>
      <c r="ECQ135" s="548"/>
      <c r="ECR135" s="547"/>
      <c r="ECS135" s="547"/>
      <c r="ECT135" s="547"/>
      <c r="ECU135" s="547"/>
      <c r="ECV135" s="548"/>
      <c r="ECW135" s="547"/>
      <c r="ECX135" s="547"/>
      <c r="ECY135" s="547"/>
      <c r="ECZ135" s="547"/>
      <c r="EDA135" s="548"/>
      <c r="EDB135" s="547"/>
      <c r="EDC135" s="547"/>
      <c r="EDD135" s="547"/>
      <c r="EDE135" s="549"/>
      <c r="EDF135" s="548"/>
      <c r="EDG135" s="549"/>
      <c r="EDH135" s="549"/>
      <c r="EDI135" s="549"/>
      <c r="EDJ135" s="549"/>
      <c r="EDK135" s="548"/>
      <c r="EDL135" s="548"/>
      <c r="EDM135" s="548"/>
      <c r="EDN135" s="548"/>
      <c r="EDO135" s="8"/>
      <c r="EDP135" s="8"/>
      <c r="EDQ135" s="503"/>
      <c r="EDR135" s="8"/>
      <c r="EDS135" s="8"/>
      <c r="EDT135" s="547"/>
      <c r="EDU135" s="547"/>
      <c r="EDV135" s="547"/>
      <c r="EDW135" s="547"/>
      <c r="EDX135" s="548"/>
      <c r="EDY135" s="547"/>
      <c r="EDZ135" s="547"/>
      <c r="EEA135" s="547"/>
      <c r="EEB135" s="547"/>
      <c r="EEC135" s="548"/>
      <c r="EED135" s="547"/>
      <c r="EEE135" s="547"/>
      <c r="EEF135" s="547"/>
      <c r="EEG135" s="547"/>
      <c r="EEH135" s="548"/>
      <c r="EEI135" s="547"/>
      <c r="EEJ135" s="547"/>
      <c r="EEK135" s="547"/>
      <c r="EEL135" s="549"/>
      <c r="EEM135" s="548"/>
      <c r="EEN135" s="549"/>
      <c r="EEO135" s="549"/>
      <c r="EEP135" s="549"/>
      <c r="EEQ135" s="549"/>
      <c r="EER135" s="548"/>
      <c r="EES135" s="548"/>
      <c r="EET135" s="548"/>
      <c r="EEU135" s="548"/>
      <c r="EEV135" s="8"/>
      <c r="EEW135" s="8"/>
      <c r="EEX135" s="503"/>
      <c r="EEY135" s="8"/>
      <c r="EEZ135" s="8"/>
      <c r="EFA135" s="547"/>
      <c r="EFB135" s="547"/>
      <c r="EFC135" s="547"/>
      <c r="EFD135" s="547"/>
      <c r="EFE135" s="548"/>
      <c r="EFF135" s="547"/>
      <c r="EFG135" s="547"/>
      <c r="EFH135" s="547"/>
      <c r="EFI135" s="547"/>
      <c r="EFJ135" s="548"/>
      <c r="EFK135" s="547"/>
      <c r="EFL135" s="547"/>
      <c r="EFM135" s="547"/>
      <c r="EFN135" s="547"/>
      <c r="EFO135" s="548"/>
      <c r="EFP135" s="547"/>
      <c r="EFQ135" s="547"/>
      <c r="EFR135" s="547"/>
      <c r="EFS135" s="549"/>
      <c r="EFT135" s="548"/>
      <c r="EFU135" s="549"/>
      <c r="EFV135" s="549"/>
      <c r="EFW135" s="549"/>
      <c r="EFX135" s="549"/>
      <c r="EFY135" s="548"/>
      <c r="EFZ135" s="548"/>
      <c r="EGA135" s="548"/>
      <c r="EGB135" s="548"/>
      <c r="EGC135" s="8"/>
      <c r="EGD135" s="8"/>
      <c r="EGE135" s="503"/>
      <c r="EGF135" s="8"/>
      <c r="EGG135" s="8"/>
      <c r="EGH135" s="547"/>
      <c r="EGI135" s="547"/>
      <c r="EGJ135" s="547"/>
      <c r="EGK135" s="547"/>
      <c r="EGL135" s="548"/>
      <c r="EGM135" s="547"/>
      <c r="EGN135" s="547"/>
      <c r="EGO135" s="547"/>
      <c r="EGP135" s="547"/>
      <c r="EGQ135" s="548"/>
      <c r="EGR135" s="547"/>
      <c r="EGS135" s="547"/>
      <c r="EGT135" s="547"/>
      <c r="EGU135" s="547"/>
      <c r="EGV135" s="548"/>
      <c r="EGW135" s="547"/>
      <c r="EGX135" s="547"/>
      <c r="EGY135" s="547"/>
      <c r="EGZ135" s="549"/>
      <c r="EHA135" s="548"/>
      <c r="EHB135" s="549"/>
      <c r="EHC135" s="549"/>
      <c r="EHD135" s="549"/>
      <c r="EHE135" s="549"/>
      <c r="EHF135" s="548"/>
      <c r="EHG135" s="548"/>
      <c r="EHH135" s="548"/>
      <c r="EHI135" s="548"/>
      <c r="EHJ135" s="8"/>
      <c r="EHK135" s="8"/>
      <c r="EHL135" s="503"/>
      <c r="EHM135" s="8"/>
      <c r="EHN135" s="8"/>
      <c r="EHO135" s="547"/>
      <c r="EHP135" s="547"/>
      <c r="EHQ135" s="547"/>
      <c r="EHR135" s="547"/>
      <c r="EHS135" s="548"/>
      <c r="EHT135" s="547"/>
      <c r="EHU135" s="547"/>
      <c r="EHV135" s="547"/>
      <c r="EHW135" s="547"/>
      <c r="EHX135" s="548"/>
      <c r="EHY135" s="547"/>
      <c r="EHZ135" s="547"/>
      <c r="EIA135" s="547"/>
      <c r="EIB135" s="547"/>
      <c r="EIC135" s="548"/>
      <c r="EID135" s="547"/>
      <c r="EIE135" s="547"/>
      <c r="EIF135" s="547"/>
      <c r="EIG135" s="549"/>
      <c r="EIH135" s="548"/>
      <c r="EII135" s="549"/>
      <c r="EIJ135" s="549"/>
      <c r="EIK135" s="549"/>
      <c r="EIL135" s="549"/>
      <c r="EIM135" s="548"/>
      <c r="EIN135" s="548"/>
      <c r="EIO135" s="548"/>
      <c r="EIP135" s="548"/>
      <c r="EIQ135" s="8"/>
      <c r="EIR135" s="8"/>
      <c r="EIS135" s="503"/>
      <c r="EIT135" s="8"/>
      <c r="EIU135" s="8"/>
      <c r="EIV135" s="547"/>
      <c r="EIW135" s="547"/>
      <c r="EIX135" s="547"/>
      <c r="EIY135" s="547"/>
      <c r="EIZ135" s="548"/>
      <c r="EJA135" s="547"/>
      <c r="EJB135" s="547"/>
      <c r="EJC135" s="547"/>
      <c r="EJD135" s="547"/>
      <c r="EJE135" s="548"/>
      <c r="EJF135" s="547"/>
      <c r="EJG135" s="547"/>
      <c r="EJH135" s="547"/>
      <c r="EJI135" s="547"/>
      <c r="EJJ135" s="548"/>
      <c r="EJK135" s="547"/>
      <c r="EJL135" s="547"/>
      <c r="EJM135" s="547"/>
      <c r="EJN135" s="549"/>
      <c r="EJO135" s="548"/>
      <c r="EJP135" s="549"/>
      <c r="EJQ135" s="549"/>
      <c r="EJR135" s="549"/>
      <c r="EJS135" s="549"/>
      <c r="EJT135" s="548"/>
      <c r="EJU135" s="548"/>
      <c r="EJV135" s="548"/>
      <c r="EJW135" s="548"/>
      <c r="EJX135" s="8"/>
      <c r="EJY135" s="8"/>
      <c r="EJZ135" s="503"/>
      <c r="EKA135" s="8"/>
      <c r="EKB135" s="8"/>
      <c r="EKC135" s="547"/>
      <c r="EKD135" s="547"/>
      <c r="EKE135" s="547"/>
      <c r="EKF135" s="547"/>
      <c r="EKG135" s="548"/>
      <c r="EKH135" s="547"/>
      <c r="EKI135" s="547"/>
      <c r="EKJ135" s="547"/>
      <c r="EKK135" s="547"/>
      <c r="EKL135" s="548"/>
      <c r="EKM135" s="547"/>
      <c r="EKN135" s="547"/>
      <c r="EKO135" s="547"/>
      <c r="EKP135" s="547"/>
      <c r="EKQ135" s="548"/>
      <c r="EKR135" s="547"/>
      <c r="EKS135" s="547"/>
      <c r="EKT135" s="547"/>
      <c r="EKU135" s="549"/>
      <c r="EKV135" s="548"/>
      <c r="EKW135" s="549"/>
      <c r="EKX135" s="549"/>
      <c r="EKY135" s="549"/>
      <c r="EKZ135" s="549"/>
      <c r="ELA135" s="548"/>
      <c r="ELB135" s="548"/>
      <c r="ELC135" s="548"/>
      <c r="ELD135" s="548"/>
      <c r="ELE135" s="8"/>
      <c r="ELF135" s="8"/>
      <c r="ELG135" s="503"/>
      <c r="ELH135" s="8"/>
      <c r="ELI135" s="8"/>
      <c r="ELJ135" s="547"/>
      <c r="ELK135" s="547"/>
      <c r="ELL135" s="547"/>
      <c r="ELM135" s="547"/>
      <c r="ELN135" s="548"/>
      <c r="ELO135" s="547"/>
      <c r="ELP135" s="547"/>
      <c r="ELQ135" s="547"/>
      <c r="ELR135" s="547"/>
      <c r="ELS135" s="548"/>
      <c r="ELT135" s="547"/>
      <c r="ELU135" s="547"/>
      <c r="ELV135" s="547"/>
      <c r="ELW135" s="547"/>
      <c r="ELX135" s="548"/>
      <c r="ELY135" s="547"/>
      <c r="ELZ135" s="547"/>
      <c r="EMA135" s="547"/>
      <c r="EMB135" s="549"/>
      <c r="EMC135" s="548"/>
      <c r="EMD135" s="549"/>
      <c r="EME135" s="549"/>
      <c r="EMF135" s="549"/>
      <c r="EMG135" s="549"/>
      <c r="EMH135" s="548"/>
      <c r="EMI135" s="548"/>
      <c r="EMJ135" s="548"/>
      <c r="EMK135" s="548"/>
      <c r="EML135" s="8"/>
      <c r="EMM135" s="8"/>
      <c r="EMN135" s="503"/>
      <c r="EMO135" s="8"/>
      <c r="EMP135" s="8"/>
      <c r="EMQ135" s="547"/>
      <c r="EMR135" s="547"/>
      <c r="EMS135" s="547"/>
      <c r="EMT135" s="547"/>
      <c r="EMU135" s="548"/>
      <c r="EMV135" s="547"/>
      <c r="EMW135" s="547"/>
      <c r="EMX135" s="547"/>
      <c r="EMY135" s="547"/>
      <c r="EMZ135" s="548"/>
      <c r="ENA135" s="547"/>
      <c r="ENB135" s="547"/>
      <c r="ENC135" s="547"/>
      <c r="END135" s="547"/>
      <c r="ENE135" s="548"/>
      <c r="ENF135" s="547"/>
      <c r="ENG135" s="547"/>
      <c r="ENH135" s="547"/>
      <c r="ENI135" s="549"/>
      <c r="ENJ135" s="548"/>
      <c r="ENK135" s="549"/>
      <c r="ENL135" s="549"/>
      <c r="ENM135" s="549"/>
      <c r="ENN135" s="549"/>
      <c r="ENO135" s="548"/>
      <c r="ENP135" s="548"/>
      <c r="ENQ135" s="548"/>
      <c r="ENR135" s="548"/>
      <c r="ENS135" s="8"/>
      <c r="ENT135" s="8"/>
      <c r="ENU135" s="503"/>
      <c r="ENV135" s="8"/>
      <c r="ENW135" s="8"/>
      <c r="ENX135" s="547"/>
      <c r="ENY135" s="547"/>
      <c r="ENZ135" s="547"/>
      <c r="EOA135" s="547"/>
      <c r="EOB135" s="548"/>
      <c r="EOC135" s="547"/>
      <c r="EOD135" s="547"/>
      <c r="EOE135" s="547"/>
      <c r="EOF135" s="547"/>
      <c r="EOG135" s="548"/>
      <c r="EOH135" s="547"/>
      <c r="EOI135" s="547"/>
      <c r="EOJ135" s="547"/>
      <c r="EOK135" s="547"/>
      <c r="EOL135" s="548"/>
      <c r="EOM135" s="547"/>
      <c r="EON135" s="547"/>
      <c r="EOO135" s="547"/>
      <c r="EOP135" s="549"/>
      <c r="EOQ135" s="548"/>
      <c r="EOR135" s="549"/>
      <c r="EOS135" s="549"/>
      <c r="EOT135" s="549"/>
      <c r="EOU135" s="549"/>
      <c r="EOV135" s="548"/>
      <c r="EOW135" s="548"/>
      <c r="EOX135" s="548"/>
      <c r="EOY135" s="548"/>
      <c r="EOZ135" s="8"/>
      <c r="EPA135" s="8"/>
      <c r="EPB135" s="503"/>
      <c r="EPC135" s="8"/>
      <c r="EPD135" s="8"/>
      <c r="EPE135" s="547"/>
      <c r="EPF135" s="547"/>
      <c r="EPG135" s="547"/>
      <c r="EPH135" s="547"/>
      <c r="EPI135" s="548"/>
      <c r="EPJ135" s="547"/>
      <c r="EPK135" s="547"/>
      <c r="EPL135" s="547"/>
      <c r="EPM135" s="547"/>
      <c r="EPN135" s="548"/>
      <c r="EPO135" s="547"/>
      <c r="EPP135" s="547"/>
      <c r="EPQ135" s="547"/>
      <c r="EPR135" s="547"/>
      <c r="EPS135" s="548"/>
      <c r="EPT135" s="547"/>
      <c r="EPU135" s="547"/>
      <c r="EPV135" s="547"/>
      <c r="EPW135" s="549"/>
      <c r="EPX135" s="548"/>
      <c r="EPY135" s="549"/>
      <c r="EPZ135" s="549"/>
      <c r="EQA135" s="549"/>
      <c r="EQB135" s="549"/>
      <c r="EQC135" s="548"/>
      <c r="EQD135" s="548"/>
      <c r="EQE135" s="548"/>
      <c r="EQF135" s="548"/>
      <c r="EQG135" s="8"/>
      <c r="EQH135" s="8"/>
      <c r="EQI135" s="503"/>
      <c r="EQJ135" s="8"/>
      <c r="EQK135" s="8"/>
      <c r="EQL135" s="547"/>
      <c r="EQM135" s="547"/>
      <c r="EQN135" s="547"/>
      <c r="EQO135" s="547"/>
      <c r="EQP135" s="548"/>
      <c r="EQQ135" s="547"/>
      <c r="EQR135" s="547"/>
      <c r="EQS135" s="547"/>
      <c r="EQT135" s="547"/>
      <c r="EQU135" s="548"/>
      <c r="EQV135" s="547"/>
      <c r="EQW135" s="547"/>
      <c r="EQX135" s="547"/>
      <c r="EQY135" s="547"/>
      <c r="EQZ135" s="548"/>
      <c r="ERA135" s="547"/>
      <c r="ERB135" s="547"/>
      <c r="ERC135" s="547"/>
      <c r="ERD135" s="549"/>
      <c r="ERE135" s="548"/>
      <c r="ERF135" s="549"/>
      <c r="ERG135" s="549"/>
      <c r="ERH135" s="549"/>
      <c r="ERI135" s="549"/>
      <c r="ERJ135" s="548"/>
      <c r="ERK135" s="548"/>
      <c r="ERL135" s="548"/>
      <c r="ERM135" s="548"/>
      <c r="ERN135" s="8"/>
      <c r="ERO135" s="8"/>
      <c r="ERP135" s="503"/>
      <c r="ERQ135" s="8"/>
      <c r="ERR135" s="8"/>
      <c r="ERS135" s="547"/>
      <c r="ERT135" s="547"/>
      <c r="ERU135" s="547"/>
      <c r="ERV135" s="547"/>
      <c r="ERW135" s="548"/>
      <c r="ERX135" s="547"/>
      <c r="ERY135" s="547"/>
      <c r="ERZ135" s="547"/>
      <c r="ESA135" s="547"/>
      <c r="ESB135" s="548"/>
      <c r="ESC135" s="547"/>
      <c r="ESD135" s="547"/>
      <c r="ESE135" s="547"/>
      <c r="ESF135" s="547"/>
      <c r="ESG135" s="548"/>
      <c r="ESH135" s="547"/>
      <c r="ESI135" s="547"/>
      <c r="ESJ135" s="547"/>
      <c r="ESK135" s="549"/>
      <c r="ESL135" s="548"/>
      <c r="ESM135" s="549"/>
      <c r="ESN135" s="549"/>
      <c r="ESO135" s="549"/>
      <c r="ESP135" s="549"/>
      <c r="ESQ135" s="548"/>
      <c r="ESR135" s="548"/>
      <c r="ESS135" s="548"/>
      <c r="EST135" s="548"/>
      <c r="ESU135" s="8"/>
      <c r="ESV135" s="8"/>
      <c r="ESW135" s="503"/>
      <c r="ESX135" s="8"/>
      <c r="ESY135" s="8"/>
      <c r="ESZ135" s="547"/>
      <c r="ETA135" s="547"/>
      <c r="ETB135" s="547"/>
      <c r="ETC135" s="547"/>
      <c r="ETD135" s="548"/>
      <c r="ETE135" s="547"/>
      <c r="ETF135" s="547"/>
      <c r="ETG135" s="547"/>
      <c r="ETH135" s="547"/>
      <c r="ETI135" s="548"/>
      <c r="ETJ135" s="547"/>
      <c r="ETK135" s="547"/>
      <c r="ETL135" s="547"/>
      <c r="ETM135" s="547"/>
      <c r="ETN135" s="548"/>
      <c r="ETO135" s="547"/>
      <c r="ETP135" s="547"/>
      <c r="ETQ135" s="547"/>
      <c r="ETR135" s="549"/>
      <c r="ETS135" s="548"/>
      <c r="ETT135" s="549"/>
      <c r="ETU135" s="549"/>
      <c r="ETV135" s="549"/>
      <c r="ETW135" s="549"/>
      <c r="ETX135" s="548"/>
      <c r="ETY135" s="548"/>
      <c r="ETZ135" s="548"/>
      <c r="EUA135" s="548"/>
      <c r="EUB135" s="8"/>
      <c r="EUC135" s="8"/>
      <c r="EUD135" s="503"/>
      <c r="EUE135" s="8"/>
      <c r="EUF135" s="8"/>
      <c r="EUG135" s="547"/>
      <c r="EUH135" s="547"/>
      <c r="EUI135" s="547"/>
      <c r="EUJ135" s="547"/>
      <c r="EUK135" s="548"/>
      <c r="EUL135" s="547"/>
      <c r="EUM135" s="547"/>
      <c r="EUN135" s="547"/>
      <c r="EUO135" s="547"/>
      <c r="EUP135" s="548"/>
      <c r="EUQ135" s="547"/>
      <c r="EUR135" s="547"/>
      <c r="EUS135" s="547"/>
      <c r="EUT135" s="547"/>
      <c r="EUU135" s="548"/>
      <c r="EUV135" s="547"/>
      <c r="EUW135" s="547"/>
      <c r="EUX135" s="547"/>
      <c r="EUY135" s="549"/>
      <c r="EUZ135" s="548"/>
      <c r="EVA135" s="549"/>
      <c r="EVB135" s="549"/>
      <c r="EVC135" s="549"/>
      <c r="EVD135" s="549"/>
      <c r="EVE135" s="548"/>
      <c r="EVF135" s="548"/>
      <c r="EVG135" s="548"/>
      <c r="EVH135" s="548"/>
      <c r="EVI135" s="8"/>
      <c r="EVJ135" s="8"/>
      <c r="EVK135" s="503"/>
      <c r="EVL135" s="8"/>
      <c r="EVM135" s="8"/>
      <c r="EVN135" s="547"/>
      <c r="EVO135" s="547"/>
      <c r="EVP135" s="547"/>
      <c r="EVQ135" s="547"/>
      <c r="EVR135" s="548"/>
      <c r="EVS135" s="547"/>
      <c r="EVT135" s="547"/>
      <c r="EVU135" s="547"/>
      <c r="EVV135" s="547"/>
      <c r="EVW135" s="548"/>
      <c r="EVX135" s="547"/>
      <c r="EVY135" s="547"/>
      <c r="EVZ135" s="547"/>
      <c r="EWA135" s="547"/>
      <c r="EWB135" s="548"/>
      <c r="EWC135" s="547"/>
      <c r="EWD135" s="547"/>
      <c r="EWE135" s="547"/>
      <c r="EWF135" s="549"/>
      <c r="EWG135" s="548"/>
      <c r="EWH135" s="549"/>
      <c r="EWI135" s="549"/>
      <c r="EWJ135" s="549"/>
      <c r="EWK135" s="549"/>
      <c r="EWL135" s="548"/>
      <c r="EWM135" s="548"/>
      <c r="EWN135" s="548"/>
      <c r="EWO135" s="548"/>
      <c r="EWP135" s="8"/>
      <c r="EWQ135" s="8"/>
      <c r="EWR135" s="503"/>
      <c r="EWS135" s="8"/>
      <c r="EWT135" s="8"/>
      <c r="EWU135" s="547"/>
      <c r="EWV135" s="547"/>
      <c r="EWW135" s="547"/>
      <c r="EWX135" s="547"/>
      <c r="EWY135" s="548"/>
      <c r="EWZ135" s="547"/>
      <c r="EXA135" s="547"/>
      <c r="EXB135" s="547"/>
      <c r="EXC135" s="547"/>
      <c r="EXD135" s="548"/>
      <c r="EXE135" s="547"/>
      <c r="EXF135" s="547"/>
      <c r="EXG135" s="547"/>
      <c r="EXH135" s="547"/>
      <c r="EXI135" s="548"/>
      <c r="EXJ135" s="547"/>
      <c r="EXK135" s="547"/>
      <c r="EXL135" s="547"/>
      <c r="EXM135" s="549"/>
      <c r="EXN135" s="548"/>
      <c r="EXO135" s="549"/>
      <c r="EXP135" s="549"/>
      <c r="EXQ135" s="549"/>
      <c r="EXR135" s="549"/>
      <c r="EXS135" s="548"/>
      <c r="EXT135" s="548"/>
      <c r="EXU135" s="548"/>
      <c r="EXV135" s="548"/>
      <c r="EXW135" s="8"/>
      <c r="EXX135" s="8"/>
      <c r="EXY135" s="503"/>
      <c r="EXZ135" s="8"/>
      <c r="EYA135" s="8"/>
      <c r="EYB135" s="547"/>
      <c r="EYC135" s="547"/>
      <c r="EYD135" s="547"/>
      <c r="EYE135" s="547"/>
      <c r="EYF135" s="548"/>
      <c r="EYG135" s="547"/>
      <c r="EYH135" s="547"/>
      <c r="EYI135" s="547"/>
      <c r="EYJ135" s="547"/>
      <c r="EYK135" s="548"/>
      <c r="EYL135" s="547"/>
      <c r="EYM135" s="547"/>
      <c r="EYN135" s="547"/>
      <c r="EYO135" s="547"/>
      <c r="EYP135" s="548"/>
      <c r="EYQ135" s="547"/>
      <c r="EYR135" s="547"/>
      <c r="EYS135" s="547"/>
      <c r="EYT135" s="549"/>
      <c r="EYU135" s="548"/>
      <c r="EYV135" s="549"/>
      <c r="EYW135" s="549"/>
      <c r="EYX135" s="549"/>
      <c r="EYY135" s="549"/>
      <c r="EYZ135" s="548"/>
      <c r="EZA135" s="548"/>
      <c r="EZB135" s="548"/>
      <c r="EZC135" s="548"/>
      <c r="EZD135" s="8"/>
      <c r="EZE135" s="8"/>
      <c r="EZF135" s="503"/>
      <c r="EZG135" s="8"/>
      <c r="EZH135" s="8"/>
      <c r="EZI135" s="547"/>
      <c r="EZJ135" s="547"/>
      <c r="EZK135" s="547"/>
      <c r="EZL135" s="547"/>
      <c r="EZM135" s="548"/>
      <c r="EZN135" s="547"/>
      <c r="EZO135" s="547"/>
      <c r="EZP135" s="547"/>
      <c r="EZQ135" s="547"/>
      <c r="EZR135" s="548"/>
      <c r="EZS135" s="547"/>
      <c r="EZT135" s="547"/>
      <c r="EZU135" s="547"/>
      <c r="EZV135" s="547"/>
      <c r="EZW135" s="548"/>
      <c r="EZX135" s="547"/>
      <c r="EZY135" s="547"/>
      <c r="EZZ135" s="547"/>
      <c r="FAA135" s="549"/>
      <c r="FAB135" s="548"/>
      <c r="FAC135" s="549"/>
      <c r="FAD135" s="549"/>
      <c r="FAE135" s="549"/>
      <c r="FAF135" s="549"/>
      <c r="FAG135" s="548"/>
      <c r="FAH135" s="548"/>
      <c r="FAI135" s="548"/>
      <c r="FAJ135" s="548"/>
      <c r="FAK135" s="8"/>
      <c r="FAL135" s="8"/>
      <c r="FAM135" s="503"/>
      <c r="FAN135" s="8"/>
      <c r="FAO135" s="8"/>
      <c r="FAP135" s="547"/>
      <c r="FAQ135" s="547"/>
      <c r="FAR135" s="547"/>
      <c r="FAS135" s="547"/>
      <c r="FAT135" s="548"/>
      <c r="FAU135" s="547"/>
      <c r="FAV135" s="547"/>
      <c r="FAW135" s="547"/>
      <c r="FAX135" s="547"/>
      <c r="FAY135" s="548"/>
      <c r="FAZ135" s="547"/>
      <c r="FBA135" s="547"/>
      <c r="FBB135" s="547"/>
      <c r="FBC135" s="547"/>
      <c r="FBD135" s="548"/>
      <c r="FBE135" s="547"/>
      <c r="FBF135" s="547"/>
      <c r="FBG135" s="547"/>
      <c r="FBH135" s="549"/>
      <c r="FBI135" s="548"/>
      <c r="FBJ135" s="549"/>
      <c r="FBK135" s="549"/>
      <c r="FBL135" s="549"/>
      <c r="FBM135" s="549"/>
      <c r="FBN135" s="548"/>
      <c r="FBO135" s="548"/>
      <c r="FBP135" s="548"/>
      <c r="FBQ135" s="548"/>
      <c r="FBR135" s="8"/>
      <c r="FBS135" s="8"/>
      <c r="FBT135" s="503"/>
      <c r="FBU135" s="8"/>
      <c r="FBV135" s="8"/>
      <c r="FBW135" s="547"/>
      <c r="FBX135" s="547"/>
      <c r="FBY135" s="547"/>
      <c r="FBZ135" s="547"/>
      <c r="FCA135" s="548"/>
      <c r="FCB135" s="547"/>
      <c r="FCC135" s="547"/>
      <c r="FCD135" s="547"/>
      <c r="FCE135" s="547"/>
      <c r="FCF135" s="548"/>
      <c r="FCG135" s="547"/>
      <c r="FCH135" s="547"/>
      <c r="FCI135" s="547"/>
      <c r="FCJ135" s="547"/>
      <c r="FCK135" s="548"/>
      <c r="FCL135" s="547"/>
      <c r="FCM135" s="547"/>
      <c r="FCN135" s="547"/>
      <c r="FCO135" s="549"/>
      <c r="FCP135" s="548"/>
      <c r="FCQ135" s="549"/>
      <c r="FCR135" s="549"/>
      <c r="FCS135" s="549"/>
      <c r="FCT135" s="549"/>
      <c r="FCU135" s="548"/>
      <c r="FCV135" s="548"/>
      <c r="FCW135" s="548"/>
      <c r="FCX135" s="548"/>
      <c r="FCY135" s="8"/>
      <c r="FCZ135" s="8"/>
      <c r="FDA135" s="503"/>
      <c r="FDB135" s="8"/>
      <c r="FDC135" s="8"/>
      <c r="FDD135" s="547"/>
      <c r="FDE135" s="547"/>
      <c r="FDF135" s="547"/>
      <c r="FDG135" s="547"/>
      <c r="FDH135" s="548"/>
      <c r="FDI135" s="547"/>
      <c r="FDJ135" s="547"/>
      <c r="FDK135" s="547"/>
      <c r="FDL135" s="547"/>
      <c r="FDM135" s="548"/>
      <c r="FDN135" s="547"/>
      <c r="FDO135" s="547"/>
      <c r="FDP135" s="547"/>
      <c r="FDQ135" s="547"/>
      <c r="FDR135" s="548"/>
      <c r="FDS135" s="547"/>
      <c r="FDT135" s="547"/>
      <c r="FDU135" s="547"/>
      <c r="FDV135" s="549"/>
      <c r="FDW135" s="548"/>
      <c r="FDX135" s="549"/>
      <c r="FDY135" s="549"/>
      <c r="FDZ135" s="549"/>
      <c r="FEA135" s="549"/>
      <c r="FEB135" s="548"/>
      <c r="FEC135" s="548"/>
      <c r="FED135" s="548"/>
      <c r="FEE135" s="548"/>
      <c r="FEF135" s="8"/>
      <c r="FEG135" s="8"/>
      <c r="FEH135" s="503"/>
      <c r="FEI135" s="8"/>
      <c r="FEJ135" s="8"/>
      <c r="FEK135" s="547"/>
      <c r="FEL135" s="547"/>
      <c r="FEM135" s="547"/>
      <c r="FEN135" s="547"/>
      <c r="FEO135" s="548"/>
      <c r="FEP135" s="547"/>
      <c r="FEQ135" s="547"/>
      <c r="FER135" s="547"/>
      <c r="FES135" s="547"/>
      <c r="FET135" s="548"/>
      <c r="FEU135" s="547"/>
      <c r="FEV135" s="547"/>
      <c r="FEW135" s="547"/>
      <c r="FEX135" s="547"/>
      <c r="FEY135" s="548"/>
      <c r="FEZ135" s="547"/>
      <c r="FFA135" s="547"/>
      <c r="FFB135" s="547"/>
      <c r="FFC135" s="549"/>
      <c r="FFD135" s="548"/>
      <c r="FFE135" s="549"/>
      <c r="FFF135" s="549"/>
      <c r="FFG135" s="549"/>
      <c r="FFH135" s="549"/>
      <c r="FFI135" s="548"/>
      <c r="FFJ135" s="548"/>
      <c r="FFK135" s="548"/>
      <c r="FFL135" s="548"/>
      <c r="FFM135" s="8"/>
      <c r="FFN135" s="8"/>
      <c r="FFO135" s="503"/>
      <c r="FFP135" s="8"/>
      <c r="FFQ135" s="8"/>
      <c r="FFR135" s="547"/>
      <c r="FFS135" s="547"/>
      <c r="FFT135" s="547"/>
      <c r="FFU135" s="547"/>
      <c r="FFV135" s="548"/>
      <c r="FFW135" s="547"/>
      <c r="FFX135" s="547"/>
      <c r="FFY135" s="547"/>
      <c r="FFZ135" s="547"/>
      <c r="FGA135" s="548"/>
      <c r="FGB135" s="547"/>
      <c r="FGC135" s="547"/>
      <c r="FGD135" s="547"/>
      <c r="FGE135" s="547"/>
      <c r="FGF135" s="548"/>
      <c r="FGG135" s="547"/>
      <c r="FGH135" s="547"/>
      <c r="FGI135" s="547"/>
      <c r="FGJ135" s="549"/>
      <c r="FGK135" s="548"/>
      <c r="FGL135" s="549"/>
      <c r="FGM135" s="549"/>
      <c r="FGN135" s="549"/>
      <c r="FGO135" s="549"/>
      <c r="FGP135" s="548"/>
      <c r="FGQ135" s="548"/>
      <c r="FGR135" s="548"/>
      <c r="FGS135" s="548"/>
      <c r="FGT135" s="8"/>
      <c r="FGU135" s="8"/>
      <c r="FGV135" s="503"/>
      <c r="FGW135" s="8"/>
      <c r="FGX135" s="8"/>
      <c r="FGY135" s="547"/>
      <c r="FGZ135" s="547"/>
      <c r="FHA135" s="547"/>
      <c r="FHB135" s="547"/>
      <c r="FHC135" s="548"/>
      <c r="FHD135" s="547"/>
      <c r="FHE135" s="547"/>
      <c r="FHF135" s="547"/>
      <c r="FHG135" s="547"/>
      <c r="FHH135" s="548"/>
      <c r="FHI135" s="547"/>
      <c r="FHJ135" s="547"/>
      <c r="FHK135" s="547"/>
      <c r="FHL135" s="547"/>
      <c r="FHM135" s="548"/>
      <c r="FHN135" s="547"/>
      <c r="FHO135" s="547"/>
      <c r="FHP135" s="547"/>
      <c r="FHQ135" s="549"/>
      <c r="FHR135" s="548"/>
      <c r="FHS135" s="549"/>
      <c r="FHT135" s="549"/>
      <c r="FHU135" s="549"/>
      <c r="FHV135" s="549"/>
      <c r="FHW135" s="548"/>
      <c r="FHX135" s="548"/>
      <c r="FHY135" s="548"/>
      <c r="FHZ135" s="548"/>
      <c r="FIA135" s="8"/>
      <c r="FIB135" s="8"/>
      <c r="FIC135" s="503"/>
      <c r="FID135" s="8"/>
      <c r="FIE135" s="8"/>
      <c r="FIF135" s="547"/>
      <c r="FIG135" s="547"/>
      <c r="FIH135" s="547"/>
      <c r="FII135" s="547"/>
      <c r="FIJ135" s="548"/>
      <c r="FIK135" s="547"/>
      <c r="FIL135" s="547"/>
      <c r="FIM135" s="547"/>
      <c r="FIN135" s="547"/>
      <c r="FIO135" s="548"/>
      <c r="FIP135" s="547"/>
      <c r="FIQ135" s="547"/>
      <c r="FIR135" s="547"/>
      <c r="FIS135" s="547"/>
      <c r="FIT135" s="548"/>
      <c r="FIU135" s="547"/>
      <c r="FIV135" s="547"/>
      <c r="FIW135" s="547"/>
      <c r="FIX135" s="549"/>
      <c r="FIY135" s="548"/>
      <c r="FIZ135" s="549"/>
      <c r="FJA135" s="549"/>
      <c r="FJB135" s="549"/>
      <c r="FJC135" s="549"/>
      <c r="FJD135" s="548"/>
      <c r="FJE135" s="548"/>
      <c r="FJF135" s="548"/>
      <c r="FJG135" s="548"/>
      <c r="FJH135" s="8"/>
      <c r="FJI135" s="8"/>
      <c r="FJJ135" s="503"/>
      <c r="FJK135" s="8"/>
      <c r="FJL135" s="8"/>
      <c r="FJM135" s="547"/>
      <c r="FJN135" s="547"/>
      <c r="FJO135" s="547"/>
      <c r="FJP135" s="547"/>
      <c r="FJQ135" s="548"/>
      <c r="FJR135" s="547"/>
      <c r="FJS135" s="547"/>
      <c r="FJT135" s="547"/>
      <c r="FJU135" s="547"/>
      <c r="FJV135" s="548"/>
      <c r="FJW135" s="547"/>
      <c r="FJX135" s="547"/>
      <c r="FJY135" s="547"/>
      <c r="FJZ135" s="547"/>
      <c r="FKA135" s="548"/>
      <c r="FKB135" s="547"/>
      <c r="FKC135" s="547"/>
      <c r="FKD135" s="547"/>
      <c r="FKE135" s="549"/>
      <c r="FKF135" s="548"/>
      <c r="FKG135" s="549"/>
      <c r="FKH135" s="549"/>
      <c r="FKI135" s="549"/>
      <c r="FKJ135" s="549"/>
      <c r="FKK135" s="548"/>
      <c r="FKL135" s="548"/>
      <c r="FKM135" s="548"/>
      <c r="FKN135" s="548"/>
      <c r="FKO135" s="8"/>
      <c r="FKP135" s="8"/>
      <c r="FKQ135" s="503"/>
      <c r="FKR135" s="8"/>
      <c r="FKS135" s="8"/>
      <c r="FKT135" s="547"/>
      <c r="FKU135" s="547"/>
      <c r="FKV135" s="547"/>
      <c r="FKW135" s="547"/>
      <c r="FKX135" s="548"/>
      <c r="FKY135" s="547"/>
      <c r="FKZ135" s="547"/>
      <c r="FLA135" s="547"/>
      <c r="FLB135" s="547"/>
      <c r="FLC135" s="548"/>
      <c r="FLD135" s="547"/>
      <c r="FLE135" s="547"/>
      <c r="FLF135" s="547"/>
      <c r="FLG135" s="547"/>
      <c r="FLH135" s="548"/>
      <c r="FLI135" s="547"/>
      <c r="FLJ135" s="547"/>
      <c r="FLK135" s="547"/>
      <c r="FLL135" s="549"/>
      <c r="FLM135" s="548"/>
      <c r="FLN135" s="549"/>
      <c r="FLO135" s="549"/>
      <c r="FLP135" s="549"/>
      <c r="FLQ135" s="549"/>
      <c r="FLR135" s="548"/>
      <c r="FLS135" s="548"/>
      <c r="FLT135" s="548"/>
      <c r="FLU135" s="548"/>
      <c r="FLV135" s="8"/>
      <c r="FLW135" s="8"/>
      <c r="FLX135" s="503"/>
      <c r="FLY135" s="8"/>
      <c r="FLZ135" s="8"/>
      <c r="FMA135" s="547"/>
      <c r="FMB135" s="547"/>
      <c r="FMC135" s="547"/>
      <c r="FMD135" s="547"/>
      <c r="FME135" s="548"/>
      <c r="FMF135" s="547"/>
      <c r="FMG135" s="547"/>
      <c r="FMH135" s="547"/>
      <c r="FMI135" s="547"/>
      <c r="FMJ135" s="548"/>
      <c r="FMK135" s="547"/>
      <c r="FML135" s="547"/>
      <c r="FMM135" s="547"/>
      <c r="FMN135" s="547"/>
      <c r="FMO135" s="548"/>
      <c r="FMP135" s="547"/>
      <c r="FMQ135" s="547"/>
      <c r="FMR135" s="547"/>
      <c r="FMS135" s="549"/>
      <c r="FMT135" s="548"/>
      <c r="FMU135" s="549"/>
      <c r="FMV135" s="549"/>
      <c r="FMW135" s="549"/>
      <c r="FMX135" s="549"/>
      <c r="FMY135" s="548"/>
      <c r="FMZ135" s="548"/>
      <c r="FNA135" s="548"/>
      <c r="FNB135" s="548"/>
      <c r="FNC135" s="8"/>
      <c r="FND135" s="8"/>
      <c r="FNE135" s="503"/>
      <c r="FNF135" s="8"/>
      <c r="FNG135" s="8"/>
      <c r="FNH135" s="547"/>
      <c r="FNI135" s="547"/>
      <c r="FNJ135" s="547"/>
      <c r="FNK135" s="547"/>
      <c r="FNL135" s="548"/>
      <c r="FNM135" s="547"/>
      <c r="FNN135" s="547"/>
      <c r="FNO135" s="547"/>
      <c r="FNP135" s="547"/>
      <c r="FNQ135" s="548"/>
      <c r="FNR135" s="547"/>
      <c r="FNS135" s="547"/>
      <c r="FNT135" s="547"/>
      <c r="FNU135" s="547"/>
      <c r="FNV135" s="548"/>
      <c r="FNW135" s="547"/>
      <c r="FNX135" s="547"/>
      <c r="FNY135" s="547"/>
      <c r="FNZ135" s="549"/>
      <c r="FOA135" s="548"/>
      <c r="FOB135" s="549"/>
      <c r="FOC135" s="549"/>
      <c r="FOD135" s="549"/>
      <c r="FOE135" s="549"/>
      <c r="FOF135" s="548"/>
      <c r="FOG135" s="548"/>
      <c r="FOH135" s="548"/>
      <c r="FOI135" s="548"/>
      <c r="FOJ135" s="8"/>
      <c r="FOK135" s="8"/>
      <c r="FOL135" s="503"/>
      <c r="FOM135" s="8"/>
      <c r="FON135" s="8"/>
      <c r="FOO135" s="547"/>
      <c r="FOP135" s="547"/>
      <c r="FOQ135" s="547"/>
      <c r="FOR135" s="547"/>
      <c r="FOS135" s="548"/>
      <c r="FOT135" s="547"/>
      <c r="FOU135" s="547"/>
      <c r="FOV135" s="547"/>
      <c r="FOW135" s="547"/>
      <c r="FOX135" s="548"/>
      <c r="FOY135" s="547"/>
      <c r="FOZ135" s="547"/>
      <c r="FPA135" s="547"/>
      <c r="FPB135" s="547"/>
      <c r="FPC135" s="548"/>
      <c r="FPD135" s="547"/>
      <c r="FPE135" s="547"/>
      <c r="FPF135" s="547"/>
      <c r="FPG135" s="549"/>
      <c r="FPH135" s="548"/>
      <c r="FPI135" s="549"/>
      <c r="FPJ135" s="549"/>
      <c r="FPK135" s="549"/>
      <c r="FPL135" s="549"/>
      <c r="FPM135" s="548"/>
      <c r="FPN135" s="548"/>
      <c r="FPO135" s="548"/>
      <c r="FPP135" s="548"/>
      <c r="FPQ135" s="8"/>
      <c r="FPR135" s="8"/>
      <c r="FPS135" s="503"/>
      <c r="FPT135" s="8"/>
      <c r="FPU135" s="8"/>
      <c r="FPV135" s="547"/>
      <c r="FPW135" s="547"/>
      <c r="FPX135" s="547"/>
      <c r="FPY135" s="547"/>
      <c r="FPZ135" s="548"/>
      <c r="FQA135" s="547"/>
      <c r="FQB135" s="547"/>
      <c r="FQC135" s="547"/>
      <c r="FQD135" s="547"/>
      <c r="FQE135" s="548"/>
      <c r="FQF135" s="547"/>
      <c r="FQG135" s="547"/>
      <c r="FQH135" s="547"/>
      <c r="FQI135" s="547"/>
      <c r="FQJ135" s="548"/>
      <c r="FQK135" s="547"/>
      <c r="FQL135" s="547"/>
      <c r="FQM135" s="547"/>
      <c r="FQN135" s="549"/>
      <c r="FQO135" s="548"/>
      <c r="FQP135" s="549"/>
      <c r="FQQ135" s="549"/>
      <c r="FQR135" s="549"/>
      <c r="FQS135" s="549"/>
      <c r="FQT135" s="548"/>
      <c r="FQU135" s="548"/>
      <c r="FQV135" s="548"/>
      <c r="FQW135" s="548"/>
      <c r="FQX135" s="8"/>
      <c r="FQY135" s="8"/>
      <c r="FQZ135" s="503"/>
      <c r="FRA135" s="8"/>
      <c r="FRB135" s="8"/>
      <c r="FRC135" s="547"/>
      <c r="FRD135" s="547"/>
      <c r="FRE135" s="547"/>
      <c r="FRF135" s="547"/>
      <c r="FRG135" s="548"/>
      <c r="FRH135" s="547"/>
      <c r="FRI135" s="547"/>
      <c r="FRJ135" s="547"/>
      <c r="FRK135" s="547"/>
      <c r="FRL135" s="548"/>
      <c r="FRM135" s="547"/>
      <c r="FRN135" s="547"/>
      <c r="FRO135" s="547"/>
      <c r="FRP135" s="547"/>
      <c r="FRQ135" s="548"/>
      <c r="FRR135" s="547"/>
      <c r="FRS135" s="547"/>
      <c r="FRT135" s="547"/>
      <c r="FRU135" s="549"/>
      <c r="FRV135" s="548"/>
      <c r="FRW135" s="549"/>
      <c r="FRX135" s="549"/>
      <c r="FRY135" s="549"/>
      <c r="FRZ135" s="549"/>
      <c r="FSA135" s="548"/>
      <c r="FSB135" s="548"/>
      <c r="FSC135" s="548"/>
      <c r="FSD135" s="548"/>
      <c r="FSE135" s="8"/>
      <c r="FSF135" s="8"/>
      <c r="FSG135" s="503"/>
      <c r="FSH135" s="8"/>
      <c r="FSI135" s="8"/>
      <c r="FSJ135" s="547"/>
      <c r="FSK135" s="547"/>
      <c r="FSL135" s="547"/>
      <c r="FSM135" s="547"/>
      <c r="FSN135" s="548"/>
      <c r="FSO135" s="547"/>
      <c r="FSP135" s="547"/>
      <c r="FSQ135" s="547"/>
      <c r="FSR135" s="547"/>
      <c r="FSS135" s="548"/>
      <c r="FST135" s="547"/>
      <c r="FSU135" s="547"/>
      <c r="FSV135" s="547"/>
      <c r="FSW135" s="547"/>
      <c r="FSX135" s="548"/>
      <c r="FSY135" s="547"/>
      <c r="FSZ135" s="547"/>
      <c r="FTA135" s="547"/>
      <c r="FTB135" s="549"/>
      <c r="FTC135" s="548"/>
      <c r="FTD135" s="549"/>
      <c r="FTE135" s="549"/>
      <c r="FTF135" s="549"/>
      <c r="FTG135" s="549"/>
      <c r="FTH135" s="548"/>
      <c r="FTI135" s="548"/>
      <c r="FTJ135" s="548"/>
      <c r="FTK135" s="548"/>
      <c r="FTL135" s="8"/>
      <c r="FTM135" s="8"/>
      <c r="FTN135" s="503"/>
      <c r="FTO135" s="8"/>
      <c r="FTP135" s="8"/>
      <c r="FTQ135" s="547"/>
      <c r="FTR135" s="547"/>
      <c r="FTS135" s="547"/>
      <c r="FTT135" s="547"/>
      <c r="FTU135" s="548"/>
      <c r="FTV135" s="547"/>
      <c r="FTW135" s="547"/>
      <c r="FTX135" s="547"/>
      <c r="FTY135" s="547"/>
      <c r="FTZ135" s="548"/>
      <c r="FUA135" s="547"/>
      <c r="FUB135" s="547"/>
      <c r="FUC135" s="547"/>
      <c r="FUD135" s="547"/>
      <c r="FUE135" s="548"/>
      <c r="FUF135" s="547"/>
      <c r="FUG135" s="547"/>
      <c r="FUH135" s="547"/>
      <c r="FUI135" s="549"/>
      <c r="FUJ135" s="548"/>
      <c r="FUK135" s="549"/>
      <c r="FUL135" s="549"/>
      <c r="FUM135" s="549"/>
      <c r="FUN135" s="549"/>
      <c r="FUO135" s="548"/>
      <c r="FUP135" s="548"/>
      <c r="FUQ135" s="548"/>
      <c r="FUR135" s="548"/>
      <c r="FUS135" s="8"/>
      <c r="FUT135" s="8"/>
      <c r="FUU135" s="503"/>
      <c r="FUV135" s="8"/>
      <c r="FUW135" s="8"/>
      <c r="FUX135" s="547"/>
      <c r="FUY135" s="547"/>
      <c r="FUZ135" s="547"/>
      <c r="FVA135" s="547"/>
      <c r="FVB135" s="548"/>
      <c r="FVC135" s="547"/>
      <c r="FVD135" s="547"/>
      <c r="FVE135" s="547"/>
      <c r="FVF135" s="547"/>
      <c r="FVG135" s="548"/>
      <c r="FVH135" s="547"/>
      <c r="FVI135" s="547"/>
      <c r="FVJ135" s="547"/>
      <c r="FVK135" s="547"/>
      <c r="FVL135" s="548"/>
      <c r="FVM135" s="547"/>
      <c r="FVN135" s="547"/>
      <c r="FVO135" s="547"/>
      <c r="FVP135" s="549"/>
      <c r="FVQ135" s="548"/>
      <c r="FVR135" s="549"/>
      <c r="FVS135" s="549"/>
      <c r="FVT135" s="549"/>
      <c r="FVU135" s="549"/>
      <c r="FVV135" s="548"/>
      <c r="FVW135" s="548"/>
      <c r="FVX135" s="548"/>
      <c r="FVY135" s="548"/>
      <c r="FVZ135" s="8"/>
      <c r="FWA135" s="8"/>
      <c r="FWB135" s="503"/>
      <c r="FWC135" s="8"/>
      <c r="FWD135" s="8"/>
      <c r="FWE135" s="547"/>
      <c r="FWF135" s="547"/>
      <c r="FWG135" s="547"/>
      <c r="FWH135" s="547"/>
      <c r="FWI135" s="548"/>
      <c r="FWJ135" s="547"/>
      <c r="FWK135" s="547"/>
      <c r="FWL135" s="547"/>
      <c r="FWM135" s="547"/>
      <c r="FWN135" s="548"/>
      <c r="FWO135" s="547"/>
      <c r="FWP135" s="547"/>
      <c r="FWQ135" s="547"/>
      <c r="FWR135" s="547"/>
      <c r="FWS135" s="548"/>
      <c r="FWT135" s="547"/>
      <c r="FWU135" s="547"/>
      <c r="FWV135" s="547"/>
      <c r="FWW135" s="549"/>
      <c r="FWX135" s="548"/>
      <c r="FWY135" s="549"/>
      <c r="FWZ135" s="549"/>
      <c r="FXA135" s="549"/>
      <c r="FXB135" s="549"/>
      <c r="FXC135" s="548"/>
      <c r="FXD135" s="548"/>
      <c r="FXE135" s="548"/>
      <c r="FXF135" s="548"/>
      <c r="FXG135" s="8"/>
      <c r="FXH135" s="8"/>
      <c r="FXI135" s="503"/>
      <c r="FXJ135" s="8"/>
      <c r="FXK135" s="8"/>
      <c r="FXL135" s="547"/>
      <c r="FXM135" s="547"/>
      <c r="FXN135" s="547"/>
      <c r="FXO135" s="547"/>
      <c r="FXP135" s="548"/>
      <c r="FXQ135" s="547"/>
      <c r="FXR135" s="547"/>
      <c r="FXS135" s="547"/>
      <c r="FXT135" s="547"/>
      <c r="FXU135" s="548"/>
      <c r="FXV135" s="547"/>
      <c r="FXW135" s="547"/>
      <c r="FXX135" s="547"/>
      <c r="FXY135" s="547"/>
      <c r="FXZ135" s="548"/>
      <c r="FYA135" s="547"/>
      <c r="FYB135" s="547"/>
      <c r="FYC135" s="547"/>
      <c r="FYD135" s="549"/>
      <c r="FYE135" s="548"/>
      <c r="FYF135" s="549"/>
      <c r="FYG135" s="549"/>
      <c r="FYH135" s="549"/>
      <c r="FYI135" s="549"/>
      <c r="FYJ135" s="548"/>
      <c r="FYK135" s="548"/>
      <c r="FYL135" s="548"/>
      <c r="FYM135" s="548"/>
      <c r="FYN135" s="8"/>
      <c r="FYO135" s="8"/>
      <c r="FYP135" s="503"/>
      <c r="FYQ135" s="8"/>
      <c r="FYR135" s="8"/>
      <c r="FYS135" s="547"/>
      <c r="FYT135" s="547"/>
      <c r="FYU135" s="547"/>
      <c r="FYV135" s="547"/>
      <c r="FYW135" s="548"/>
      <c r="FYX135" s="547"/>
      <c r="FYY135" s="547"/>
      <c r="FYZ135" s="547"/>
      <c r="FZA135" s="547"/>
      <c r="FZB135" s="548"/>
      <c r="FZC135" s="547"/>
      <c r="FZD135" s="547"/>
      <c r="FZE135" s="547"/>
      <c r="FZF135" s="547"/>
      <c r="FZG135" s="548"/>
      <c r="FZH135" s="547"/>
      <c r="FZI135" s="547"/>
      <c r="FZJ135" s="547"/>
      <c r="FZK135" s="549"/>
      <c r="FZL135" s="548"/>
      <c r="FZM135" s="549"/>
      <c r="FZN135" s="549"/>
      <c r="FZO135" s="549"/>
      <c r="FZP135" s="549"/>
      <c r="FZQ135" s="548"/>
      <c r="FZR135" s="548"/>
      <c r="FZS135" s="548"/>
      <c r="FZT135" s="548"/>
      <c r="FZU135" s="8"/>
      <c r="FZV135" s="8"/>
      <c r="FZW135" s="503"/>
      <c r="FZX135" s="8"/>
      <c r="FZY135" s="8"/>
      <c r="FZZ135" s="547"/>
      <c r="GAA135" s="547"/>
      <c r="GAB135" s="547"/>
      <c r="GAC135" s="547"/>
      <c r="GAD135" s="548"/>
      <c r="GAE135" s="547"/>
      <c r="GAF135" s="547"/>
      <c r="GAG135" s="547"/>
      <c r="GAH135" s="547"/>
      <c r="GAI135" s="548"/>
      <c r="GAJ135" s="547"/>
      <c r="GAK135" s="547"/>
      <c r="GAL135" s="547"/>
      <c r="GAM135" s="547"/>
      <c r="GAN135" s="548"/>
      <c r="GAO135" s="547"/>
      <c r="GAP135" s="547"/>
      <c r="GAQ135" s="547"/>
      <c r="GAR135" s="549"/>
      <c r="GAS135" s="548"/>
      <c r="GAT135" s="549"/>
      <c r="GAU135" s="549"/>
      <c r="GAV135" s="549"/>
      <c r="GAW135" s="549"/>
      <c r="GAX135" s="548"/>
      <c r="GAY135" s="548"/>
      <c r="GAZ135" s="548"/>
      <c r="GBA135" s="548"/>
      <c r="GBB135" s="8"/>
      <c r="GBC135" s="8"/>
      <c r="GBD135" s="503"/>
      <c r="GBE135" s="8"/>
      <c r="GBF135" s="8"/>
      <c r="GBG135" s="547"/>
      <c r="GBH135" s="547"/>
      <c r="GBI135" s="547"/>
      <c r="GBJ135" s="547"/>
      <c r="GBK135" s="548"/>
      <c r="GBL135" s="547"/>
      <c r="GBM135" s="547"/>
      <c r="GBN135" s="547"/>
      <c r="GBO135" s="547"/>
      <c r="GBP135" s="548"/>
      <c r="GBQ135" s="547"/>
      <c r="GBR135" s="547"/>
      <c r="GBS135" s="547"/>
      <c r="GBT135" s="547"/>
      <c r="GBU135" s="548"/>
      <c r="GBV135" s="547"/>
      <c r="GBW135" s="547"/>
      <c r="GBX135" s="547"/>
      <c r="GBY135" s="549"/>
      <c r="GBZ135" s="548"/>
      <c r="GCA135" s="549"/>
      <c r="GCB135" s="549"/>
      <c r="GCC135" s="549"/>
      <c r="GCD135" s="549"/>
      <c r="GCE135" s="548"/>
      <c r="GCF135" s="548"/>
      <c r="GCG135" s="548"/>
      <c r="GCH135" s="548"/>
      <c r="GCI135" s="8"/>
      <c r="GCJ135" s="8"/>
      <c r="GCK135" s="503"/>
      <c r="GCL135" s="8"/>
      <c r="GCM135" s="8"/>
      <c r="GCN135" s="547"/>
      <c r="GCO135" s="547"/>
      <c r="GCP135" s="547"/>
      <c r="GCQ135" s="547"/>
      <c r="GCR135" s="548"/>
      <c r="GCS135" s="547"/>
      <c r="GCT135" s="547"/>
      <c r="GCU135" s="547"/>
      <c r="GCV135" s="547"/>
      <c r="GCW135" s="548"/>
      <c r="GCX135" s="547"/>
      <c r="GCY135" s="547"/>
      <c r="GCZ135" s="547"/>
      <c r="GDA135" s="547"/>
      <c r="GDB135" s="548"/>
      <c r="GDC135" s="547"/>
      <c r="GDD135" s="547"/>
      <c r="GDE135" s="547"/>
      <c r="GDF135" s="549"/>
      <c r="GDG135" s="548"/>
      <c r="GDH135" s="549"/>
      <c r="GDI135" s="549"/>
      <c r="GDJ135" s="549"/>
      <c r="GDK135" s="549"/>
      <c r="GDL135" s="548"/>
      <c r="GDM135" s="548"/>
      <c r="GDN135" s="548"/>
      <c r="GDO135" s="548"/>
      <c r="GDP135" s="8"/>
      <c r="GDQ135" s="8"/>
      <c r="GDR135" s="503"/>
      <c r="GDS135" s="8"/>
      <c r="GDT135" s="8"/>
      <c r="GDU135" s="547"/>
      <c r="GDV135" s="547"/>
      <c r="GDW135" s="547"/>
      <c r="GDX135" s="547"/>
      <c r="GDY135" s="548"/>
      <c r="GDZ135" s="547"/>
      <c r="GEA135" s="547"/>
      <c r="GEB135" s="547"/>
      <c r="GEC135" s="547"/>
      <c r="GED135" s="548"/>
      <c r="GEE135" s="547"/>
      <c r="GEF135" s="547"/>
      <c r="GEG135" s="547"/>
      <c r="GEH135" s="547"/>
      <c r="GEI135" s="548"/>
      <c r="GEJ135" s="547"/>
      <c r="GEK135" s="547"/>
      <c r="GEL135" s="547"/>
      <c r="GEM135" s="549"/>
      <c r="GEN135" s="548"/>
      <c r="GEO135" s="549"/>
      <c r="GEP135" s="549"/>
      <c r="GEQ135" s="549"/>
      <c r="GER135" s="549"/>
      <c r="GES135" s="548"/>
      <c r="GET135" s="548"/>
      <c r="GEU135" s="548"/>
      <c r="GEV135" s="548"/>
      <c r="GEW135" s="8"/>
      <c r="GEX135" s="8"/>
      <c r="GEY135" s="503"/>
      <c r="GEZ135" s="8"/>
      <c r="GFA135" s="8"/>
      <c r="GFB135" s="547"/>
      <c r="GFC135" s="547"/>
      <c r="GFD135" s="547"/>
      <c r="GFE135" s="547"/>
      <c r="GFF135" s="548"/>
      <c r="GFG135" s="547"/>
      <c r="GFH135" s="547"/>
      <c r="GFI135" s="547"/>
      <c r="GFJ135" s="547"/>
      <c r="GFK135" s="548"/>
      <c r="GFL135" s="547"/>
      <c r="GFM135" s="547"/>
      <c r="GFN135" s="547"/>
      <c r="GFO135" s="547"/>
      <c r="GFP135" s="548"/>
      <c r="GFQ135" s="547"/>
      <c r="GFR135" s="547"/>
      <c r="GFS135" s="547"/>
      <c r="GFT135" s="549"/>
      <c r="GFU135" s="548"/>
      <c r="GFV135" s="549"/>
      <c r="GFW135" s="549"/>
      <c r="GFX135" s="549"/>
      <c r="GFY135" s="549"/>
      <c r="GFZ135" s="548"/>
      <c r="GGA135" s="548"/>
      <c r="GGB135" s="548"/>
      <c r="GGC135" s="548"/>
      <c r="GGD135" s="8"/>
      <c r="GGE135" s="8"/>
      <c r="GGF135" s="503"/>
      <c r="GGG135" s="8"/>
      <c r="GGH135" s="8"/>
      <c r="GGI135" s="547"/>
      <c r="GGJ135" s="547"/>
      <c r="GGK135" s="547"/>
      <c r="GGL135" s="547"/>
      <c r="GGM135" s="548"/>
      <c r="GGN135" s="547"/>
      <c r="GGO135" s="547"/>
      <c r="GGP135" s="547"/>
      <c r="GGQ135" s="547"/>
      <c r="GGR135" s="548"/>
      <c r="GGS135" s="547"/>
      <c r="GGT135" s="547"/>
      <c r="GGU135" s="547"/>
      <c r="GGV135" s="547"/>
      <c r="GGW135" s="548"/>
      <c r="GGX135" s="547"/>
      <c r="GGY135" s="547"/>
      <c r="GGZ135" s="547"/>
      <c r="GHA135" s="549"/>
      <c r="GHB135" s="548"/>
      <c r="GHC135" s="549"/>
      <c r="GHD135" s="549"/>
      <c r="GHE135" s="549"/>
      <c r="GHF135" s="549"/>
      <c r="GHG135" s="548"/>
      <c r="GHH135" s="548"/>
      <c r="GHI135" s="548"/>
      <c r="GHJ135" s="548"/>
      <c r="GHK135" s="8"/>
      <c r="GHL135" s="8"/>
      <c r="GHM135" s="503"/>
      <c r="GHN135" s="8"/>
      <c r="GHO135" s="8"/>
      <c r="GHP135" s="547"/>
      <c r="GHQ135" s="547"/>
      <c r="GHR135" s="547"/>
      <c r="GHS135" s="547"/>
      <c r="GHT135" s="548"/>
      <c r="GHU135" s="547"/>
      <c r="GHV135" s="547"/>
      <c r="GHW135" s="547"/>
      <c r="GHX135" s="547"/>
      <c r="GHY135" s="548"/>
      <c r="GHZ135" s="547"/>
      <c r="GIA135" s="547"/>
      <c r="GIB135" s="547"/>
      <c r="GIC135" s="547"/>
      <c r="GID135" s="548"/>
      <c r="GIE135" s="547"/>
      <c r="GIF135" s="547"/>
      <c r="GIG135" s="547"/>
      <c r="GIH135" s="549"/>
      <c r="GII135" s="548"/>
      <c r="GIJ135" s="549"/>
      <c r="GIK135" s="549"/>
      <c r="GIL135" s="549"/>
      <c r="GIM135" s="549"/>
      <c r="GIN135" s="548"/>
      <c r="GIO135" s="548"/>
      <c r="GIP135" s="548"/>
      <c r="GIQ135" s="548"/>
      <c r="GIR135" s="8"/>
      <c r="GIS135" s="8"/>
      <c r="GIT135" s="503"/>
      <c r="GIU135" s="8"/>
      <c r="GIV135" s="8"/>
      <c r="GIW135" s="547"/>
      <c r="GIX135" s="547"/>
      <c r="GIY135" s="547"/>
      <c r="GIZ135" s="547"/>
      <c r="GJA135" s="548"/>
      <c r="GJB135" s="547"/>
      <c r="GJC135" s="547"/>
      <c r="GJD135" s="547"/>
      <c r="GJE135" s="547"/>
      <c r="GJF135" s="548"/>
      <c r="GJG135" s="547"/>
      <c r="GJH135" s="547"/>
      <c r="GJI135" s="547"/>
      <c r="GJJ135" s="547"/>
      <c r="GJK135" s="548"/>
      <c r="GJL135" s="547"/>
      <c r="GJM135" s="547"/>
      <c r="GJN135" s="547"/>
      <c r="GJO135" s="549"/>
      <c r="GJP135" s="548"/>
      <c r="GJQ135" s="549"/>
      <c r="GJR135" s="549"/>
      <c r="GJS135" s="549"/>
      <c r="GJT135" s="549"/>
      <c r="GJU135" s="548"/>
      <c r="GJV135" s="548"/>
      <c r="GJW135" s="548"/>
      <c r="GJX135" s="548"/>
      <c r="GJY135" s="8"/>
      <c r="GJZ135" s="8"/>
      <c r="GKA135" s="503"/>
      <c r="GKB135" s="8"/>
      <c r="GKC135" s="8"/>
      <c r="GKD135" s="547"/>
      <c r="GKE135" s="547"/>
      <c r="GKF135" s="547"/>
      <c r="GKG135" s="547"/>
      <c r="GKH135" s="548"/>
      <c r="GKI135" s="547"/>
      <c r="GKJ135" s="547"/>
      <c r="GKK135" s="547"/>
      <c r="GKL135" s="547"/>
      <c r="GKM135" s="548"/>
      <c r="GKN135" s="547"/>
      <c r="GKO135" s="547"/>
      <c r="GKP135" s="547"/>
      <c r="GKQ135" s="547"/>
      <c r="GKR135" s="548"/>
      <c r="GKS135" s="547"/>
      <c r="GKT135" s="547"/>
      <c r="GKU135" s="547"/>
      <c r="GKV135" s="549"/>
      <c r="GKW135" s="548"/>
      <c r="GKX135" s="549"/>
      <c r="GKY135" s="549"/>
      <c r="GKZ135" s="549"/>
      <c r="GLA135" s="549"/>
      <c r="GLB135" s="548"/>
      <c r="GLC135" s="548"/>
      <c r="GLD135" s="548"/>
      <c r="GLE135" s="548"/>
      <c r="GLF135" s="8"/>
      <c r="GLG135" s="8"/>
      <c r="GLH135" s="503"/>
      <c r="GLI135" s="8"/>
      <c r="GLJ135" s="8"/>
      <c r="GLK135" s="547"/>
      <c r="GLL135" s="547"/>
      <c r="GLM135" s="547"/>
      <c r="GLN135" s="547"/>
      <c r="GLO135" s="548"/>
      <c r="GLP135" s="547"/>
      <c r="GLQ135" s="547"/>
      <c r="GLR135" s="547"/>
      <c r="GLS135" s="547"/>
      <c r="GLT135" s="548"/>
      <c r="GLU135" s="547"/>
      <c r="GLV135" s="547"/>
      <c r="GLW135" s="547"/>
      <c r="GLX135" s="547"/>
      <c r="GLY135" s="548"/>
      <c r="GLZ135" s="547"/>
      <c r="GMA135" s="547"/>
      <c r="GMB135" s="547"/>
      <c r="GMC135" s="549"/>
      <c r="GMD135" s="548"/>
      <c r="GME135" s="549"/>
      <c r="GMF135" s="549"/>
      <c r="GMG135" s="549"/>
      <c r="GMH135" s="549"/>
      <c r="GMI135" s="548"/>
      <c r="GMJ135" s="548"/>
      <c r="GMK135" s="548"/>
      <c r="GML135" s="548"/>
      <c r="GMM135" s="8"/>
      <c r="GMN135" s="8"/>
      <c r="GMO135" s="503"/>
      <c r="GMP135" s="8"/>
      <c r="GMQ135" s="8"/>
      <c r="GMR135" s="547"/>
      <c r="GMS135" s="547"/>
      <c r="GMT135" s="547"/>
      <c r="GMU135" s="547"/>
      <c r="GMV135" s="548"/>
      <c r="GMW135" s="547"/>
      <c r="GMX135" s="547"/>
      <c r="GMY135" s="547"/>
      <c r="GMZ135" s="547"/>
      <c r="GNA135" s="548"/>
      <c r="GNB135" s="547"/>
      <c r="GNC135" s="547"/>
      <c r="GND135" s="547"/>
      <c r="GNE135" s="547"/>
      <c r="GNF135" s="548"/>
      <c r="GNG135" s="547"/>
      <c r="GNH135" s="547"/>
      <c r="GNI135" s="547"/>
      <c r="GNJ135" s="549"/>
      <c r="GNK135" s="548"/>
      <c r="GNL135" s="549"/>
      <c r="GNM135" s="549"/>
      <c r="GNN135" s="549"/>
      <c r="GNO135" s="549"/>
      <c r="GNP135" s="548"/>
      <c r="GNQ135" s="548"/>
      <c r="GNR135" s="548"/>
      <c r="GNS135" s="548"/>
      <c r="GNT135" s="8"/>
      <c r="GNU135" s="8"/>
      <c r="GNV135" s="503"/>
      <c r="GNW135" s="8"/>
      <c r="GNX135" s="8"/>
      <c r="GNY135" s="547"/>
      <c r="GNZ135" s="547"/>
      <c r="GOA135" s="547"/>
      <c r="GOB135" s="547"/>
      <c r="GOC135" s="548"/>
      <c r="GOD135" s="547"/>
      <c r="GOE135" s="547"/>
      <c r="GOF135" s="547"/>
      <c r="GOG135" s="547"/>
      <c r="GOH135" s="548"/>
      <c r="GOI135" s="547"/>
      <c r="GOJ135" s="547"/>
      <c r="GOK135" s="547"/>
      <c r="GOL135" s="547"/>
      <c r="GOM135" s="548"/>
      <c r="GON135" s="547"/>
      <c r="GOO135" s="547"/>
      <c r="GOP135" s="547"/>
      <c r="GOQ135" s="549"/>
      <c r="GOR135" s="548"/>
      <c r="GOS135" s="549"/>
      <c r="GOT135" s="549"/>
      <c r="GOU135" s="549"/>
      <c r="GOV135" s="549"/>
      <c r="GOW135" s="548"/>
      <c r="GOX135" s="548"/>
      <c r="GOY135" s="548"/>
      <c r="GOZ135" s="548"/>
      <c r="GPA135" s="8"/>
      <c r="GPB135" s="8"/>
      <c r="GPC135" s="503"/>
      <c r="GPD135" s="8"/>
      <c r="GPE135" s="8"/>
      <c r="GPF135" s="547"/>
      <c r="GPG135" s="547"/>
      <c r="GPH135" s="547"/>
      <c r="GPI135" s="547"/>
      <c r="GPJ135" s="548"/>
      <c r="GPK135" s="547"/>
      <c r="GPL135" s="547"/>
      <c r="GPM135" s="547"/>
      <c r="GPN135" s="547"/>
      <c r="GPO135" s="548"/>
      <c r="GPP135" s="547"/>
      <c r="GPQ135" s="547"/>
      <c r="GPR135" s="547"/>
      <c r="GPS135" s="547"/>
      <c r="GPT135" s="548"/>
      <c r="GPU135" s="547"/>
      <c r="GPV135" s="547"/>
      <c r="GPW135" s="547"/>
      <c r="GPX135" s="549"/>
      <c r="GPY135" s="548"/>
      <c r="GPZ135" s="549"/>
      <c r="GQA135" s="549"/>
      <c r="GQB135" s="549"/>
      <c r="GQC135" s="549"/>
      <c r="GQD135" s="548"/>
      <c r="GQE135" s="548"/>
      <c r="GQF135" s="548"/>
      <c r="GQG135" s="548"/>
      <c r="GQH135" s="8"/>
      <c r="GQI135" s="8"/>
      <c r="GQJ135" s="503"/>
      <c r="GQK135" s="8"/>
      <c r="GQL135" s="8"/>
      <c r="GQM135" s="547"/>
      <c r="GQN135" s="547"/>
      <c r="GQO135" s="547"/>
      <c r="GQP135" s="547"/>
      <c r="GQQ135" s="548"/>
      <c r="GQR135" s="547"/>
      <c r="GQS135" s="547"/>
      <c r="GQT135" s="547"/>
      <c r="GQU135" s="547"/>
      <c r="GQV135" s="548"/>
      <c r="GQW135" s="547"/>
      <c r="GQX135" s="547"/>
      <c r="GQY135" s="547"/>
      <c r="GQZ135" s="547"/>
      <c r="GRA135" s="548"/>
      <c r="GRB135" s="547"/>
      <c r="GRC135" s="547"/>
      <c r="GRD135" s="547"/>
      <c r="GRE135" s="549"/>
      <c r="GRF135" s="548"/>
      <c r="GRG135" s="549"/>
      <c r="GRH135" s="549"/>
      <c r="GRI135" s="549"/>
      <c r="GRJ135" s="549"/>
      <c r="GRK135" s="548"/>
      <c r="GRL135" s="548"/>
      <c r="GRM135" s="548"/>
      <c r="GRN135" s="548"/>
      <c r="GRO135" s="8"/>
      <c r="GRP135" s="8"/>
      <c r="GRQ135" s="503"/>
      <c r="GRR135" s="8"/>
      <c r="GRS135" s="8"/>
      <c r="GRT135" s="547"/>
      <c r="GRU135" s="547"/>
      <c r="GRV135" s="547"/>
      <c r="GRW135" s="547"/>
      <c r="GRX135" s="548"/>
      <c r="GRY135" s="547"/>
      <c r="GRZ135" s="547"/>
      <c r="GSA135" s="547"/>
      <c r="GSB135" s="547"/>
      <c r="GSC135" s="548"/>
      <c r="GSD135" s="547"/>
      <c r="GSE135" s="547"/>
      <c r="GSF135" s="547"/>
      <c r="GSG135" s="547"/>
      <c r="GSH135" s="548"/>
      <c r="GSI135" s="547"/>
      <c r="GSJ135" s="547"/>
      <c r="GSK135" s="547"/>
      <c r="GSL135" s="549"/>
      <c r="GSM135" s="548"/>
      <c r="GSN135" s="549"/>
      <c r="GSO135" s="549"/>
      <c r="GSP135" s="549"/>
      <c r="GSQ135" s="549"/>
      <c r="GSR135" s="548"/>
      <c r="GSS135" s="548"/>
      <c r="GST135" s="548"/>
      <c r="GSU135" s="548"/>
      <c r="GSV135" s="8"/>
      <c r="GSW135" s="8"/>
      <c r="GSX135" s="503"/>
      <c r="GSY135" s="8"/>
      <c r="GSZ135" s="8"/>
      <c r="GTA135" s="547"/>
      <c r="GTB135" s="547"/>
      <c r="GTC135" s="547"/>
      <c r="GTD135" s="547"/>
      <c r="GTE135" s="548"/>
      <c r="GTF135" s="547"/>
      <c r="GTG135" s="547"/>
      <c r="GTH135" s="547"/>
      <c r="GTI135" s="547"/>
      <c r="GTJ135" s="548"/>
      <c r="GTK135" s="547"/>
      <c r="GTL135" s="547"/>
      <c r="GTM135" s="547"/>
      <c r="GTN135" s="547"/>
      <c r="GTO135" s="548"/>
      <c r="GTP135" s="547"/>
      <c r="GTQ135" s="547"/>
      <c r="GTR135" s="547"/>
      <c r="GTS135" s="549"/>
      <c r="GTT135" s="548"/>
      <c r="GTU135" s="549"/>
      <c r="GTV135" s="549"/>
      <c r="GTW135" s="549"/>
      <c r="GTX135" s="549"/>
      <c r="GTY135" s="548"/>
      <c r="GTZ135" s="548"/>
      <c r="GUA135" s="548"/>
      <c r="GUB135" s="548"/>
      <c r="GUC135" s="8"/>
      <c r="GUD135" s="8"/>
      <c r="GUE135" s="503"/>
      <c r="GUF135" s="8"/>
      <c r="GUG135" s="8"/>
      <c r="GUH135" s="547"/>
      <c r="GUI135" s="547"/>
      <c r="GUJ135" s="547"/>
      <c r="GUK135" s="547"/>
      <c r="GUL135" s="548"/>
      <c r="GUM135" s="547"/>
      <c r="GUN135" s="547"/>
      <c r="GUO135" s="547"/>
      <c r="GUP135" s="547"/>
      <c r="GUQ135" s="548"/>
      <c r="GUR135" s="547"/>
      <c r="GUS135" s="547"/>
      <c r="GUT135" s="547"/>
      <c r="GUU135" s="547"/>
      <c r="GUV135" s="548"/>
      <c r="GUW135" s="547"/>
      <c r="GUX135" s="547"/>
      <c r="GUY135" s="547"/>
      <c r="GUZ135" s="549"/>
      <c r="GVA135" s="548"/>
      <c r="GVB135" s="549"/>
      <c r="GVC135" s="549"/>
      <c r="GVD135" s="549"/>
      <c r="GVE135" s="549"/>
      <c r="GVF135" s="548"/>
      <c r="GVG135" s="548"/>
      <c r="GVH135" s="548"/>
      <c r="GVI135" s="548"/>
      <c r="GVJ135" s="8"/>
      <c r="GVK135" s="8"/>
      <c r="GVL135" s="503"/>
      <c r="GVM135" s="8"/>
      <c r="GVN135" s="8"/>
      <c r="GVO135" s="547"/>
      <c r="GVP135" s="547"/>
      <c r="GVQ135" s="547"/>
      <c r="GVR135" s="547"/>
      <c r="GVS135" s="548"/>
      <c r="GVT135" s="547"/>
      <c r="GVU135" s="547"/>
      <c r="GVV135" s="547"/>
      <c r="GVW135" s="547"/>
      <c r="GVX135" s="548"/>
      <c r="GVY135" s="547"/>
      <c r="GVZ135" s="547"/>
      <c r="GWA135" s="547"/>
      <c r="GWB135" s="547"/>
      <c r="GWC135" s="548"/>
      <c r="GWD135" s="547"/>
      <c r="GWE135" s="547"/>
      <c r="GWF135" s="547"/>
      <c r="GWG135" s="549"/>
      <c r="GWH135" s="548"/>
      <c r="GWI135" s="549"/>
      <c r="GWJ135" s="549"/>
      <c r="GWK135" s="549"/>
      <c r="GWL135" s="549"/>
      <c r="GWM135" s="548"/>
      <c r="GWN135" s="548"/>
      <c r="GWO135" s="548"/>
      <c r="GWP135" s="548"/>
      <c r="GWQ135" s="8"/>
      <c r="GWR135" s="8"/>
      <c r="GWS135" s="503"/>
      <c r="GWT135" s="8"/>
      <c r="GWU135" s="8"/>
      <c r="GWV135" s="547"/>
      <c r="GWW135" s="547"/>
      <c r="GWX135" s="547"/>
      <c r="GWY135" s="547"/>
      <c r="GWZ135" s="548"/>
      <c r="GXA135" s="547"/>
      <c r="GXB135" s="547"/>
      <c r="GXC135" s="547"/>
      <c r="GXD135" s="547"/>
      <c r="GXE135" s="548"/>
      <c r="GXF135" s="547"/>
      <c r="GXG135" s="547"/>
      <c r="GXH135" s="547"/>
      <c r="GXI135" s="547"/>
      <c r="GXJ135" s="548"/>
      <c r="GXK135" s="547"/>
      <c r="GXL135" s="547"/>
      <c r="GXM135" s="547"/>
      <c r="GXN135" s="549"/>
      <c r="GXO135" s="548"/>
      <c r="GXP135" s="549"/>
      <c r="GXQ135" s="549"/>
      <c r="GXR135" s="549"/>
      <c r="GXS135" s="549"/>
      <c r="GXT135" s="548"/>
      <c r="GXU135" s="548"/>
      <c r="GXV135" s="548"/>
      <c r="GXW135" s="548"/>
      <c r="GXX135" s="8"/>
      <c r="GXY135" s="8"/>
      <c r="GXZ135" s="503"/>
      <c r="GYA135" s="8"/>
      <c r="GYB135" s="8"/>
      <c r="GYC135" s="547"/>
      <c r="GYD135" s="547"/>
      <c r="GYE135" s="547"/>
      <c r="GYF135" s="547"/>
      <c r="GYG135" s="548"/>
      <c r="GYH135" s="547"/>
      <c r="GYI135" s="547"/>
      <c r="GYJ135" s="547"/>
      <c r="GYK135" s="547"/>
      <c r="GYL135" s="548"/>
      <c r="GYM135" s="547"/>
      <c r="GYN135" s="547"/>
      <c r="GYO135" s="547"/>
      <c r="GYP135" s="547"/>
      <c r="GYQ135" s="548"/>
      <c r="GYR135" s="547"/>
      <c r="GYS135" s="547"/>
      <c r="GYT135" s="547"/>
      <c r="GYU135" s="549"/>
      <c r="GYV135" s="548"/>
      <c r="GYW135" s="549"/>
      <c r="GYX135" s="549"/>
      <c r="GYY135" s="549"/>
      <c r="GYZ135" s="549"/>
      <c r="GZA135" s="548"/>
      <c r="GZB135" s="548"/>
      <c r="GZC135" s="548"/>
      <c r="GZD135" s="548"/>
      <c r="GZE135" s="8"/>
      <c r="GZF135" s="8"/>
      <c r="GZG135" s="503"/>
      <c r="GZH135" s="8"/>
      <c r="GZI135" s="8"/>
      <c r="GZJ135" s="547"/>
      <c r="GZK135" s="547"/>
      <c r="GZL135" s="547"/>
      <c r="GZM135" s="547"/>
      <c r="GZN135" s="548"/>
      <c r="GZO135" s="547"/>
      <c r="GZP135" s="547"/>
      <c r="GZQ135" s="547"/>
      <c r="GZR135" s="547"/>
      <c r="GZS135" s="548"/>
      <c r="GZT135" s="547"/>
      <c r="GZU135" s="547"/>
      <c r="GZV135" s="547"/>
      <c r="GZW135" s="547"/>
      <c r="GZX135" s="548"/>
      <c r="GZY135" s="547"/>
      <c r="GZZ135" s="547"/>
      <c r="HAA135" s="547"/>
      <c r="HAB135" s="549"/>
      <c r="HAC135" s="548"/>
      <c r="HAD135" s="549"/>
      <c r="HAE135" s="549"/>
      <c r="HAF135" s="549"/>
      <c r="HAG135" s="549"/>
      <c r="HAH135" s="548"/>
      <c r="HAI135" s="548"/>
      <c r="HAJ135" s="548"/>
      <c r="HAK135" s="548"/>
      <c r="HAL135" s="8"/>
      <c r="HAM135" s="8"/>
      <c r="HAN135" s="503"/>
      <c r="HAO135" s="8"/>
      <c r="HAP135" s="8"/>
      <c r="HAQ135" s="547"/>
      <c r="HAR135" s="547"/>
      <c r="HAS135" s="547"/>
      <c r="HAT135" s="547"/>
      <c r="HAU135" s="548"/>
      <c r="HAV135" s="547"/>
      <c r="HAW135" s="547"/>
      <c r="HAX135" s="547"/>
      <c r="HAY135" s="547"/>
      <c r="HAZ135" s="548"/>
      <c r="HBA135" s="547"/>
      <c r="HBB135" s="547"/>
      <c r="HBC135" s="547"/>
      <c r="HBD135" s="547"/>
      <c r="HBE135" s="548"/>
      <c r="HBF135" s="547"/>
      <c r="HBG135" s="547"/>
      <c r="HBH135" s="547"/>
      <c r="HBI135" s="549"/>
      <c r="HBJ135" s="548"/>
      <c r="HBK135" s="549"/>
      <c r="HBL135" s="549"/>
      <c r="HBM135" s="549"/>
      <c r="HBN135" s="549"/>
      <c r="HBO135" s="548"/>
      <c r="HBP135" s="548"/>
      <c r="HBQ135" s="548"/>
      <c r="HBR135" s="548"/>
      <c r="HBS135" s="8"/>
      <c r="HBT135" s="8"/>
      <c r="HBU135" s="503"/>
      <c r="HBV135" s="8"/>
      <c r="HBW135" s="8"/>
      <c r="HBX135" s="547"/>
      <c r="HBY135" s="547"/>
      <c r="HBZ135" s="547"/>
      <c r="HCA135" s="547"/>
      <c r="HCB135" s="548"/>
      <c r="HCC135" s="547"/>
      <c r="HCD135" s="547"/>
      <c r="HCE135" s="547"/>
      <c r="HCF135" s="547"/>
      <c r="HCG135" s="548"/>
      <c r="HCH135" s="547"/>
      <c r="HCI135" s="547"/>
      <c r="HCJ135" s="547"/>
      <c r="HCK135" s="547"/>
      <c r="HCL135" s="548"/>
      <c r="HCM135" s="547"/>
      <c r="HCN135" s="547"/>
      <c r="HCO135" s="547"/>
      <c r="HCP135" s="549"/>
      <c r="HCQ135" s="548"/>
      <c r="HCR135" s="549"/>
      <c r="HCS135" s="549"/>
      <c r="HCT135" s="549"/>
      <c r="HCU135" s="549"/>
      <c r="HCV135" s="548"/>
      <c r="HCW135" s="548"/>
      <c r="HCX135" s="548"/>
      <c r="HCY135" s="548"/>
      <c r="HCZ135" s="8"/>
      <c r="HDA135" s="8"/>
      <c r="HDB135" s="503"/>
      <c r="HDC135" s="8"/>
      <c r="HDD135" s="8"/>
      <c r="HDE135" s="547"/>
      <c r="HDF135" s="547"/>
      <c r="HDG135" s="547"/>
      <c r="HDH135" s="547"/>
      <c r="HDI135" s="548"/>
      <c r="HDJ135" s="547"/>
      <c r="HDK135" s="547"/>
      <c r="HDL135" s="547"/>
      <c r="HDM135" s="547"/>
      <c r="HDN135" s="548"/>
      <c r="HDO135" s="547"/>
      <c r="HDP135" s="547"/>
      <c r="HDQ135" s="547"/>
      <c r="HDR135" s="547"/>
      <c r="HDS135" s="548"/>
      <c r="HDT135" s="547"/>
      <c r="HDU135" s="547"/>
      <c r="HDV135" s="547"/>
      <c r="HDW135" s="549"/>
      <c r="HDX135" s="548"/>
      <c r="HDY135" s="549"/>
      <c r="HDZ135" s="549"/>
      <c r="HEA135" s="549"/>
      <c r="HEB135" s="549"/>
      <c r="HEC135" s="548"/>
      <c r="HED135" s="548"/>
      <c r="HEE135" s="548"/>
      <c r="HEF135" s="548"/>
      <c r="HEG135" s="8"/>
      <c r="HEH135" s="8"/>
      <c r="HEI135" s="503"/>
      <c r="HEJ135" s="8"/>
      <c r="HEK135" s="8"/>
      <c r="HEL135" s="547"/>
      <c r="HEM135" s="547"/>
      <c r="HEN135" s="547"/>
      <c r="HEO135" s="547"/>
      <c r="HEP135" s="548"/>
      <c r="HEQ135" s="547"/>
      <c r="HER135" s="547"/>
      <c r="HES135" s="547"/>
      <c r="HET135" s="547"/>
      <c r="HEU135" s="548"/>
      <c r="HEV135" s="547"/>
      <c r="HEW135" s="547"/>
      <c r="HEX135" s="547"/>
      <c r="HEY135" s="547"/>
      <c r="HEZ135" s="548"/>
      <c r="HFA135" s="547"/>
      <c r="HFB135" s="547"/>
      <c r="HFC135" s="547"/>
      <c r="HFD135" s="549"/>
      <c r="HFE135" s="548"/>
      <c r="HFF135" s="549"/>
      <c r="HFG135" s="549"/>
      <c r="HFH135" s="549"/>
      <c r="HFI135" s="549"/>
      <c r="HFJ135" s="548"/>
      <c r="HFK135" s="548"/>
      <c r="HFL135" s="548"/>
      <c r="HFM135" s="548"/>
      <c r="HFN135" s="8"/>
      <c r="HFO135" s="8"/>
      <c r="HFP135" s="503"/>
      <c r="HFQ135" s="8"/>
      <c r="HFR135" s="8"/>
      <c r="HFS135" s="547"/>
      <c r="HFT135" s="547"/>
      <c r="HFU135" s="547"/>
      <c r="HFV135" s="547"/>
      <c r="HFW135" s="548"/>
      <c r="HFX135" s="547"/>
      <c r="HFY135" s="547"/>
      <c r="HFZ135" s="547"/>
      <c r="HGA135" s="547"/>
      <c r="HGB135" s="548"/>
      <c r="HGC135" s="547"/>
      <c r="HGD135" s="547"/>
      <c r="HGE135" s="547"/>
      <c r="HGF135" s="547"/>
      <c r="HGG135" s="548"/>
      <c r="HGH135" s="547"/>
      <c r="HGI135" s="547"/>
      <c r="HGJ135" s="547"/>
      <c r="HGK135" s="549"/>
      <c r="HGL135" s="548"/>
      <c r="HGM135" s="549"/>
      <c r="HGN135" s="549"/>
      <c r="HGO135" s="549"/>
      <c r="HGP135" s="549"/>
      <c r="HGQ135" s="548"/>
      <c r="HGR135" s="548"/>
      <c r="HGS135" s="548"/>
      <c r="HGT135" s="548"/>
      <c r="HGU135" s="8"/>
      <c r="HGV135" s="8"/>
      <c r="HGW135" s="503"/>
      <c r="HGX135" s="8"/>
      <c r="HGY135" s="8"/>
      <c r="HGZ135" s="547"/>
      <c r="HHA135" s="547"/>
      <c r="HHB135" s="547"/>
      <c r="HHC135" s="547"/>
      <c r="HHD135" s="548"/>
      <c r="HHE135" s="547"/>
      <c r="HHF135" s="547"/>
      <c r="HHG135" s="547"/>
      <c r="HHH135" s="547"/>
      <c r="HHI135" s="548"/>
      <c r="HHJ135" s="547"/>
      <c r="HHK135" s="547"/>
      <c r="HHL135" s="547"/>
      <c r="HHM135" s="547"/>
      <c r="HHN135" s="548"/>
      <c r="HHO135" s="547"/>
      <c r="HHP135" s="547"/>
      <c r="HHQ135" s="547"/>
      <c r="HHR135" s="549"/>
      <c r="HHS135" s="548"/>
      <c r="HHT135" s="549"/>
      <c r="HHU135" s="549"/>
      <c r="HHV135" s="549"/>
      <c r="HHW135" s="549"/>
      <c r="HHX135" s="548"/>
      <c r="HHY135" s="548"/>
      <c r="HHZ135" s="548"/>
      <c r="HIA135" s="548"/>
      <c r="HIB135" s="8"/>
      <c r="HIC135" s="8"/>
      <c r="HID135" s="503"/>
      <c r="HIE135" s="8"/>
      <c r="HIF135" s="8"/>
      <c r="HIG135" s="547"/>
      <c r="HIH135" s="547"/>
      <c r="HII135" s="547"/>
      <c r="HIJ135" s="547"/>
      <c r="HIK135" s="548"/>
      <c r="HIL135" s="547"/>
      <c r="HIM135" s="547"/>
      <c r="HIN135" s="547"/>
      <c r="HIO135" s="547"/>
      <c r="HIP135" s="548"/>
      <c r="HIQ135" s="547"/>
      <c r="HIR135" s="547"/>
      <c r="HIS135" s="547"/>
      <c r="HIT135" s="547"/>
      <c r="HIU135" s="548"/>
      <c r="HIV135" s="547"/>
      <c r="HIW135" s="547"/>
      <c r="HIX135" s="547"/>
      <c r="HIY135" s="549"/>
      <c r="HIZ135" s="548"/>
      <c r="HJA135" s="549"/>
      <c r="HJB135" s="549"/>
      <c r="HJC135" s="549"/>
      <c r="HJD135" s="549"/>
      <c r="HJE135" s="548"/>
      <c r="HJF135" s="548"/>
      <c r="HJG135" s="548"/>
      <c r="HJH135" s="548"/>
      <c r="HJI135" s="8"/>
      <c r="HJJ135" s="8"/>
      <c r="HJK135" s="503"/>
      <c r="HJL135" s="8"/>
      <c r="HJM135" s="8"/>
      <c r="HJN135" s="547"/>
      <c r="HJO135" s="547"/>
      <c r="HJP135" s="547"/>
      <c r="HJQ135" s="547"/>
      <c r="HJR135" s="548"/>
      <c r="HJS135" s="547"/>
      <c r="HJT135" s="547"/>
      <c r="HJU135" s="547"/>
      <c r="HJV135" s="547"/>
      <c r="HJW135" s="548"/>
      <c r="HJX135" s="547"/>
      <c r="HJY135" s="547"/>
      <c r="HJZ135" s="547"/>
      <c r="HKA135" s="547"/>
      <c r="HKB135" s="548"/>
      <c r="HKC135" s="547"/>
      <c r="HKD135" s="547"/>
      <c r="HKE135" s="547"/>
      <c r="HKF135" s="549"/>
      <c r="HKG135" s="548"/>
      <c r="HKH135" s="549"/>
      <c r="HKI135" s="549"/>
      <c r="HKJ135" s="549"/>
      <c r="HKK135" s="549"/>
      <c r="HKL135" s="548"/>
      <c r="HKM135" s="548"/>
      <c r="HKN135" s="548"/>
      <c r="HKO135" s="548"/>
      <c r="HKP135" s="8"/>
      <c r="HKQ135" s="8"/>
      <c r="HKR135" s="503"/>
      <c r="HKS135" s="8"/>
      <c r="HKT135" s="8"/>
      <c r="HKU135" s="547"/>
      <c r="HKV135" s="547"/>
      <c r="HKW135" s="547"/>
      <c r="HKX135" s="547"/>
      <c r="HKY135" s="548"/>
      <c r="HKZ135" s="547"/>
      <c r="HLA135" s="547"/>
      <c r="HLB135" s="547"/>
      <c r="HLC135" s="547"/>
      <c r="HLD135" s="548"/>
      <c r="HLE135" s="547"/>
      <c r="HLF135" s="547"/>
      <c r="HLG135" s="547"/>
      <c r="HLH135" s="547"/>
      <c r="HLI135" s="548"/>
      <c r="HLJ135" s="547"/>
      <c r="HLK135" s="547"/>
      <c r="HLL135" s="547"/>
      <c r="HLM135" s="549"/>
      <c r="HLN135" s="548"/>
      <c r="HLO135" s="549"/>
      <c r="HLP135" s="549"/>
      <c r="HLQ135" s="549"/>
      <c r="HLR135" s="549"/>
      <c r="HLS135" s="548"/>
      <c r="HLT135" s="548"/>
      <c r="HLU135" s="548"/>
      <c r="HLV135" s="548"/>
      <c r="HLW135" s="8"/>
      <c r="HLX135" s="8"/>
      <c r="HLY135" s="503"/>
      <c r="HLZ135" s="8"/>
      <c r="HMA135" s="8"/>
      <c r="HMB135" s="547"/>
      <c r="HMC135" s="547"/>
      <c r="HMD135" s="547"/>
      <c r="HME135" s="547"/>
      <c r="HMF135" s="548"/>
      <c r="HMG135" s="547"/>
      <c r="HMH135" s="547"/>
      <c r="HMI135" s="547"/>
      <c r="HMJ135" s="547"/>
      <c r="HMK135" s="548"/>
      <c r="HML135" s="547"/>
      <c r="HMM135" s="547"/>
      <c r="HMN135" s="547"/>
      <c r="HMO135" s="547"/>
      <c r="HMP135" s="548"/>
      <c r="HMQ135" s="547"/>
      <c r="HMR135" s="547"/>
      <c r="HMS135" s="547"/>
      <c r="HMT135" s="549"/>
      <c r="HMU135" s="548"/>
      <c r="HMV135" s="549"/>
      <c r="HMW135" s="549"/>
      <c r="HMX135" s="549"/>
      <c r="HMY135" s="549"/>
      <c r="HMZ135" s="548"/>
      <c r="HNA135" s="548"/>
      <c r="HNB135" s="548"/>
      <c r="HNC135" s="548"/>
      <c r="HND135" s="8"/>
      <c r="HNE135" s="8"/>
      <c r="HNF135" s="503"/>
      <c r="HNG135" s="8"/>
      <c r="HNH135" s="8"/>
      <c r="HNI135" s="547"/>
      <c r="HNJ135" s="547"/>
      <c r="HNK135" s="547"/>
      <c r="HNL135" s="547"/>
      <c r="HNM135" s="548"/>
      <c r="HNN135" s="547"/>
      <c r="HNO135" s="547"/>
      <c r="HNP135" s="547"/>
      <c r="HNQ135" s="547"/>
      <c r="HNR135" s="548"/>
      <c r="HNS135" s="547"/>
      <c r="HNT135" s="547"/>
      <c r="HNU135" s="547"/>
      <c r="HNV135" s="547"/>
      <c r="HNW135" s="548"/>
      <c r="HNX135" s="547"/>
      <c r="HNY135" s="547"/>
      <c r="HNZ135" s="547"/>
      <c r="HOA135" s="549"/>
      <c r="HOB135" s="548"/>
      <c r="HOC135" s="549"/>
      <c r="HOD135" s="549"/>
      <c r="HOE135" s="549"/>
      <c r="HOF135" s="549"/>
      <c r="HOG135" s="548"/>
      <c r="HOH135" s="548"/>
      <c r="HOI135" s="548"/>
      <c r="HOJ135" s="548"/>
      <c r="HOK135" s="8"/>
      <c r="HOL135" s="8"/>
      <c r="HOM135" s="503"/>
      <c r="HON135" s="8"/>
      <c r="HOO135" s="8"/>
      <c r="HOP135" s="547"/>
      <c r="HOQ135" s="547"/>
      <c r="HOR135" s="547"/>
      <c r="HOS135" s="547"/>
      <c r="HOT135" s="548"/>
      <c r="HOU135" s="547"/>
      <c r="HOV135" s="547"/>
      <c r="HOW135" s="547"/>
      <c r="HOX135" s="547"/>
      <c r="HOY135" s="548"/>
      <c r="HOZ135" s="547"/>
      <c r="HPA135" s="547"/>
      <c r="HPB135" s="547"/>
      <c r="HPC135" s="547"/>
      <c r="HPD135" s="548"/>
      <c r="HPE135" s="547"/>
      <c r="HPF135" s="547"/>
      <c r="HPG135" s="547"/>
      <c r="HPH135" s="549"/>
      <c r="HPI135" s="548"/>
      <c r="HPJ135" s="549"/>
      <c r="HPK135" s="549"/>
      <c r="HPL135" s="549"/>
      <c r="HPM135" s="549"/>
      <c r="HPN135" s="548"/>
      <c r="HPO135" s="548"/>
      <c r="HPP135" s="548"/>
      <c r="HPQ135" s="548"/>
      <c r="HPR135" s="8"/>
      <c r="HPS135" s="8"/>
      <c r="HPT135" s="503"/>
      <c r="HPU135" s="8"/>
      <c r="HPV135" s="8"/>
      <c r="HPW135" s="547"/>
      <c r="HPX135" s="547"/>
      <c r="HPY135" s="547"/>
      <c r="HPZ135" s="547"/>
      <c r="HQA135" s="548"/>
      <c r="HQB135" s="547"/>
      <c r="HQC135" s="547"/>
      <c r="HQD135" s="547"/>
      <c r="HQE135" s="547"/>
      <c r="HQF135" s="548"/>
      <c r="HQG135" s="547"/>
      <c r="HQH135" s="547"/>
      <c r="HQI135" s="547"/>
      <c r="HQJ135" s="547"/>
      <c r="HQK135" s="548"/>
      <c r="HQL135" s="547"/>
      <c r="HQM135" s="547"/>
      <c r="HQN135" s="547"/>
      <c r="HQO135" s="549"/>
      <c r="HQP135" s="548"/>
      <c r="HQQ135" s="549"/>
      <c r="HQR135" s="549"/>
      <c r="HQS135" s="549"/>
      <c r="HQT135" s="549"/>
      <c r="HQU135" s="548"/>
      <c r="HQV135" s="548"/>
      <c r="HQW135" s="548"/>
      <c r="HQX135" s="548"/>
      <c r="HQY135" s="8"/>
      <c r="HQZ135" s="8"/>
      <c r="HRA135" s="503"/>
      <c r="HRB135" s="8"/>
      <c r="HRC135" s="8"/>
      <c r="HRD135" s="547"/>
      <c r="HRE135" s="547"/>
      <c r="HRF135" s="547"/>
      <c r="HRG135" s="547"/>
      <c r="HRH135" s="548"/>
      <c r="HRI135" s="547"/>
      <c r="HRJ135" s="547"/>
      <c r="HRK135" s="547"/>
      <c r="HRL135" s="547"/>
      <c r="HRM135" s="548"/>
      <c r="HRN135" s="547"/>
      <c r="HRO135" s="547"/>
      <c r="HRP135" s="547"/>
      <c r="HRQ135" s="547"/>
      <c r="HRR135" s="548"/>
      <c r="HRS135" s="547"/>
      <c r="HRT135" s="547"/>
      <c r="HRU135" s="547"/>
      <c r="HRV135" s="549"/>
      <c r="HRW135" s="548"/>
      <c r="HRX135" s="549"/>
      <c r="HRY135" s="549"/>
      <c r="HRZ135" s="549"/>
      <c r="HSA135" s="549"/>
      <c r="HSB135" s="548"/>
      <c r="HSC135" s="548"/>
      <c r="HSD135" s="548"/>
      <c r="HSE135" s="548"/>
      <c r="HSF135" s="8"/>
      <c r="HSG135" s="8"/>
      <c r="HSH135" s="503"/>
      <c r="HSI135" s="8"/>
      <c r="HSJ135" s="8"/>
      <c r="HSK135" s="547"/>
      <c r="HSL135" s="547"/>
      <c r="HSM135" s="547"/>
      <c r="HSN135" s="547"/>
      <c r="HSO135" s="548"/>
      <c r="HSP135" s="547"/>
      <c r="HSQ135" s="547"/>
      <c r="HSR135" s="547"/>
      <c r="HSS135" s="547"/>
      <c r="HST135" s="548"/>
      <c r="HSU135" s="547"/>
      <c r="HSV135" s="547"/>
      <c r="HSW135" s="547"/>
      <c r="HSX135" s="547"/>
      <c r="HSY135" s="548"/>
      <c r="HSZ135" s="547"/>
      <c r="HTA135" s="547"/>
      <c r="HTB135" s="547"/>
      <c r="HTC135" s="549"/>
      <c r="HTD135" s="548"/>
      <c r="HTE135" s="549"/>
      <c r="HTF135" s="549"/>
      <c r="HTG135" s="549"/>
      <c r="HTH135" s="549"/>
      <c r="HTI135" s="548"/>
      <c r="HTJ135" s="548"/>
      <c r="HTK135" s="548"/>
      <c r="HTL135" s="548"/>
      <c r="HTM135" s="8"/>
      <c r="HTN135" s="8"/>
      <c r="HTO135" s="503"/>
      <c r="HTP135" s="8"/>
      <c r="HTQ135" s="8"/>
      <c r="HTR135" s="547"/>
      <c r="HTS135" s="547"/>
      <c r="HTT135" s="547"/>
      <c r="HTU135" s="547"/>
      <c r="HTV135" s="548"/>
      <c r="HTW135" s="547"/>
      <c r="HTX135" s="547"/>
      <c r="HTY135" s="547"/>
      <c r="HTZ135" s="547"/>
      <c r="HUA135" s="548"/>
      <c r="HUB135" s="547"/>
      <c r="HUC135" s="547"/>
      <c r="HUD135" s="547"/>
      <c r="HUE135" s="547"/>
      <c r="HUF135" s="548"/>
      <c r="HUG135" s="547"/>
      <c r="HUH135" s="547"/>
      <c r="HUI135" s="547"/>
      <c r="HUJ135" s="549"/>
      <c r="HUK135" s="548"/>
      <c r="HUL135" s="549"/>
      <c r="HUM135" s="549"/>
      <c r="HUN135" s="549"/>
      <c r="HUO135" s="549"/>
      <c r="HUP135" s="548"/>
      <c r="HUQ135" s="548"/>
      <c r="HUR135" s="548"/>
      <c r="HUS135" s="548"/>
      <c r="HUT135" s="8"/>
      <c r="HUU135" s="8"/>
      <c r="HUV135" s="503"/>
      <c r="HUW135" s="8"/>
      <c r="HUX135" s="8"/>
      <c r="HUY135" s="547"/>
      <c r="HUZ135" s="547"/>
      <c r="HVA135" s="547"/>
      <c r="HVB135" s="547"/>
      <c r="HVC135" s="548"/>
      <c r="HVD135" s="547"/>
      <c r="HVE135" s="547"/>
      <c r="HVF135" s="547"/>
      <c r="HVG135" s="547"/>
      <c r="HVH135" s="548"/>
      <c r="HVI135" s="547"/>
      <c r="HVJ135" s="547"/>
      <c r="HVK135" s="547"/>
      <c r="HVL135" s="547"/>
      <c r="HVM135" s="548"/>
      <c r="HVN135" s="547"/>
      <c r="HVO135" s="547"/>
      <c r="HVP135" s="547"/>
      <c r="HVQ135" s="549"/>
      <c r="HVR135" s="548"/>
      <c r="HVS135" s="549"/>
      <c r="HVT135" s="549"/>
      <c r="HVU135" s="549"/>
      <c r="HVV135" s="549"/>
      <c r="HVW135" s="548"/>
      <c r="HVX135" s="548"/>
      <c r="HVY135" s="548"/>
      <c r="HVZ135" s="548"/>
      <c r="HWA135" s="8"/>
      <c r="HWB135" s="8"/>
      <c r="HWC135" s="503"/>
      <c r="HWD135" s="8"/>
      <c r="HWE135" s="8"/>
      <c r="HWF135" s="547"/>
      <c r="HWG135" s="547"/>
      <c r="HWH135" s="547"/>
      <c r="HWI135" s="547"/>
      <c r="HWJ135" s="548"/>
      <c r="HWK135" s="547"/>
      <c r="HWL135" s="547"/>
      <c r="HWM135" s="547"/>
      <c r="HWN135" s="547"/>
      <c r="HWO135" s="548"/>
      <c r="HWP135" s="547"/>
      <c r="HWQ135" s="547"/>
      <c r="HWR135" s="547"/>
      <c r="HWS135" s="547"/>
      <c r="HWT135" s="548"/>
      <c r="HWU135" s="547"/>
      <c r="HWV135" s="547"/>
      <c r="HWW135" s="547"/>
      <c r="HWX135" s="549"/>
      <c r="HWY135" s="548"/>
      <c r="HWZ135" s="549"/>
      <c r="HXA135" s="549"/>
      <c r="HXB135" s="549"/>
      <c r="HXC135" s="549"/>
      <c r="HXD135" s="548"/>
      <c r="HXE135" s="548"/>
      <c r="HXF135" s="548"/>
      <c r="HXG135" s="548"/>
      <c r="HXH135" s="8"/>
      <c r="HXI135" s="8"/>
      <c r="HXJ135" s="503"/>
      <c r="HXK135" s="8"/>
      <c r="HXL135" s="8"/>
      <c r="HXM135" s="547"/>
      <c r="HXN135" s="547"/>
      <c r="HXO135" s="547"/>
      <c r="HXP135" s="547"/>
      <c r="HXQ135" s="548"/>
      <c r="HXR135" s="547"/>
      <c r="HXS135" s="547"/>
      <c r="HXT135" s="547"/>
      <c r="HXU135" s="547"/>
      <c r="HXV135" s="548"/>
      <c r="HXW135" s="547"/>
      <c r="HXX135" s="547"/>
      <c r="HXY135" s="547"/>
      <c r="HXZ135" s="547"/>
      <c r="HYA135" s="548"/>
      <c r="HYB135" s="547"/>
      <c r="HYC135" s="547"/>
      <c r="HYD135" s="547"/>
      <c r="HYE135" s="549"/>
      <c r="HYF135" s="548"/>
      <c r="HYG135" s="549"/>
      <c r="HYH135" s="549"/>
      <c r="HYI135" s="549"/>
      <c r="HYJ135" s="549"/>
      <c r="HYK135" s="548"/>
      <c r="HYL135" s="548"/>
      <c r="HYM135" s="548"/>
      <c r="HYN135" s="548"/>
      <c r="HYO135" s="8"/>
      <c r="HYP135" s="8"/>
      <c r="HYQ135" s="503"/>
      <c r="HYR135" s="8"/>
      <c r="HYS135" s="8"/>
      <c r="HYT135" s="547"/>
      <c r="HYU135" s="547"/>
      <c r="HYV135" s="547"/>
      <c r="HYW135" s="547"/>
      <c r="HYX135" s="548"/>
      <c r="HYY135" s="547"/>
      <c r="HYZ135" s="547"/>
      <c r="HZA135" s="547"/>
      <c r="HZB135" s="547"/>
      <c r="HZC135" s="548"/>
      <c r="HZD135" s="547"/>
      <c r="HZE135" s="547"/>
      <c r="HZF135" s="547"/>
      <c r="HZG135" s="547"/>
      <c r="HZH135" s="548"/>
      <c r="HZI135" s="547"/>
      <c r="HZJ135" s="547"/>
      <c r="HZK135" s="547"/>
      <c r="HZL135" s="549"/>
      <c r="HZM135" s="548"/>
      <c r="HZN135" s="549"/>
      <c r="HZO135" s="549"/>
      <c r="HZP135" s="549"/>
      <c r="HZQ135" s="549"/>
      <c r="HZR135" s="548"/>
      <c r="HZS135" s="548"/>
      <c r="HZT135" s="548"/>
      <c r="HZU135" s="548"/>
      <c r="HZV135" s="8"/>
      <c r="HZW135" s="8"/>
      <c r="HZX135" s="503"/>
      <c r="HZY135" s="8"/>
      <c r="HZZ135" s="8"/>
      <c r="IAA135" s="547"/>
      <c r="IAB135" s="547"/>
      <c r="IAC135" s="547"/>
      <c r="IAD135" s="547"/>
      <c r="IAE135" s="548"/>
      <c r="IAF135" s="547"/>
      <c r="IAG135" s="547"/>
      <c r="IAH135" s="547"/>
      <c r="IAI135" s="547"/>
      <c r="IAJ135" s="548"/>
      <c r="IAK135" s="547"/>
      <c r="IAL135" s="547"/>
      <c r="IAM135" s="547"/>
      <c r="IAN135" s="547"/>
      <c r="IAO135" s="548"/>
      <c r="IAP135" s="547"/>
      <c r="IAQ135" s="547"/>
      <c r="IAR135" s="547"/>
      <c r="IAS135" s="549"/>
      <c r="IAT135" s="548"/>
      <c r="IAU135" s="549"/>
      <c r="IAV135" s="549"/>
      <c r="IAW135" s="549"/>
      <c r="IAX135" s="549"/>
      <c r="IAY135" s="548"/>
      <c r="IAZ135" s="548"/>
      <c r="IBA135" s="548"/>
      <c r="IBB135" s="548"/>
      <c r="IBC135" s="8"/>
      <c r="IBD135" s="8"/>
      <c r="IBE135" s="503"/>
      <c r="IBF135" s="8"/>
      <c r="IBG135" s="8"/>
      <c r="IBH135" s="547"/>
      <c r="IBI135" s="547"/>
      <c r="IBJ135" s="547"/>
      <c r="IBK135" s="547"/>
      <c r="IBL135" s="548"/>
      <c r="IBM135" s="547"/>
      <c r="IBN135" s="547"/>
      <c r="IBO135" s="547"/>
      <c r="IBP135" s="547"/>
      <c r="IBQ135" s="548"/>
      <c r="IBR135" s="547"/>
      <c r="IBS135" s="547"/>
      <c r="IBT135" s="547"/>
      <c r="IBU135" s="547"/>
      <c r="IBV135" s="548"/>
      <c r="IBW135" s="547"/>
      <c r="IBX135" s="547"/>
      <c r="IBY135" s="547"/>
      <c r="IBZ135" s="549"/>
      <c r="ICA135" s="548"/>
      <c r="ICB135" s="549"/>
      <c r="ICC135" s="549"/>
      <c r="ICD135" s="549"/>
      <c r="ICE135" s="549"/>
      <c r="ICF135" s="548"/>
      <c r="ICG135" s="548"/>
      <c r="ICH135" s="548"/>
      <c r="ICI135" s="548"/>
      <c r="ICJ135" s="8"/>
      <c r="ICK135" s="8"/>
      <c r="ICL135" s="503"/>
      <c r="ICM135" s="8"/>
      <c r="ICN135" s="8"/>
      <c r="ICO135" s="547"/>
      <c r="ICP135" s="547"/>
      <c r="ICQ135" s="547"/>
      <c r="ICR135" s="547"/>
      <c r="ICS135" s="548"/>
      <c r="ICT135" s="547"/>
      <c r="ICU135" s="547"/>
      <c r="ICV135" s="547"/>
      <c r="ICW135" s="547"/>
      <c r="ICX135" s="548"/>
      <c r="ICY135" s="547"/>
      <c r="ICZ135" s="547"/>
      <c r="IDA135" s="547"/>
      <c r="IDB135" s="547"/>
      <c r="IDC135" s="548"/>
      <c r="IDD135" s="547"/>
      <c r="IDE135" s="547"/>
      <c r="IDF135" s="547"/>
      <c r="IDG135" s="549"/>
      <c r="IDH135" s="548"/>
      <c r="IDI135" s="549"/>
      <c r="IDJ135" s="549"/>
      <c r="IDK135" s="549"/>
      <c r="IDL135" s="549"/>
      <c r="IDM135" s="548"/>
      <c r="IDN135" s="548"/>
      <c r="IDO135" s="548"/>
      <c r="IDP135" s="548"/>
      <c r="IDQ135" s="8"/>
      <c r="IDR135" s="8"/>
      <c r="IDS135" s="503"/>
      <c r="IDT135" s="8"/>
      <c r="IDU135" s="8"/>
      <c r="IDV135" s="547"/>
      <c r="IDW135" s="547"/>
      <c r="IDX135" s="547"/>
      <c r="IDY135" s="547"/>
      <c r="IDZ135" s="548"/>
      <c r="IEA135" s="547"/>
      <c r="IEB135" s="547"/>
      <c r="IEC135" s="547"/>
      <c r="IED135" s="547"/>
      <c r="IEE135" s="548"/>
      <c r="IEF135" s="547"/>
      <c r="IEG135" s="547"/>
      <c r="IEH135" s="547"/>
      <c r="IEI135" s="547"/>
      <c r="IEJ135" s="548"/>
      <c r="IEK135" s="547"/>
      <c r="IEL135" s="547"/>
      <c r="IEM135" s="547"/>
      <c r="IEN135" s="549"/>
      <c r="IEO135" s="548"/>
      <c r="IEP135" s="549"/>
      <c r="IEQ135" s="549"/>
      <c r="IER135" s="549"/>
      <c r="IES135" s="549"/>
      <c r="IET135" s="548"/>
      <c r="IEU135" s="548"/>
      <c r="IEV135" s="548"/>
      <c r="IEW135" s="548"/>
      <c r="IEX135" s="8"/>
      <c r="IEY135" s="8"/>
      <c r="IEZ135" s="503"/>
      <c r="IFA135" s="8"/>
      <c r="IFB135" s="8"/>
      <c r="IFC135" s="547"/>
      <c r="IFD135" s="547"/>
      <c r="IFE135" s="547"/>
      <c r="IFF135" s="547"/>
      <c r="IFG135" s="548"/>
      <c r="IFH135" s="547"/>
      <c r="IFI135" s="547"/>
      <c r="IFJ135" s="547"/>
      <c r="IFK135" s="547"/>
      <c r="IFL135" s="548"/>
      <c r="IFM135" s="547"/>
      <c r="IFN135" s="547"/>
      <c r="IFO135" s="547"/>
      <c r="IFP135" s="547"/>
      <c r="IFQ135" s="548"/>
      <c r="IFR135" s="547"/>
      <c r="IFS135" s="547"/>
      <c r="IFT135" s="547"/>
      <c r="IFU135" s="549"/>
      <c r="IFV135" s="548"/>
      <c r="IFW135" s="549"/>
      <c r="IFX135" s="549"/>
      <c r="IFY135" s="549"/>
      <c r="IFZ135" s="549"/>
      <c r="IGA135" s="548"/>
      <c r="IGB135" s="548"/>
      <c r="IGC135" s="548"/>
      <c r="IGD135" s="548"/>
      <c r="IGE135" s="8"/>
      <c r="IGF135" s="8"/>
      <c r="IGG135" s="503"/>
      <c r="IGH135" s="8"/>
      <c r="IGI135" s="8"/>
      <c r="IGJ135" s="547"/>
      <c r="IGK135" s="547"/>
      <c r="IGL135" s="547"/>
      <c r="IGM135" s="547"/>
      <c r="IGN135" s="548"/>
      <c r="IGO135" s="547"/>
      <c r="IGP135" s="547"/>
      <c r="IGQ135" s="547"/>
      <c r="IGR135" s="547"/>
      <c r="IGS135" s="548"/>
      <c r="IGT135" s="547"/>
      <c r="IGU135" s="547"/>
      <c r="IGV135" s="547"/>
      <c r="IGW135" s="547"/>
      <c r="IGX135" s="548"/>
      <c r="IGY135" s="547"/>
      <c r="IGZ135" s="547"/>
      <c r="IHA135" s="547"/>
      <c r="IHB135" s="549"/>
      <c r="IHC135" s="548"/>
      <c r="IHD135" s="549"/>
      <c r="IHE135" s="549"/>
      <c r="IHF135" s="549"/>
      <c r="IHG135" s="549"/>
      <c r="IHH135" s="548"/>
      <c r="IHI135" s="548"/>
      <c r="IHJ135" s="548"/>
      <c r="IHK135" s="548"/>
      <c r="IHL135" s="8"/>
      <c r="IHM135" s="8"/>
      <c r="IHN135" s="503"/>
      <c r="IHO135" s="8"/>
      <c r="IHP135" s="8"/>
      <c r="IHQ135" s="547"/>
      <c r="IHR135" s="547"/>
      <c r="IHS135" s="547"/>
      <c r="IHT135" s="547"/>
      <c r="IHU135" s="548"/>
      <c r="IHV135" s="547"/>
      <c r="IHW135" s="547"/>
      <c r="IHX135" s="547"/>
      <c r="IHY135" s="547"/>
      <c r="IHZ135" s="548"/>
      <c r="IIA135" s="547"/>
      <c r="IIB135" s="547"/>
      <c r="IIC135" s="547"/>
      <c r="IID135" s="547"/>
      <c r="IIE135" s="548"/>
      <c r="IIF135" s="547"/>
      <c r="IIG135" s="547"/>
      <c r="IIH135" s="547"/>
      <c r="III135" s="549"/>
      <c r="IIJ135" s="548"/>
      <c r="IIK135" s="549"/>
      <c r="IIL135" s="549"/>
      <c r="IIM135" s="549"/>
      <c r="IIN135" s="549"/>
      <c r="IIO135" s="548"/>
      <c r="IIP135" s="548"/>
      <c r="IIQ135" s="548"/>
      <c r="IIR135" s="548"/>
      <c r="IIS135" s="8"/>
      <c r="IIT135" s="8"/>
      <c r="IIU135" s="503"/>
      <c r="IIV135" s="8"/>
      <c r="IIW135" s="8"/>
      <c r="IIX135" s="547"/>
      <c r="IIY135" s="547"/>
      <c r="IIZ135" s="547"/>
      <c r="IJA135" s="547"/>
      <c r="IJB135" s="548"/>
      <c r="IJC135" s="547"/>
      <c r="IJD135" s="547"/>
      <c r="IJE135" s="547"/>
      <c r="IJF135" s="547"/>
      <c r="IJG135" s="548"/>
      <c r="IJH135" s="547"/>
      <c r="IJI135" s="547"/>
      <c r="IJJ135" s="547"/>
      <c r="IJK135" s="547"/>
      <c r="IJL135" s="548"/>
      <c r="IJM135" s="547"/>
      <c r="IJN135" s="547"/>
      <c r="IJO135" s="547"/>
      <c r="IJP135" s="549"/>
      <c r="IJQ135" s="548"/>
      <c r="IJR135" s="549"/>
      <c r="IJS135" s="549"/>
      <c r="IJT135" s="549"/>
      <c r="IJU135" s="549"/>
      <c r="IJV135" s="548"/>
      <c r="IJW135" s="548"/>
      <c r="IJX135" s="548"/>
      <c r="IJY135" s="548"/>
      <c r="IJZ135" s="8"/>
      <c r="IKA135" s="8"/>
      <c r="IKB135" s="503"/>
      <c r="IKC135" s="8"/>
      <c r="IKD135" s="8"/>
      <c r="IKE135" s="547"/>
      <c r="IKF135" s="547"/>
      <c r="IKG135" s="547"/>
      <c r="IKH135" s="547"/>
      <c r="IKI135" s="548"/>
      <c r="IKJ135" s="547"/>
      <c r="IKK135" s="547"/>
      <c r="IKL135" s="547"/>
      <c r="IKM135" s="547"/>
      <c r="IKN135" s="548"/>
      <c r="IKO135" s="547"/>
      <c r="IKP135" s="547"/>
      <c r="IKQ135" s="547"/>
      <c r="IKR135" s="547"/>
      <c r="IKS135" s="548"/>
      <c r="IKT135" s="547"/>
      <c r="IKU135" s="547"/>
      <c r="IKV135" s="547"/>
      <c r="IKW135" s="549"/>
      <c r="IKX135" s="548"/>
      <c r="IKY135" s="549"/>
      <c r="IKZ135" s="549"/>
      <c r="ILA135" s="549"/>
      <c r="ILB135" s="549"/>
      <c r="ILC135" s="548"/>
      <c r="ILD135" s="548"/>
      <c r="ILE135" s="548"/>
      <c r="ILF135" s="548"/>
      <c r="ILG135" s="8"/>
      <c r="ILH135" s="8"/>
      <c r="ILI135" s="503"/>
      <c r="ILJ135" s="8"/>
      <c r="ILK135" s="8"/>
      <c r="ILL135" s="547"/>
      <c r="ILM135" s="547"/>
      <c r="ILN135" s="547"/>
      <c r="ILO135" s="547"/>
      <c r="ILP135" s="548"/>
      <c r="ILQ135" s="547"/>
      <c r="ILR135" s="547"/>
      <c r="ILS135" s="547"/>
      <c r="ILT135" s="547"/>
      <c r="ILU135" s="548"/>
      <c r="ILV135" s="547"/>
      <c r="ILW135" s="547"/>
      <c r="ILX135" s="547"/>
      <c r="ILY135" s="547"/>
      <c r="ILZ135" s="548"/>
      <c r="IMA135" s="547"/>
      <c r="IMB135" s="547"/>
      <c r="IMC135" s="547"/>
      <c r="IMD135" s="549"/>
      <c r="IME135" s="548"/>
      <c r="IMF135" s="549"/>
      <c r="IMG135" s="549"/>
      <c r="IMH135" s="549"/>
      <c r="IMI135" s="549"/>
      <c r="IMJ135" s="548"/>
      <c r="IMK135" s="548"/>
      <c r="IML135" s="548"/>
      <c r="IMM135" s="548"/>
      <c r="IMN135" s="8"/>
      <c r="IMO135" s="8"/>
      <c r="IMP135" s="503"/>
      <c r="IMQ135" s="8"/>
      <c r="IMR135" s="8"/>
      <c r="IMS135" s="547"/>
      <c r="IMT135" s="547"/>
      <c r="IMU135" s="547"/>
      <c r="IMV135" s="547"/>
      <c r="IMW135" s="548"/>
      <c r="IMX135" s="547"/>
      <c r="IMY135" s="547"/>
      <c r="IMZ135" s="547"/>
      <c r="INA135" s="547"/>
      <c r="INB135" s="548"/>
      <c r="INC135" s="547"/>
      <c r="IND135" s="547"/>
      <c r="INE135" s="547"/>
      <c r="INF135" s="547"/>
      <c r="ING135" s="548"/>
      <c r="INH135" s="547"/>
      <c r="INI135" s="547"/>
      <c r="INJ135" s="547"/>
      <c r="INK135" s="549"/>
      <c r="INL135" s="548"/>
      <c r="INM135" s="549"/>
      <c r="INN135" s="549"/>
      <c r="INO135" s="549"/>
      <c r="INP135" s="549"/>
      <c r="INQ135" s="548"/>
      <c r="INR135" s="548"/>
      <c r="INS135" s="548"/>
      <c r="INT135" s="548"/>
      <c r="INU135" s="8"/>
      <c r="INV135" s="8"/>
      <c r="INW135" s="503"/>
      <c r="INX135" s="8"/>
      <c r="INY135" s="8"/>
      <c r="INZ135" s="547"/>
      <c r="IOA135" s="547"/>
      <c r="IOB135" s="547"/>
      <c r="IOC135" s="547"/>
      <c r="IOD135" s="548"/>
      <c r="IOE135" s="547"/>
      <c r="IOF135" s="547"/>
      <c r="IOG135" s="547"/>
      <c r="IOH135" s="547"/>
      <c r="IOI135" s="548"/>
      <c r="IOJ135" s="547"/>
      <c r="IOK135" s="547"/>
      <c r="IOL135" s="547"/>
      <c r="IOM135" s="547"/>
      <c r="ION135" s="548"/>
      <c r="IOO135" s="547"/>
      <c r="IOP135" s="547"/>
      <c r="IOQ135" s="547"/>
      <c r="IOR135" s="549"/>
      <c r="IOS135" s="548"/>
      <c r="IOT135" s="549"/>
      <c r="IOU135" s="549"/>
      <c r="IOV135" s="549"/>
      <c r="IOW135" s="549"/>
      <c r="IOX135" s="548"/>
      <c r="IOY135" s="548"/>
      <c r="IOZ135" s="548"/>
      <c r="IPA135" s="548"/>
      <c r="IPB135" s="8"/>
      <c r="IPC135" s="8"/>
      <c r="IPD135" s="503"/>
      <c r="IPE135" s="8"/>
      <c r="IPF135" s="8"/>
      <c r="IPG135" s="547"/>
      <c r="IPH135" s="547"/>
      <c r="IPI135" s="547"/>
      <c r="IPJ135" s="547"/>
      <c r="IPK135" s="548"/>
      <c r="IPL135" s="547"/>
      <c r="IPM135" s="547"/>
      <c r="IPN135" s="547"/>
      <c r="IPO135" s="547"/>
      <c r="IPP135" s="548"/>
      <c r="IPQ135" s="547"/>
      <c r="IPR135" s="547"/>
      <c r="IPS135" s="547"/>
      <c r="IPT135" s="547"/>
      <c r="IPU135" s="548"/>
      <c r="IPV135" s="547"/>
      <c r="IPW135" s="547"/>
      <c r="IPX135" s="547"/>
      <c r="IPY135" s="549"/>
      <c r="IPZ135" s="548"/>
      <c r="IQA135" s="549"/>
      <c r="IQB135" s="549"/>
      <c r="IQC135" s="549"/>
      <c r="IQD135" s="549"/>
      <c r="IQE135" s="548"/>
      <c r="IQF135" s="548"/>
      <c r="IQG135" s="548"/>
      <c r="IQH135" s="548"/>
      <c r="IQI135" s="8"/>
      <c r="IQJ135" s="8"/>
      <c r="IQK135" s="503"/>
      <c r="IQL135" s="8"/>
      <c r="IQM135" s="8"/>
      <c r="IQN135" s="547"/>
      <c r="IQO135" s="547"/>
      <c r="IQP135" s="547"/>
      <c r="IQQ135" s="547"/>
      <c r="IQR135" s="548"/>
      <c r="IQS135" s="547"/>
      <c r="IQT135" s="547"/>
      <c r="IQU135" s="547"/>
      <c r="IQV135" s="547"/>
      <c r="IQW135" s="548"/>
      <c r="IQX135" s="547"/>
      <c r="IQY135" s="547"/>
      <c r="IQZ135" s="547"/>
      <c r="IRA135" s="547"/>
      <c r="IRB135" s="548"/>
      <c r="IRC135" s="547"/>
      <c r="IRD135" s="547"/>
      <c r="IRE135" s="547"/>
      <c r="IRF135" s="549"/>
      <c r="IRG135" s="548"/>
      <c r="IRH135" s="549"/>
      <c r="IRI135" s="549"/>
      <c r="IRJ135" s="549"/>
      <c r="IRK135" s="549"/>
      <c r="IRL135" s="548"/>
      <c r="IRM135" s="548"/>
      <c r="IRN135" s="548"/>
      <c r="IRO135" s="548"/>
      <c r="IRP135" s="8"/>
      <c r="IRQ135" s="8"/>
      <c r="IRR135" s="503"/>
      <c r="IRS135" s="8"/>
      <c r="IRT135" s="8"/>
      <c r="IRU135" s="547"/>
      <c r="IRV135" s="547"/>
      <c r="IRW135" s="547"/>
      <c r="IRX135" s="547"/>
      <c r="IRY135" s="548"/>
      <c r="IRZ135" s="547"/>
      <c r="ISA135" s="547"/>
      <c r="ISB135" s="547"/>
      <c r="ISC135" s="547"/>
      <c r="ISD135" s="548"/>
      <c r="ISE135" s="547"/>
      <c r="ISF135" s="547"/>
      <c r="ISG135" s="547"/>
      <c r="ISH135" s="547"/>
      <c r="ISI135" s="548"/>
      <c r="ISJ135" s="547"/>
      <c r="ISK135" s="547"/>
      <c r="ISL135" s="547"/>
      <c r="ISM135" s="549"/>
      <c r="ISN135" s="548"/>
      <c r="ISO135" s="549"/>
      <c r="ISP135" s="549"/>
      <c r="ISQ135" s="549"/>
      <c r="ISR135" s="549"/>
      <c r="ISS135" s="548"/>
      <c r="IST135" s="548"/>
      <c r="ISU135" s="548"/>
      <c r="ISV135" s="548"/>
      <c r="ISW135" s="8"/>
      <c r="ISX135" s="8"/>
      <c r="ISY135" s="503"/>
      <c r="ISZ135" s="8"/>
      <c r="ITA135" s="8"/>
      <c r="ITB135" s="547"/>
      <c r="ITC135" s="547"/>
      <c r="ITD135" s="547"/>
      <c r="ITE135" s="547"/>
      <c r="ITF135" s="548"/>
      <c r="ITG135" s="547"/>
      <c r="ITH135" s="547"/>
      <c r="ITI135" s="547"/>
      <c r="ITJ135" s="547"/>
      <c r="ITK135" s="548"/>
      <c r="ITL135" s="547"/>
      <c r="ITM135" s="547"/>
      <c r="ITN135" s="547"/>
      <c r="ITO135" s="547"/>
      <c r="ITP135" s="548"/>
      <c r="ITQ135" s="547"/>
      <c r="ITR135" s="547"/>
      <c r="ITS135" s="547"/>
      <c r="ITT135" s="549"/>
      <c r="ITU135" s="548"/>
      <c r="ITV135" s="549"/>
      <c r="ITW135" s="549"/>
      <c r="ITX135" s="549"/>
      <c r="ITY135" s="549"/>
      <c r="ITZ135" s="548"/>
      <c r="IUA135" s="548"/>
      <c r="IUB135" s="548"/>
      <c r="IUC135" s="548"/>
      <c r="IUD135" s="8"/>
      <c r="IUE135" s="8"/>
      <c r="IUF135" s="503"/>
      <c r="IUG135" s="8"/>
      <c r="IUH135" s="8"/>
      <c r="IUI135" s="547"/>
      <c r="IUJ135" s="547"/>
      <c r="IUK135" s="547"/>
      <c r="IUL135" s="547"/>
      <c r="IUM135" s="548"/>
      <c r="IUN135" s="547"/>
      <c r="IUO135" s="547"/>
      <c r="IUP135" s="547"/>
      <c r="IUQ135" s="547"/>
      <c r="IUR135" s="548"/>
      <c r="IUS135" s="547"/>
      <c r="IUT135" s="547"/>
      <c r="IUU135" s="547"/>
      <c r="IUV135" s="547"/>
      <c r="IUW135" s="548"/>
      <c r="IUX135" s="547"/>
      <c r="IUY135" s="547"/>
      <c r="IUZ135" s="547"/>
      <c r="IVA135" s="549"/>
      <c r="IVB135" s="548"/>
      <c r="IVC135" s="549"/>
      <c r="IVD135" s="549"/>
      <c r="IVE135" s="549"/>
      <c r="IVF135" s="549"/>
      <c r="IVG135" s="548"/>
      <c r="IVH135" s="548"/>
      <c r="IVI135" s="548"/>
      <c r="IVJ135" s="548"/>
      <c r="IVK135" s="8"/>
      <c r="IVL135" s="8"/>
      <c r="IVM135" s="503"/>
      <c r="IVN135" s="8"/>
      <c r="IVO135" s="8"/>
      <c r="IVP135" s="547"/>
      <c r="IVQ135" s="547"/>
      <c r="IVR135" s="547"/>
      <c r="IVS135" s="547"/>
      <c r="IVT135" s="548"/>
      <c r="IVU135" s="547"/>
      <c r="IVV135" s="547"/>
      <c r="IVW135" s="547"/>
      <c r="IVX135" s="547"/>
      <c r="IVY135" s="548"/>
      <c r="IVZ135" s="547"/>
      <c r="IWA135" s="547"/>
      <c r="IWB135" s="547"/>
      <c r="IWC135" s="547"/>
      <c r="IWD135" s="548"/>
      <c r="IWE135" s="547"/>
      <c r="IWF135" s="547"/>
      <c r="IWG135" s="547"/>
      <c r="IWH135" s="549"/>
      <c r="IWI135" s="548"/>
      <c r="IWJ135" s="549"/>
      <c r="IWK135" s="549"/>
      <c r="IWL135" s="549"/>
      <c r="IWM135" s="549"/>
      <c r="IWN135" s="548"/>
      <c r="IWO135" s="548"/>
      <c r="IWP135" s="548"/>
      <c r="IWQ135" s="548"/>
      <c r="IWR135" s="8"/>
      <c r="IWS135" s="8"/>
      <c r="IWT135" s="503"/>
      <c r="IWU135" s="8"/>
      <c r="IWV135" s="8"/>
      <c r="IWW135" s="547"/>
      <c r="IWX135" s="547"/>
      <c r="IWY135" s="547"/>
      <c r="IWZ135" s="547"/>
      <c r="IXA135" s="548"/>
      <c r="IXB135" s="547"/>
      <c r="IXC135" s="547"/>
      <c r="IXD135" s="547"/>
      <c r="IXE135" s="547"/>
      <c r="IXF135" s="548"/>
      <c r="IXG135" s="547"/>
      <c r="IXH135" s="547"/>
      <c r="IXI135" s="547"/>
      <c r="IXJ135" s="547"/>
      <c r="IXK135" s="548"/>
      <c r="IXL135" s="547"/>
      <c r="IXM135" s="547"/>
      <c r="IXN135" s="547"/>
      <c r="IXO135" s="549"/>
      <c r="IXP135" s="548"/>
      <c r="IXQ135" s="549"/>
      <c r="IXR135" s="549"/>
      <c r="IXS135" s="549"/>
      <c r="IXT135" s="549"/>
      <c r="IXU135" s="548"/>
      <c r="IXV135" s="548"/>
      <c r="IXW135" s="548"/>
      <c r="IXX135" s="548"/>
      <c r="IXY135" s="8"/>
      <c r="IXZ135" s="8"/>
      <c r="IYA135" s="503"/>
      <c r="IYB135" s="8"/>
      <c r="IYC135" s="8"/>
      <c r="IYD135" s="547"/>
      <c r="IYE135" s="547"/>
      <c r="IYF135" s="547"/>
      <c r="IYG135" s="547"/>
      <c r="IYH135" s="548"/>
      <c r="IYI135" s="547"/>
      <c r="IYJ135" s="547"/>
      <c r="IYK135" s="547"/>
      <c r="IYL135" s="547"/>
      <c r="IYM135" s="548"/>
      <c r="IYN135" s="547"/>
      <c r="IYO135" s="547"/>
      <c r="IYP135" s="547"/>
      <c r="IYQ135" s="547"/>
      <c r="IYR135" s="548"/>
      <c r="IYS135" s="547"/>
      <c r="IYT135" s="547"/>
      <c r="IYU135" s="547"/>
      <c r="IYV135" s="549"/>
      <c r="IYW135" s="548"/>
      <c r="IYX135" s="549"/>
      <c r="IYY135" s="549"/>
      <c r="IYZ135" s="549"/>
      <c r="IZA135" s="549"/>
      <c r="IZB135" s="548"/>
      <c r="IZC135" s="548"/>
      <c r="IZD135" s="548"/>
      <c r="IZE135" s="548"/>
      <c r="IZF135" s="8"/>
      <c r="IZG135" s="8"/>
      <c r="IZH135" s="503"/>
      <c r="IZI135" s="8"/>
      <c r="IZJ135" s="8"/>
      <c r="IZK135" s="547"/>
      <c r="IZL135" s="547"/>
      <c r="IZM135" s="547"/>
      <c r="IZN135" s="547"/>
      <c r="IZO135" s="548"/>
      <c r="IZP135" s="547"/>
      <c r="IZQ135" s="547"/>
      <c r="IZR135" s="547"/>
      <c r="IZS135" s="547"/>
      <c r="IZT135" s="548"/>
      <c r="IZU135" s="547"/>
      <c r="IZV135" s="547"/>
      <c r="IZW135" s="547"/>
      <c r="IZX135" s="547"/>
      <c r="IZY135" s="548"/>
      <c r="IZZ135" s="547"/>
      <c r="JAA135" s="547"/>
      <c r="JAB135" s="547"/>
      <c r="JAC135" s="549"/>
      <c r="JAD135" s="548"/>
      <c r="JAE135" s="549"/>
      <c r="JAF135" s="549"/>
      <c r="JAG135" s="549"/>
      <c r="JAH135" s="549"/>
      <c r="JAI135" s="548"/>
      <c r="JAJ135" s="548"/>
      <c r="JAK135" s="548"/>
      <c r="JAL135" s="548"/>
      <c r="JAM135" s="8"/>
      <c r="JAN135" s="8"/>
      <c r="JAO135" s="503"/>
      <c r="JAP135" s="8"/>
      <c r="JAQ135" s="8"/>
      <c r="JAR135" s="547"/>
      <c r="JAS135" s="547"/>
      <c r="JAT135" s="547"/>
      <c r="JAU135" s="547"/>
      <c r="JAV135" s="548"/>
      <c r="JAW135" s="547"/>
      <c r="JAX135" s="547"/>
      <c r="JAY135" s="547"/>
      <c r="JAZ135" s="547"/>
      <c r="JBA135" s="548"/>
      <c r="JBB135" s="547"/>
      <c r="JBC135" s="547"/>
      <c r="JBD135" s="547"/>
      <c r="JBE135" s="547"/>
      <c r="JBF135" s="548"/>
      <c r="JBG135" s="547"/>
      <c r="JBH135" s="547"/>
      <c r="JBI135" s="547"/>
      <c r="JBJ135" s="549"/>
      <c r="JBK135" s="548"/>
      <c r="JBL135" s="549"/>
      <c r="JBM135" s="549"/>
      <c r="JBN135" s="549"/>
      <c r="JBO135" s="549"/>
      <c r="JBP135" s="548"/>
      <c r="JBQ135" s="548"/>
      <c r="JBR135" s="548"/>
      <c r="JBS135" s="548"/>
      <c r="JBT135" s="8"/>
      <c r="JBU135" s="8"/>
      <c r="JBV135" s="503"/>
      <c r="JBW135" s="8"/>
      <c r="JBX135" s="8"/>
      <c r="JBY135" s="547"/>
      <c r="JBZ135" s="547"/>
      <c r="JCA135" s="547"/>
      <c r="JCB135" s="547"/>
      <c r="JCC135" s="548"/>
      <c r="JCD135" s="547"/>
      <c r="JCE135" s="547"/>
      <c r="JCF135" s="547"/>
      <c r="JCG135" s="547"/>
      <c r="JCH135" s="548"/>
      <c r="JCI135" s="547"/>
      <c r="JCJ135" s="547"/>
      <c r="JCK135" s="547"/>
      <c r="JCL135" s="547"/>
      <c r="JCM135" s="548"/>
      <c r="JCN135" s="547"/>
      <c r="JCO135" s="547"/>
      <c r="JCP135" s="547"/>
      <c r="JCQ135" s="549"/>
      <c r="JCR135" s="548"/>
      <c r="JCS135" s="549"/>
      <c r="JCT135" s="549"/>
      <c r="JCU135" s="549"/>
      <c r="JCV135" s="549"/>
      <c r="JCW135" s="548"/>
      <c r="JCX135" s="548"/>
      <c r="JCY135" s="548"/>
      <c r="JCZ135" s="548"/>
      <c r="JDA135" s="8"/>
      <c r="JDB135" s="8"/>
      <c r="JDC135" s="503"/>
      <c r="JDD135" s="8"/>
      <c r="JDE135" s="8"/>
      <c r="JDF135" s="547"/>
      <c r="JDG135" s="547"/>
      <c r="JDH135" s="547"/>
      <c r="JDI135" s="547"/>
      <c r="JDJ135" s="548"/>
      <c r="JDK135" s="547"/>
      <c r="JDL135" s="547"/>
      <c r="JDM135" s="547"/>
      <c r="JDN135" s="547"/>
      <c r="JDO135" s="548"/>
      <c r="JDP135" s="547"/>
      <c r="JDQ135" s="547"/>
      <c r="JDR135" s="547"/>
      <c r="JDS135" s="547"/>
      <c r="JDT135" s="548"/>
      <c r="JDU135" s="547"/>
      <c r="JDV135" s="547"/>
      <c r="JDW135" s="547"/>
      <c r="JDX135" s="549"/>
      <c r="JDY135" s="548"/>
      <c r="JDZ135" s="549"/>
      <c r="JEA135" s="549"/>
      <c r="JEB135" s="549"/>
      <c r="JEC135" s="549"/>
      <c r="JED135" s="548"/>
      <c r="JEE135" s="548"/>
      <c r="JEF135" s="548"/>
      <c r="JEG135" s="548"/>
      <c r="JEH135" s="8"/>
      <c r="JEI135" s="8"/>
      <c r="JEJ135" s="503"/>
      <c r="JEK135" s="8"/>
      <c r="JEL135" s="8"/>
      <c r="JEM135" s="547"/>
      <c r="JEN135" s="547"/>
      <c r="JEO135" s="547"/>
      <c r="JEP135" s="547"/>
      <c r="JEQ135" s="548"/>
      <c r="JER135" s="547"/>
      <c r="JES135" s="547"/>
      <c r="JET135" s="547"/>
      <c r="JEU135" s="547"/>
      <c r="JEV135" s="548"/>
      <c r="JEW135" s="547"/>
      <c r="JEX135" s="547"/>
      <c r="JEY135" s="547"/>
      <c r="JEZ135" s="547"/>
      <c r="JFA135" s="548"/>
      <c r="JFB135" s="547"/>
      <c r="JFC135" s="547"/>
      <c r="JFD135" s="547"/>
      <c r="JFE135" s="549"/>
      <c r="JFF135" s="548"/>
      <c r="JFG135" s="549"/>
      <c r="JFH135" s="549"/>
      <c r="JFI135" s="549"/>
      <c r="JFJ135" s="549"/>
      <c r="JFK135" s="548"/>
      <c r="JFL135" s="548"/>
      <c r="JFM135" s="548"/>
      <c r="JFN135" s="548"/>
      <c r="JFO135" s="8"/>
      <c r="JFP135" s="8"/>
      <c r="JFQ135" s="503"/>
      <c r="JFR135" s="8"/>
      <c r="JFS135" s="8"/>
      <c r="JFT135" s="547"/>
      <c r="JFU135" s="547"/>
      <c r="JFV135" s="547"/>
      <c r="JFW135" s="547"/>
      <c r="JFX135" s="548"/>
      <c r="JFY135" s="547"/>
      <c r="JFZ135" s="547"/>
      <c r="JGA135" s="547"/>
      <c r="JGB135" s="547"/>
      <c r="JGC135" s="548"/>
      <c r="JGD135" s="547"/>
      <c r="JGE135" s="547"/>
      <c r="JGF135" s="547"/>
      <c r="JGG135" s="547"/>
      <c r="JGH135" s="548"/>
      <c r="JGI135" s="547"/>
      <c r="JGJ135" s="547"/>
      <c r="JGK135" s="547"/>
      <c r="JGL135" s="549"/>
      <c r="JGM135" s="548"/>
      <c r="JGN135" s="549"/>
      <c r="JGO135" s="549"/>
      <c r="JGP135" s="549"/>
      <c r="JGQ135" s="549"/>
      <c r="JGR135" s="548"/>
      <c r="JGS135" s="548"/>
      <c r="JGT135" s="548"/>
      <c r="JGU135" s="548"/>
      <c r="JGV135" s="8"/>
      <c r="JGW135" s="8"/>
      <c r="JGX135" s="503"/>
      <c r="JGY135" s="8"/>
      <c r="JGZ135" s="8"/>
      <c r="JHA135" s="547"/>
      <c r="JHB135" s="547"/>
      <c r="JHC135" s="547"/>
      <c r="JHD135" s="547"/>
      <c r="JHE135" s="548"/>
      <c r="JHF135" s="547"/>
      <c r="JHG135" s="547"/>
      <c r="JHH135" s="547"/>
      <c r="JHI135" s="547"/>
      <c r="JHJ135" s="548"/>
      <c r="JHK135" s="547"/>
      <c r="JHL135" s="547"/>
      <c r="JHM135" s="547"/>
      <c r="JHN135" s="547"/>
      <c r="JHO135" s="548"/>
      <c r="JHP135" s="547"/>
      <c r="JHQ135" s="547"/>
      <c r="JHR135" s="547"/>
      <c r="JHS135" s="549"/>
      <c r="JHT135" s="548"/>
      <c r="JHU135" s="549"/>
      <c r="JHV135" s="549"/>
      <c r="JHW135" s="549"/>
      <c r="JHX135" s="549"/>
      <c r="JHY135" s="548"/>
      <c r="JHZ135" s="548"/>
      <c r="JIA135" s="548"/>
      <c r="JIB135" s="548"/>
      <c r="JIC135" s="8"/>
      <c r="JID135" s="8"/>
      <c r="JIE135" s="503"/>
      <c r="JIF135" s="8"/>
      <c r="JIG135" s="8"/>
      <c r="JIH135" s="547"/>
      <c r="JII135" s="547"/>
      <c r="JIJ135" s="547"/>
      <c r="JIK135" s="547"/>
      <c r="JIL135" s="548"/>
      <c r="JIM135" s="547"/>
      <c r="JIN135" s="547"/>
      <c r="JIO135" s="547"/>
      <c r="JIP135" s="547"/>
      <c r="JIQ135" s="548"/>
      <c r="JIR135" s="547"/>
      <c r="JIS135" s="547"/>
      <c r="JIT135" s="547"/>
      <c r="JIU135" s="547"/>
      <c r="JIV135" s="548"/>
      <c r="JIW135" s="547"/>
      <c r="JIX135" s="547"/>
      <c r="JIY135" s="547"/>
      <c r="JIZ135" s="549"/>
      <c r="JJA135" s="548"/>
      <c r="JJB135" s="549"/>
      <c r="JJC135" s="549"/>
      <c r="JJD135" s="549"/>
      <c r="JJE135" s="549"/>
      <c r="JJF135" s="548"/>
      <c r="JJG135" s="548"/>
      <c r="JJH135" s="548"/>
      <c r="JJI135" s="548"/>
      <c r="JJJ135" s="8"/>
      <c r="JJK135" s="8"/>
      <c r="JJL135" s="503"/>
      <c r="JJM135" s="8"/>
      <c r="JJN135" s="8"/>
      <c r="JJO135" s="547"/>
      <c r="JJP135" s="547"/>
      <c r="JJQ135" s="547"/>
      <c r="JJR135" s="547"/>
      <c r="JJS135" s="548"/>
      <c r="JJT135" s="547"/>
      <c r="JJU135" s="547"/>
      <c r="JJV135" s="547"/>
      <c r="JJW135" s="547"/>
      <c r="JJX135" s="548"/>
      <c r="JJY135" s="547"/>
      <c r="JJZ135" s="547"/>
      <c r="JKA135" s="547"/>
      <c r="JKB135" s="547"/>
      <c r="JKC135" s="548"/>
      <c r="JKD135" s="547"/>
      <c r="JKE135" s="547"/>
      <c r="JKF135" s="547"/>
      <c r="JKG135" s="549"/>
      <c r="JKH135" s="548"/>
      <c r="JKI135" s="549"/>
      <c r="JKJ135" s="549"/>
      <c r="JKK135" s="549"/>
      <c r="JKL135" s="549"/>
      <c r="JKM135" s="548"/>
      <c r="JKN135" s="548"/>
      <c r="JKO135" s="548"/>
      <c r="JKP135" s="548"/>
      <c r="JKQ135" s="8"/>
      <c r="JKR135" s="8"/>
      <c r="JKS135" s="503"/>
      <c r="JKT135" s="8"/>
      <c r="JKU135" s="8"/>
      <c r="JKV135" s="547"/>
      <c r="JKW135" s="547"/>
      <c r="JKX135" s="547"/>
      <c r="JKY135" s="547"/>
      <c r="JKZ135" s="548"/>
      <c r="JLA135" s="547"/>
      <c r="JLB135" s="547"/>
      <c r="JLC135" s="547"/>
      <c r="JLD135" s="547"/>
      <c r="JLE135" s="548"/>
      <c r="JLF135" s="547"/>
      <c r="JLG135" s="547"/>
      <c r="JLH135" s="547"/>
      <c r="JLI135" s="547"/>
      <c r="JLJ135" s="548"/>
      <c r="JLK135" s="547"/>
      <c r="JLL135" s="547"/>
      <c r="JLM135" s="547"/>
      <c r="JLN135" s="549"/>
      <c r="JLO135" s="548"/>
      <c r="JLP135" s="549"/>
      <c r="JLQ135" s="549"/>
      <c r="JLR135" s="549"/>
      <c r="JLS135" s="549"/>
      <c r="JLT135" s="548"/>
      <c r="JLU135" s="548"/>
      <c r="JLV135" s="548"/>
      <c r="JLW135" s="548"/>
      <c r="JLX135" s="8"/>
      <c r="JLY135" s="8"/>
      <c r="JLZ135" s="503"/>
      <c r="JMA135" s="8"/>
      <c r="JMB135" s="8"/>
      <c r="JMC135" s="547"/>
      <c r="JMD135" s="547"/>
      <c r="JME135" s="547"/>
      <c r="JMF135" s="547"/>
      <c r="JMG135" s="548"/>
      <c r="JMH135" s="547"/>
      <c r="JMI135" s="547"/>
      <c r="JMJ135" s="547"/>
      <c r="JMK135" s="547"/>
      <c r="JML135" s="548"/>
      <c r="JMM135" s="547"/>
      <c r="JMN135" s="547"/>
      <c r="JMO135" s="547"/>
      <c r="JMP135" s="547"/>
      <c r="JMQ135" s="548"/>
      <c r="JMR135" s="547"/>
      <c r="JMS135" s="547"/>
      <c r="JMT135" s="547"/>
      <c r="JMU135" s="549"/>
      <c r="JMV135" s="548"/>
      <c r="JMW135" s="549"/>
      <c r="JMX135" s="549"/>
      <c r="JMY135" s="549"/>
      <c r="JMZ135" s="549"/>
      <c r="JNA135" s="548"/>
      <c r="JNB135" s="548"/>
      <c r="JNC135" s="548"/>
      <c r="JND135" s="548"/>
      <c r="JNE135" s="8"/>
      <c r="JNF135" s="8"/>
      <c r="JNG135" s="503"/>
      <c r="JNH135" s="8"/>
      <c r="JNI135" s="8"/>
      <c r="JNJ135" s="547"/>
      <c r="JNK135" s="547"/>
      <c r="JNL135" s="547"/>
      <c r="JNM135" s="547"/>
      <c r="JNN135" s="548"/>
      <c r="JNO135" s="547"/>
      <c r="JNP135" s="547"/>
      <c r="JNQ135" s="547"/>
      <c r="JNR135" s="547"/>
      <c r="JNS135" s="548"/>
      <c r="JNT135" s="547"/>
      <c r="JNU135" s="547"/>
      <c r="JNV135" s="547"/>
      <c r="JNW135" s="547"/>
      <c r="JNX135" s="548"/>
      <c r="JNY135" s="547"/>
      <c r="JNZ135" s="547"/>
      <c r="JOA135" s="547"/>
      <c r="JOB135" s="549"/>
      <c r="JOC135" s="548"/>
      <c r="JOD135" s="549"/>
      <c r="JOE135" s="549"/>
      <c r="JOF135" s="549"/>
      <c r="JOG135" s="549"/>
      <c r="JOH135" s="548"/>
      <c r="JOI135" s="548"/>
      <c r="JOJ135" s="548"/>
      <c r="JOK135" s="548"/>
      <c r="JOL135" s="8"/>
      <c r="JOM135" s="8"/>
      <c r="JON135" s="503"/>
      <c r="JOO135" s="8"/>
      <c r="JOP135" s="8"/>
      <c r="JOQ135" s="547"/>
      <c r="JOR135" s="547"/>
      <c r="JOS135" s="547"/>
      <c r="JOT135" s="547"/>
      <c r="JOU135" s="548"/>
      <c r="JOV135" s="547"/>
      <c r="JOW135" s="547"/>
      <c r="JOX135" s="547"/>
      <c r="JOY135" s="547"/>
      <c r="JOZ135" s="548"/>
      <c r="JPA135" s="547"/>
      <c r="JPB135" s="547"/>
      <c r="JPC135" s="547"/>
      <c r="JPD135" s="547"/>
      <c r="JPE135" s="548"/>
      <c r="JPF135" s="547"/>
      <c r="JPG135" s="547"/>
      <c r="JPH135" s="547"/>
      <c r="JPI135" s="549"/>
      <c r="JPJ135" s="548"/>
      <c r="JPK135" s="549"/>
      <c r="JPL135" s="549"/>
      <c r="JPM135" s="549"/>
      <c r="JPN135" s="549"/>
      <c r="JPO135" s="548"/>
      <c r="JPP135" s="548"/>
      <c r="JPQ135" s="548"/>
      <c r="JPR135" s="548"/>
      <c r="JPS135" s="8"/>
      <c r="JPT135" s="8"/>
      <c r="JPU135" s="503"/>
      <c r="JPV135" s="8"/>
      <c r="JPW135" s="8"/>
      <c r="JPX135" s="547"/>
      <c r="JPY135" s="547"/>
      <c r="JPZ135" s="547"/>
      <c r="JQA135" s="547"/>
      <c r="JQB135" s="548"/>
      <c r="JQC135" s="547"/>
      <c r="JQD135" s="547"/>
      <c r="JQE135" s="547"/>
      <c r="JQF135" s="547"/>
      <c r="JQG135" s="548"/>
      <c r="JQH135" s="547"/>
      <c r="JQI135" s="547"/>
      <c r="JQJ135" s="547"/>
      <c r="JQK135" s="547"/>
      <c r="JQL135" s="548"/>
      <c r="JQM135" s="547"/>
      <c r="JQN135" s="547"/>
      <c r="JQO135" s="547"/>
      <c r="JQP135" s="549"/>
      <c r="JQQ135" s="548"/>
      <c r="JQR135" s="549"/>
      <c r="JQS135" s="549"/>
      <c r="JQT135" s="549"/>
      <c r="JQU135" s="549"/>
      <c r="JQV135" s="548"/>
      <c r="JQW135" s="548"/>
      <c r="JQX135" s="548"/>
      <c r="JQY135" s="548"/>
      <c r="JQZ135" s="8"/>
      <c r="JRA135" s="8"/>
      <c r="JRB135" s="503"/>
      <c r="JRC135" s="8"/>
      <c r="JRD135" s="8"/>
      <c r="JRE135" s="547"/>
      <c r="JRF135" s="547"/>
      <c r="JRG135" s="547"/>
      <c r="JRH135" s="547"/>
      <c r="JRI135" s="548"/>
      <c r="JRJ135" s="547"/>
      <c r="JRK135" s="547"/>
      <c r="JRL135" s="547"/>
      <c r="JRM135" s="547"/>
      <c r="JRN135" s="548"/>
      <c r="JRO135" s="547"/>
      <c r="JRP135" s="547"/>
      <c r="JRQ135" s="547"/>
      <c r="JRR135" s="547"/>
      <c r="JRS135" s="548"/>
      <c r="JRT135" s="547"/>
      <c r="JRU135" s="547"/>
      <c r="JRV135" s="547"/>
      <c r="JRW135" s="549"/>
      <c r="JRX135" s="548"/>
      <c r="JRY135" s="549"/>
      <c r="JRZ135" s="549"/>
      <c r="JSA135" s="549"/>
      <c r="JSB135" s="549"/>
      <c r="JSC135" s="548"/>
      <c r="JSD135" s="548"/>
      <c r="JSE135" s="548"/>
      <c r="JSF135" s="548"/>
      <c r="JSG135" s="8"/>
      <c r="JSH135" s="8"/>
      <c r="JSI135" s="503"/>
      <c r="JSJ135" s="8"/>
      <c r="JSK135" s="8"/>
      <c r="JSL135" s="547"/>
      <c r="JSM135" s="547"/>
      <c r="JSN135" s="547"/>
      <c r="JSO135" s="547"/>
      <c r="JSP135" s="548"/>
      <c r="JSQ135" s="547"/>
      <c r="JSR135" s="547"/>
      <c r="JSS135" s="547"/>
      <c r="JST135" s="547"/>
      <c r="JSU135" s="548"/>
      <c r="JSV135" s="547"/>
      <c r="JSW135" s="547"/>
      <c r="JSX135" s="547"/>
      <c r="JSY135" s="547"/>
      <c r="JSZ135" s="548"/>
      <c r="JTA135" s="547"/>
      <c r="JTB135" s="547"/>
      <c r="JTC135" s="547"/>
      <c r="JTD135" s="549"/>
      <c r="JTE135" s="548"/>
      <c r="JTF135" s="549"/>
      <c r="JTG135" s="549"/>
      <c r="JTH135" s="549"/>
      <c r="JTI135" s="549"/>
      <c r="JTJ135" s="548"/>
      <c r="JTK135" s="548"/>
      <c r="JTL135" s="548"/>
      <c r="JTM135" s="548"/>
      <c r="JTN135" s="8"/>
      <c r="JTO135" s="8"/>
      <c r="JTP135" s="503"/>
      <c r="JTQ135" s="8"/>
      <c r="JTR135" s="8"/>
      <c r="JTS135" s="547"/>
      <c r="JTT135" s="547"/>
      <c r="JTU135" s="547"/>
      <c r="JTV135" s="547"/>
      <c r="JTW135" s="548"/>
      <c r="JTX135" s="547"/>
      <c r="JTY135" s="547"/>
      <c r="JTZ135" s="547"/>
      <c r="JUA135" s="547"/>
      <c r="JUB135" s="548"/>
      <c r="JUC135" s="547"/>
      <c r="JUD135" s="547"/>
      <c r="JUE135" s="547"/>
      <c r="JUF135" s="547"/>
      <c r="JUG135" s="548"/>
      <c r="JUH135" s="547"/>
      <c r="JUI135" s="547"/>
      <c r="JUJ135" s="547"/>
      <c r="JUK135" s="549"/>
      <c r="JUL135" s="548"/>
      <c r="JUM135" s="549"/>
      <c r="JUN135" s="549"/>
      <c r="JUO135" s="549"/>
      <c r="JUP135" s="549"/>
      <c r="JUQ135" s="548"/>
      <c r="JUR135" s="548"/>
      <c r="JUS135" s="548"/>
      <c r="JUT135" s="548"/>
      <c r="JUU135" s="8"/>
      <c r="JUV135" s="8"/>
      <c r="JUW135" s="503"/>
      <c r="JUX135" s="8"/>
      <c r="JUY135" s="8"/>
      <c r="JUZ135" s="547"/>
      <c r="JVA135" s="547"/>
      <c r="JVB135" s="547"/>
      <c r="JVC135" s="547"/>
      <c r="JVD135" s="548"/>
      <c r="JVE135" s="547"/>
      <c r="JVF135" s="547"/>
      <c r="JVG135" s="547"/>
      <c r="JVH135" s="547"/>
      <c r="JVI135" s="548"/>
      <c r="JVJ135" s="547"/>
      <c r="JVK135" s="547"/>
      <c r="JVL135" s="547"/>
      <c r="JVM135" s="547"/>
      <c r="JVN135" s="548"/>
      <c r="JVO135" s="547"/>
      <c r="JVP135" s="547"/>
      <c r="JVQ135" s="547"/>
      <c r="JVR135" s="549"/>
      <c r="JVS135" s="548"/>
      <c r="JVT135" s="549"/>
      <c r="JVU135" s="549"/>
      <c r="JVV135" s="549"/>
      <c r="JVW135" s="549"/>
      <c r="JVX135" s="548"/>
      <c r="JVY135" s="548"/>
      <c r="JVZ135" s="548"/>
      <c r="JWA135" s="548"/>
      <c r="JWB135" s="8"/>
      <c r="JWC135" s="8"/>
      <c r="JWD135" s="503"/>
      <c r="JWE135" s="8"/>
      <c r="JWF135" s="8"/>
      <c r="JWG135" s="547"/>
      <c r="JWH135" s="547"/>
      <c r="JWI135" s="547"/>
      <c r="JWJ135" s="547"/>
      <c r="JWK135" s="548"/>
      <c r="JWL135" s="547"/>
      <c r="JWM135" s="547"/>
      <c r="JWN135" s="547"/>
      <c r="JWO135" s="547"/>
      <c r="JWP135" s="548"/>
      <c r="JWQ135" s="547"/>
      <c r="JWR135" s="547"/>
      <c r="JWS135" s="547"/>
      <c r="JWT135" s="547"/>
      <c r="JWU135" s="548"/>
      <c r="JWV135" s="547"/>
      <c r="JWW135" s="547"/>
      <c r="JWX135" s="547"/>
      <c r="JWY135" s="549"/>
      <c r="JWZ135" s="548"/>
      <c r="JXA135" s="549"/>
      <c r="JXB135" s="549"/>
      <c r="JXC135" s="549"/>
      <c r="JXD135" s="549"/>
      <c r="JXE135" s="548"/>
      <c r="JXF135" s="548"/>
      <c r="JXG135" s="548"/>
      <c r="JXH135" s="548"/>
      <c r="JXI135" s="8"/>
      <c r="JXJ135" s="8"/>
      <c r="JXK135" s="503"/>
      <c r="JXL135" s="8"/>
      <c r="JXM135" s="8"/>
      <c r="JXN135" s="547"/>
      <c r="JXO135" s="547"/>
      <c r="JXP135" s="547"/>
      <c r="JXQ135" s="547"/>
      <c r="JXR135" s="548"/>
      <c r="JXS135" s="547"/>
      <c r="JXT135" s="547"/>
      <c r="JXU135" s="547"/>
      <c r="JXV135" s="547"/>
      <c r="JXW135" s="548"/>
      <c r="JXX135" s="547"/>
      <c r="JXY135" s="547"/>
      <c r="JXZ135" s="547"/>
      <c r="JYA135" s="547"/>
      <c r="JYB135" s="548"/>
      <c r="JYC135" s="547"/>
      <c r="JYD135" s="547"/>
      <c r="JYE135" s="547"/>
      <c r="JYF135" s="549"/>
      <c r="JYG135" s="548"/>
      <c r="JYH135" s="549"/>
      <c r="JYI135" s="549"/>
      <c r="JYJ135" s="549"/>
      <c r="JYK135" s="549"/>
      <c r="JYL135" s="548"/>
      <c r="JYM135" s="548"/>
      <c r="JYN135" s="548"/>
      <c r="JYO135" s="548"/>
      <c r="JYP135" s="8"/>
      <c r="JYQ135" s="8"/>
      <c r="JYR135" s="503"/>
      <c r="JYS135" s="8"/>
      <c r="JYT135" s="8"/>
      <c r="JYU135" s="547"/>
      <c r="JYV135" s="547"/>
      <c r="JYW135" s="547"/>
      <c r="JYX135" s="547"/>
      <c r="JYY135" s="548"/>
      <c r="JYZ135" s="547"/>
      <c r="JZA135" s="547"/>
      <c r="JZB135" s="547"/>
      <c r="JZC135" s="547"/>
      <c r="JZD135" s="548"/>
      <c r="JZE135" s="547"/>
      <c r="JZF135" s="547"/>
      <c r="JZG135" s="547"/>
      <c r="JZH135" s="547"/>
      <c r="JZI135" s="548"/>
      <c r="JZJ135" s="547"/>
      <c r="JZK135" s="547"/>
      <c r="JZL135" s="547"/>
      <c r="JZM135" s="549"/>
      <c r="JZN135" s="548"/>
      <c r="JZO135" s="549"/>
      <c r="JZP135" s="549"/>
      <c r="JZQ135" s="549"/>
      <c r="JZR135" s="549"/>
      <c r="JZS135" s="548"/>
      <c r="JZT135" s="548"/>
      <c r="JZU135" s="548"/>
      <c r="JZV135" s="548"/>
      <c r="JZW135" s="8"/>
      <c r="JZX135" s="8"/>
      <c r="JZY135" s="503"/>
      <c r="JZZ135" s="8"/>
      <c r="KAA135" s="8"/>
      <c r="KAB135" s="547"/>
      <c r="KAC135" s="547"/>
      <c r="KAD135" s="547"/>
      <c r="KAE135" s="547"/>
      <c r="KAF135" s="548"/>
      <c r="KAG135" s="547"/>
      <c r="KAH135" s="547"/>
      <c r="KAI135" s="547"/>
      <c r="KAJ135" s="547"/>
      <c r="KAK135" s="548"/>
      <c r="KAL135" s="547"/>
      <c r="KAM135" s="547"/>
      <c r="KAN135" s="547"/>
      <c r="KAO135" s="547"/>
      <c r="KAP135" s="548"/>
      <c r="KAQ135" s="547"/>
      <c r="KAR135" s="547"/>
      <c r="KAS135" s="547"/>
      <c r="KAT135" s="549"/>
      <c r="KAU135" s="548"/>
      <c r="KAV135" s="549"/>
      <c r="KAW135" s="549"/>
      <c r="KAX135" s="549"/>
      <c r="KAY135" s="549"/>
      <c r="KAZ135" s="548"/>
      <c r="KBA135" s="548"/>
      <c r="KBB135" s="548"/>
      <c r="KBC135" s="548"/>
      <c r="KBD135" s="8"/>
      <c r="KBE135" s="8"/>
      <c r="KBF135" s="503"/>
      <c r="KBG135" s="8"/>
      <c r="KBH135" s="8"/>
      <c r="KBI135" s="547"/>
      <c r="KBJ135" s="547"/>
      <c r="KBK135" s="547"/>
      <c r="KBL135" s="547"/>
      <c r="KBM135" s="548"/>
      <c r="KBN135" s="547"/>
      <c r="KBO135" s="547"/>
      <c r="KBP135" s="547"/>
      <c r="KBQ135" s="547"/>
      <c r="KBR135" s="548"/>
      <c r="KBS135" s="547"/>
      <c r="KBT135" s="547"/>
      <c r="KBU135" s="547"/>
      <c r="KBV135" s="547"/>
      <c r="KBW135" s="548"/>
      <c r="KBX135" s="547"/>
      <c r="KBY135" s="547"/>
      <c r="KBZ135" s="547"/>
      <c r="KCA135" s="549"/>
      <c r="KCB135" s="548"/>
      <c r="KCC135" s="549"/>
      <c r="KCD135" s="549"/>
      <c r="KCE135" s="549"/>
      <c r="KCF135" s="549"/>
      <c r="KCG135" s="548"/>
      <c r="KCH135" s="548"/>
      <c r="KCI135" s="548"/>
      <c r="KCJ135" s="548"/>
      <c r="KCK135" s="8"/>
      <c r="KCL135" s="8"/>
      <c r="KCM135" s="503"/>
      <c r="KCN135" s="8"/>
      <c r="KCO135" s="8"/>
      <c r="KCP135" s="547"/>
      <c r="KCQ135" s="547"/>
      <c r="KCR135" s="547"/>
      <c r="KCS135" s="547"/>
      <c r="KCT135" s="548"/>
      <c r="KCU135" s="547"/>
      <c r="KCV135" s="547"/>
      <c r="KCW135" s="547"/>
      <c r="KCX135" s="547"/>
      <c r="KCY135" s="548"/>
      <c r="KCZ135" s="547"/>
      <c r="KDA135" s="547"/>
      <c r="KDB135" s="547"/>
      <c r="KDC135" s="547"/>
      <c r="KDD135" s="548"/>
      <c r="KDE135" s="547"/>
      <c r="KDF135" s="547"/>
      <c r="KDG135" s="547"/>
      <c r="KDH135" s="549"/>
      <c r="KDI135" s="548"/>
      <c r="KDJ135" s="549"/>
      <c r="KDK135" s="549"/>
      <c r="KDL135" s="549"/>
      <c r="KDM135" s="549"/>
      <c r="KDN135" s="548"/>
      <c r="KDO135" s="548"/>
      <c r="KDP135" s="548"/>
      <c r="KDQ135" s="548"/>
      <c r="KDR135" s="8"/>
      <c r="KDS135" s="8"/>
      <c r="KDT135" s="503"/>
      <c r="KDU135" s="8"/>
      <c r="KDV135" s="8"/>
      <c r="KDW135" s="547"/>
      <c r="KDX135" s="547"/>
      <c r="KDY135" s="547"/>
      <c r="KDZ135" s="547"/>
      <c r="KEA135" s="548"/>
      <c r="KEB135" s="547"/>
      <c r="KEC135" s="547"/>
      <c r="KED135" s="547"/>
      <c r="KEE135" s="547"/>
      <c r="KEF135" s="548"/>
      <c r="KEG135" s="547"/>
      <c r="KEH135" s="547"/>
      <c r="KEI135" s="547"/>
      <c r="KEJ135" s="547"/>
      <c r="KEK135" s="548"/>
      <c r="KEL135" s="547"/>
      <c r="KEM135" s="547"/>
      <c r="KEN135" s="547"/>
      <c r="KEO135" s="549"/>
      <c r="KEP135" s="548"/>
      <c r="KEQ135" s="549"/>
      <c r="KER135" s="549"/>
      <c r="KES135" s="549"/>
      <c r="KET135" s="549"/>
      <c r="KEU135" s="548"/>
      <c r="KEV135" s="548"/>
      <c r="KEW135" s="548"/>
      <c r="KEX135" s="548"/>
      <c r="KEY135" s="8"/>
      <c r="KEZ135" s="8"/>
      <c r="KFA135" s="503"/>
      <c r="KFB135" s="8"/>
      <c r="KFC135" s="8"/>
      <c r="KFD135" s="547"/>
      <c r="KFE135" s="547"/>
      <c r="KFF135" s="547"/>
      <c r="KFG135" s="547"/>
      <c r="KFH135" s="548"/>
      <c r="KFI135" s="547"/>
      <c r="KFJ135" s="547"/>
      <c r="KFK135" s="547"/>
      <c r="KFL135" s="547"/>
      <c r="KFM135" s="548"/>
      <c r="KFN135" s="547"/>
      <c r="KFO135" s="547"/>
      <c r="KFP135" s="547"/>
      <c r="KFQ135" s="547"/>
      <c r="KFR135" s="548"/>
      <c r="KFS135" s="547"/>
      <c r="KFT135" s="547"/>
      <c r="KFU135" s="547"/>
      <c r="KFV135" s="549"/>
      <c r="KFW135" s="548"/>
      <c r="KFX135" s="549"/>
      <c r="KFY135" s="549"/>
      <c r="KFZ135" s="549"/>
      <c r="KGA135" s="549"/>
      <c r="KGB135" s="548"/>
      <c r="KGC135" s="548"/>
      <c r="KGD135" s="548"/>
      <c r="KGE135" s="548"/>
      <c r="KGF135" s="8"/>
      <c r="KGG135" s="8"/>
      <c r="KGH135" s="503"/>
      <c r="KGI135" s="8"/>
      <c r="KGJ135" s="8"/>
      <c r="KGK135" s="547"/>
      <c r="KGL135" s="547"/>
      <c r="KGM135" s="547"/>
      <c r="KGN135" s="547"/>
      <c r="KGO135" s="548"/>
      <c r="KGP135" s="547"/>
      <c r="KGQ135" s="547"/>
      <c r="KGR135" s="547"/>
      <c r="KGS135" s="547"/>
      <c r="KGT135" s="548"/>
      <c r="KGU135" s="547"/>
      <c r="KGV135" s="547"/>
      <c r="KGW135" s="547"/>
      <c r="KGX135" s="547"/>
      <c r="KGY135" s="548"/>
      <c r="KGZ135" s="547"/>
      <c r="KHA135" s="547"/>
      <c r="KHB135" s="547"/>
      <c r="KHC135" s="549"/>
      <c r="KHD135" s="548"/>
      <c r="KHE135" s="549"/>
      <c r="KHF135" s="549"/>
      <c r="KHG135" s="549"/>
      <c r="KHH135" s="549"/>
      <c r="KHI135" s="548"/>
      <c r="KHJ135" s="548"/>
      <c r="KHK135" s="548"/>
      <c r="KHL135" s="548"/>
      <c r="KHM135" s="8"/>
      <c r="KHN135" s="8"/>
      <c r="KHO135" s="503"/>
      <c r="KHP135" s="8"/>
      <c r="KHQ135" s="8"/>
      <c r="KHR135" s="547"/>
      <c r="KHS135" s="547"/>
      <c r="KHT135" s="547"/>
      <c r="KHU135" s="547"/>
      <c r="KHV135" s="548"/>
      <c r="KHW135" s="547"/>
      <c r="KHX135" s="547"/>
      <c r="KHY135" s="547"/>
      <c r="KHZ135" s="547"/>
      <c r="KIA135" s="548"/>
      <c r="KIB135" s="547"/>
      <c r="KIC135" s="547"/>
      <c r="KID135" s="547"/>
      <c r="KIE135" s="547"/>
      <c r="KIF135" s="548"/>
      <c r="KIG135" s="547"/>
      <c r="KIH135" s="547"/>
      <c r="KII135" s="547"/>
      <c r="KIJ135" s="549"/>
      <c r="KIK135" s="548"/>
      <c r="KIL135" s="549"/>
      <c r="KIM135" s="549"/>
      <c r="KIN135" s="549"/>
      <c r="KIO135" s="549"/>
      <c r="KIP135" s="548"/>
      <c r="KIQ135" s="548"/>
      <c r="KIR135" s="548"/>
      <c r="KIS135" s="548"/>
      <c r="KIT135" s="8"/>
      <c r="KIU135" s="8"/>
      <c r="KIV135" s="503"/>
      <c r="KIW135" s="8"/>
      <c r="KIX135" s="8"/>
      <c r="KIY135" s="547"/>
      <c r="KIZ135" s="547"/>
      <c r="KJA135" s="547"/>
      <c r="KJB135" s="547"/>
      <c r="KJC135" s="548"/>
      <c r="KJD135" s="547"/>
      <c r="KJE135" s="547"/>
      <c r="KJF135" s="547"/>
      <c r="KJG135" s="547"/>
      <c r="KJH135" s="548"/>
      <c r="KJI135" s="547"/>
      <c r="KJJ135" s="547"/>
      <c r="KJK135" s="547"/>
      <c r="KJL135" s="547"/>
      <c r="KJM135" s="548"/>
      <c r="KJN135" s="547"/>
      <c r="KJO135" s="547"/>
      <c r="KJP135" s="547"/>
      <c r="KJQ135" s="549"/>
      <c r="KJR135" s="548"/>
      <c r="KJS135" s="549"/>
      <c r="KJT135" s="549"/>
      <c r="KJU135" s="549"/>
      <c r="KJV135" s="549"/>
      <c r="KJW135" s="548"/>
      <c r="KJX135" s="548"/>
      <c r="KJY135" s="548"/>
      <c r="KJZ135" s="548"/>
      <c r="KKA135" s="8"/>
      <c r="KKB135" s="8"/>
      <c r="KKC135" s="503"/>
      <c r="KKD135" s="8"/>
      <c r="KKE135" s="8"/>
      <c r="KKF135" s="547"/>
      <c r="KKG135" s="547"/>
      <c r="KKH135" s="547"/>
      <c r="KKI135" s="547"/>
      <c r="KKJ135" s="548"/>
      <c r="KKK135" s="547"/>
      <c r="KKL135" s="547"/>
      <c r="KKM135" s="547"/>
      <c r="KKN135" s="547"/>
      <c r="KKO135" s="548"/>
      <c r="KKP135" s="547"/>
      <c r="KKQ135" s="547"/>
      <c r="KKR135" s="547"/>
      <c r="KKS135" s="547"/>
      <c r="KKT135" s="548"/>
      <c r="KKU135" s="547"/>
      <c r="KKV135" s="547"/>
      <c r="KKW135" s="547"/>
      <c r="KKX135" s="549"/>
      <c r="KKY135" s="548"/>
      <c r="KKZ135" s="549"/>
      <c r="KLA135" s="549"/>
      <c r="KLB135" s="549"/>
      <c r="KLC135" s="549"/>
      <c r="KLD135" s="548"/>
      <c r="KLE135" s="548"/>
      <c r="KLF135" s="548"/>
      <c r="KLG135" s="548"/>
      <c r="KLH135" s="8"/>
      <c r="KLI135" s="8"/>
      <c r="KLJ135" s="503"/>
      <c r="KLK135" s="8"/>
      <c r="KLL135" s="8"/>
      <c r="KLM135" s="547"/>
      <c r="KLN135" s="547"/>
      <c r="KLO135" s="547"/>
      <c r="KLP135" s="547"/>
      <c r="KLQ135" s="548"/>
      <c r="KLR135" s="547"/>
      <c r="KLS135" s="547"/>
      <c r="KLT135" s="547"/>
      <c r="KLU135" s="547"/>
      <c r="KLV135" s="548"/>
      <c r="KLW135" s="547"/>
      <c r="KLX135" s="547"/>
      <c r="KLY135" s="547"/>
      <c r="KLZ135" s="547"/>
      <c r="KMA135" s="548"/>
      <c r="KMB135" s="547"/>
      <c r="KMC135" s="547"/>
      <c r="KMD135" s="547"/>
      <c r="KME135" s="549"/>
      <c r="KMF135" s="548"/>
      <c r="KMG135" s="549"/>
      <c r="KMH135" s="549"/>
      <c r="KMI135" s="549"/>
      <c r="KMJ135" s="549"/>
      <c r="KMK135" s="548"/>
      <c r="KML135" s="548"/>
      <c r="KMM135" s="548"/>
      <c r="KMN135" s="548"/>
      <c r="KMO135" s="8"/>
      <c r="KMP135" s="8"/>
      <c r="KMQ135" s="503"/>
      <c r="KMR135" s="8"/>
      <c r="KMS135" s="8"/>
      <c r="KMT135" s="547"/>
      <c r="KMU135" s="547"/>
      <c r="KMV135" s="547"/>
      <c r="KMW135" s="547"/>
      <c r="KMX135" s="548"/>
      <c r="KMY135" s="547"/>
      <c r="KMZ135" s="547"/>
      <c r="KNA135" s="547"/>
      <c r="KNB135" s="547"/>
      <c r="KNC135" s="548"/>
      <c r="KND135" s="547"/>
      <c r="KNE135" s="547"/>
      <c r="KNF135" s="547"/>
      <c r="KNG135" s="547"/>
      <c r="KNH135" s="548"/>
      <c r="KNI135" s="547"/>
      <c r="KNJ135" s="547"/>
      <c r="KNK135" s="547"/>
      <c r="KNL135" s="549"/>
      <c r="KNM135" s="548"/>
      <c r="KNN135" s="549"/>
      <c r="KNO135" s="549"/>
      <c r="KNP135" s="549"/>
      <c r="KNQ135" s="549"/>
      <c r="KNR135" s="548"/>
      <c r="KNS135" s="548"/>
      <c r="KNT135" s="548"/>
      <c r="KNU135" s="548"/>
      <c r="KNV135" s="8"/>
      <c r="KNW135" s="8"/>
      <c r="KNX135" s="503"/>
      <c r="KNY135" s="8"/>
      <c r="KNZ135" s="8"/>
      <c r="KOA135" s="547"/>
      <c r="KOB135" s="547"/>
      <c r="KOC135" s="547"/>
      <c r="KOD135" s="547"/>
      <c r="KOE135" s="548"/>
      <c r="KOF135" s="547"/>
      <c r="KOG135" s="547"/>
      <c r="KOH135" s="547"/>
      <c r="KOI135" s="547"/>
      <c r="KOJ135" s="548"/>
      <c r="KOK135" s="547"/>
      <c r="KOL135" s="547"/>
      <c r="KOM135" s="547"/>
      <c r="KON135" s="547"/>
      <c r="KOO135" s="548"/>
      <c r="KOP135" s="547"/>
      <c r="KOQ135" s="547"/>
      <c r="KOR135" s="547"/>
      <c r="KOS135" s="549"/>
      <c r="KOT135" s="548"/>
      <c r="KOU135" s="549"/>
      <c r="KOV135" s="549"/>
      <c r="KOW135" s="549"/>
      <c r="KOX135" s="549"/>
      <c r="KOY135" s="548"/>
      <c r="KOZ135" s="548"/>
      <c r="KPA135" s="548"/>
      <c r="KPB135" s="548"/>
      <c r="KPC135" s="8"/>
      <c r="KPD135" s="8"/>
      <c r="KPE135" s="503"/>
      <c r="KPF135" s="8"/>
      <c r="KPG135" s="8"/>
      <c r="KPH135" s="547"/>
      <c r="KPI135" s="547"/>
      <c r="KPJ135" s="547"/>
      <c r="KPK135" s="547"/>
      <c r="KPL135" s="548"/>
      <c r="KPM135" s="547"/>
      <c r="KPN135" s="547"/>
      <c r="KPO135" s="547"/>
      <c r="KPP135" s="547"/>
      <c r="KPQ135" s="548"/>
      <c r="KPR135" s="547"/>
      <c r="KPS135" s="547"/>
      <c r="KPT135" s="547"/>
      <c r="KPU135" s="547"/>
      <c r="KPV135" s="548"/>
      <c r="KPW135" s="547"/>
      <c r="KPX135" s="547"/>
      <c r="KPY135" s="547"/>
      <c r="KPZ135" s="549"/>
      <c r="KQA135" s="548"/>
      <c r="KQB135" s="549"/>
      <c r="KQC135" s="549"/>
      <c r="KQD135" s="549"/>
      <c r="KQE135" s="549"/>
      <c r="KQF135" s="548"/>
      <c r="KQG135" s="548"/>
      <c r="KQH135" s="548"/>
      <c r="KQI135" s="548"/>
      <c r="KQJ135" s="8"/>
      <c r="KQK135" s="8"/>
      <c r="KQL135" s="503"/>
      <c r="KQM135" s="8"/>
      <c r="KQN135" s="8"/>
      <c r="KQO135" s="547"/>
      <c r="KQP135" s="547"/>
      <c r="KQQ135" s="547"/>
      <c r="KQR135" s="547"/>
      <c r="KQS135" s="548"/>
      <c r="KQT135" s="547"/>
      <c r="KQU135" s="547"/>
      <c r="KQV135" s="547"/>
      <c r="KQW135" s="547"/>
      <c r="KQX135" s="548"/>
      <c r="KQY135" s="547"/>
      <c r="KQZ135" s="547"/>
      <c r="KRA135" s="547"/>
      <c r="KRB135" s="547"/>
      <c r="KRC135" s="548"/>
      <c r="KRD135" s="547"/>
      <c r="KRE135" s="547"/>
      <c r="KRF135" s="547"/>
      <c r="KRG135" s="549"/>
      <c r="KRH135" s="548"/>
      <c r="KRI135" s="549"/>
      <c r="KRJ135" s="549"/>
      <c r="KRK135" s="549"/>
      <c r="KRL135" s="549"/>
      <c r="KRM135" s="548"/>
      <c r="KRN135" s="548"/>
      <c r="KRO135" s="548"/>
      <c r="KRP135" s="548"/>
      <c r="KRQ135" s="8"/>
      <c r="KRR135" s="8"/>
      <c r="KRS135" s="503"/>
      <c r="KRT135" s="8"/>
      <c r="KRU135" s="8"/>
      <c r="KRV135" s="547"/>
      <c r="KRW135" s="547"/>
      <c r="KRX135" s="547"/>
      <c r="KRY135" s="547"/>
      <c r="KRZ135" s="548"/>
      <c r="KSA135" s="547"/>
      <c r="KSB135" s="547"/>
      <c r="KSC135" s="547"/>
      <c r="KSD135" s="547"/>
      <c r="KSE135" s="548"/>
      <c r="KSF135" s="547"/>
      <c r="KSG135" s="547"/>
      <c r="KSH135" s="547"/>
      <c r="KSI135" s="547"/>
      <c r="KSJ135" s="548"/>
      <c r="KSK135" s="547"/>
      <c r="KSL135" s="547"/>
      <c r="KSM135" s="547"/>
      <c r="KSN135" s="549"/>
      <c r="KSO135" s="548"/>
      <c r="KSP135" s="549"/>
      <c r="KSQ135" s="549"/>
      <c r="KSR135" s="549"/>
      <c r="KSS135" s="549"/>
      <c r="KST135" s="548"/>
      <c r="KSU135" s="548"/>
      <c r="KSV135" s="548"/>
      <c r="KSW135" s="548"/>
      <c r="KSX135" s="8"/>
      <c r="KSY135" s="8"/>
      <c r="KSZ135" s="503"/>
      <c r="KTA135" s="8"/>
      <c r="KTB135" s="8"/>
      <c r="KTC135" s="547"/>
      <c r="KTD135" s="547"/>
      <c r="KTE135" s="547"/>
      <c r="KTF135" s="547"/>
      <c r="KTG135" s="548"/>
      <c r="KTH135" s="547"/>
      <c r="KTI135" s="547"/>
      <c r="KTJ135" s="547"/>
      <c r="KTK135" s="547"/>
      <c r="KTL135" s="548"/>
      <c r="KTM135" s="547"/>
      <c r="KTN135" s="547"/>
      <c r="KTO135" s="547"/>
      <c r="KTP135" s="547"/>
      <c r="KTQ135" s="548"/>
      <c r="KTR135" s="547"/>
      <c r="KTS135" s="547"/>
      <c r="KTT135" s="547"/>
      <c r="KTU135" s="549"/>
      <c r="KTV135" s="548"/>
      <c r="KTW135" s="549"/>
      <c r="KTX135" s="549"/>
      <c r="KTY135" s="549"/>
      <c r="KTZ135" s="549"/>
      <c r="KUA135" s="548"/>
      <c r="KUB135" s="548"/>
      <c r="KUC135" s="548"/>
      <c r="KUD135" s="548"/>
      <c r="KUE135" s="8"/>
      <c r="KUF135" s="8"/>
      <c r="KUG135" s="503"/>
      <c r="KUH135" s="8"/>
      <c r="KUI135" s="8"/>
      <c r="KUJ135" s="547"/>
      <c r="KUK135" s="547"/>
      <c r="KUL135" s="547"/>
      <c r="KUM135" s="547"/>
      <c r="KUN135" s="548"/>
      <c r="KUO135" s="547"/>
      <c r="KUP135" s="547"/>
      <c r="KUQ135" s="547"/>
      <c r="KUR135" s="547"/>
      <c r="KUS135" s="548"/>
      <c r="KUT135" s="547"/>
      <c r="KUU135" s="547"/>
      <c r="KUV135" s="547"/>
      <c r="KUW135" s="547"/>
      <c r="KUX135" s="548"/>
      <c r="KUY135" s="547"/>
      <c r="KUZ135" s="547"/>
      <c r="KVA135" s="547"/>
      <c r="KVB135" s="549"/>
      <c r="KVC135" s="548"/>
      <c r="KVD135" s="549"/>
      <c r="KVE135" s="549"/>
      <c r="KVF135" s="549"/>
      <c r="KVG135" s="549"/>
      <c r="KVH135" s="548"/>
      <c r="KVI135" s="548"/>
      <c r="KVJ135" s="548"/>
      <c r="KVK135" s="548"/>
      <c r="KVL135" s="8"/>
      <c r="KVM135" s="8"/>
      <c r="KVN135" s="503"/>
      <c r="KVO135" s="8"/>
      <c r="KVP135" s="8"/>
      <c r="KVQ135" s="547"/>
      <c r="KVR135" s="547"/>
      <c r="KVS135" s="547"/>
      <c r="KVT135" s="547"/>
      <c r="KVU135" s="548"/>
      <c r="KVV135" s="547"/>
      <c r="KVW135" s="547"/>
      <c r="KVX135" s="547"/>
      <c r="KVY135" s="547"/>
      <c r="KVZ135" s="548"/>
      <c r="KWA135" s="547"/>
      <c r="KWB135" s="547"/>
      <c r="KWC135" s="547"/>
      <c r="KWD135" s="547"/>
      <c r="KWE135" s="548"/>
      <c r="KWF135" s="547"/>
      <c r="KWG135" s="547"/>
      <c r="KWH135" s="547"/>
      <c r="KWI135" s="549"/>
      <c r="KWJ135" s="548"/>
      <c r="KWK135" s="549"/>
      <c r="KWL135" s="549"/>
      <c r="KWM135" s="549"/>
      <c r="KWN135" s="549"/>
      <c r="KWO135" s="548"/>
      <c r="KWP135" s="548"/>
      <c r="KWQ135" s="548"/>
      <c r="KWR135" s="548"/>
      <c r="KWS135" s="8"/>
      <c r="KWT135" s="8"/>
      <c r="KWU135" s="503"/>
      <c r="KWV135" s="8"/>
      <c r="KWW135" s="8"/>
      <c r="KWX135" s="547"/>
      <c r="KWY135" s="547"/>
      <c r="KWZ135" s="547"/>
      <c r="KXA135" s="547"/>
      <c r="KXB135" s="548"/>
      <c r="KXC135" s="547"/>
      <c r="KXD135" s="547"/>
      <c r="KXE135" s="547"/>
      <c r="KXF135" s="547"/>
      <c r="KXG135" s="548"/>
      <c r="KXH135" s="547"/>
      <c r="KXI135" s="547"/>
      <c r="KXJ135" s="547"/>
      <c r="KXK135" s="547"/>
      <c r="KXL135" s="548"/>
      <c r="KXM135" s="547"/>
      <c r="KXN135" s="547"/>
      <c r="KXO135" s="547"/>
      <c r="KXP135" s="549"/>
      <c r="KXQ135" s="548"/>
      <c r="KXR135" s="549"/>
      <c r="KXS135" s="549"/>
      <c r="KXT135" s="549"/>
      <c r="KXU135" s="549"/>
      <c r="KXV135" s="548"/>
      <c r="KXW135" s="548"/>
      <c r="KXX135" s="548"/>
      <c r="KXY135" s="548"/>
      <c r="KXZ135" s="8"/>
      <c r="KYA135" s="8"/>
      <c r="KYB135" s="503"/>
      <c r="KYC135" s="8"/>
      <c r="KYD135" s="8"/>
      <c r="KYE135" s="547"/>
      <c r="KYF135" s="547"/>
      <c r="KYG135" s="547"/>
      <c r="KYH135" s="547"/>
      <c r="KYI135" s="548"/>
      <c r="KYJ135" s="547"/>
      <c r="KYK135" s="547"/>
      <c r="KYL135" s="547"/>
      <c r="KYM135" s="547"/>
      <c r="KYN135" s="548"/>
      <c r="KYO135" s="547"/>
      <c r="KYP135" s="547"/>
      <c r="KYQ135" s="547"/>
      <c r="KYR135" s="547"/>
      <c r="KYS135" s="548"/>
      <c r="KYT135" s="547"/>
      <c r="KYU135" s="547"/>
      <c r="KYV135" s="547"/>
      <c r="KYW135" s="549"/>
      <c r="KYX135" s="548"/>
      <c r="KYY135" s="549"/>
      <c r="KYZ135" s="549"/>
      <c r="KZA135" s="549"/>
      <c r="KZB135" s="549"/>
      <c r="KZC135" s="548"/>
      <c r="KZD135" s="548"/>
      <c r="KZE135" s="548"/>
      <c r="KZF135" s="548"/>
      <c r="KZG135" s="8"/>
      <c r="KZH135" s="8"/>
      <c r="KZI135" s="503"/>
      <c r="KZJ135" s="8"/>
      <c r="KZK135" s="8"/>
      <c r="KZL135" s="547"/>
      <c r="KZM135" s="547"/>
      <c r="KZN135" s="547"/>
      <c r="KZO135" s="547"/>
      <c r="KZP135" s="548"/>
      <c r="KZQ135" s="547"/>
      <c r="KZR135" s="547"/>
      <c r="KZS135" s="547"/>
      <c r="KZT135" s="547"/>
      <c r="KZU135" s="548"/>
      <c r="KZV135" s="547"/>
      <c r="KZW135" s="547"/>
      <c r="KZX135" s="547"/>
      <c r="KZY135" s="547"/>
      <c r="KZZ135" s="548"/>
      <c r="LAA135" s="547"/>
      <c r="LAB135" s="547"/>
      <c r="LAC135" s="547"/>
      <c r="LAD135" s="549"/>
      <c r="LAE135" s="548"/>
      <c r="LAF135" s="549"/>
      <c r="LAG135" s="549"/>
      <c r="LAH135" s="549"/>
      <c r="LAI135" s="549"/>
      <c r="LAJ135" s="548"/>
      <c r="LAK135" s="548"/>
      <c r="LAL135" s="548"/>
      <c r="LAM135" s="548"/>
      <c r="LAN135" s="8"/>
      <c r="LAO135" s="8"/>
      <c r="LAP135" s="503"/>
      <c r="LAQ135" s="8"/>
      <c r="LAR135" s="8"/>
      <c r="LAS135" s="547"/>
      <c r="LAT135" s="547"/>
      <c r="LAU135" s="547"/>
      <c r="LAV135" s="547"/>
      <c r="LAW135" s="548"/>
      <c r="LAX135" s="547"/>
      <c r="LAY135" s="547"/>
      <c r="LAZ135" s="547"/>
      <c r="LBA135" s="547"/>
      <c r="LBB135" s="548"/>
      <c r="LBC135" s="547"/>
      <c r="LBD135" s="547"/>
      <c r="LBE135" s="547"/>
      <c r="LBF135" s="547"/>
      <c r="LBG135" s="548"/>
      <c r="LBH135" s="547"/>
      <c r="LBI135" s="547"/>
      <c r="LBJ135" s="547"/>
      <c r="LBK135" s="549"/>
      <c r="LBL135" s="548"/>
      <c r="LBM135" s="549"/>
      <c r="LBN135" s="549"/>
      <c r="LBO135" s="549"/>
      <c r="LBP135" s="549"/>
      <c r="LBQ135" s="548"/>
      <c r="LBR135" s="548"/>
      <c r="LBS135" s="548"/>
      <c r="LBT135" s="548"/>
      <c r="LBU135" s="8"/>
      <c r="LBV135" s="8"/>
      <c r="LBW135" s="503"/>
      <c r="LBX135" s="8"/>
      <c r="LBY135" s="8"/>
      <c r="LBZ135" s="547"/>
      <c r="LCA135" s="547"/>
      <c r="LCB135" s="547"/>
      <c r="LCC135" s="547"/>
      <c r="LCD135" s="548"/>
      <c r="LCE135" s="547"/>
      <c r="LCF135" s="547"/>
      <c r="LCG135" s="547"/>
      <c r="LCH135" s="547"/>
      <c r="LCI135" s="548"/>
      <c r="LCJ135" s="547"/>
      <c r="LCK135" s="547"/>
      <c r="LCL135" s="547"/>
      <c r="LCM135" s="547"/>
      <c r="LCN135" s="548"/>
      <c r="LCO135" s="547"/>
      <c r="LCP135" s="547"/>
      <c r="LCQ135" s="547"/>
      <c r="LCR135" s="549"/>
      <c r="LCS135" s="548"/>
      <c r="LCT135" s="549"/>
      <c r="LCU135" s="549"/>
      <c r="LCV135" s="549"/>
      <c r="LCW135" s="549"/>
      <c r="LCX135" s="548"/>
      <c r="LCY135" s="548"/>
      <c r="LCZ135" s="548"/>
      <c r="LDA135" s="548"/>
      <c r="LDB135" s="8"/>
      <c r="LDC135" s="8"/>
      <c r="LDD135" s="503"/>
      <c r="LDE135" s="8"/>
      <c r="LDF135" s="8"/>
      <c r="LDG135" s="547"/>
      <c r="LDH135" s="547"/>
      <c r="LDI135" s="547"/>
      <c r="LDJ135" s="547"/>
      <c r="LDK135" s="548"/>
      <c r="LDL135" s="547"/>
      <c r="LDM135" s="547"/>
      <c r="LDN135" s="547"/>
      <c r="LDO135" s="547"/>
      <c r="LDP135" s="548"/>
      <c r="LDQ135" s="547"/>
      <c r="LDR135" s="547"/>
      <c r="LDS135" s="547"/>
      <c r="LDT135" s="547"/>
      <c r="LDU135" s="548"/>
      <c r="LDV135" s="547"/>
      <c r="LDW135" s="547"/>
      <c r="LDX135" s="547"/>
      <c r="LDY135" s="549"/>
      <c r="LDZ135" s="548"/>
      <c r="LEA135" s="549"/>
      <c r="LEB135" s="549"/>
      <c r="LEC135" s="549"/>
      <c r="LED135" s="549"/>
      <c r="LEE135" s="548"/>
      <c r="LEF135" s="548"/>
      <c r="LEG135" s="548"/>
      <c r="LEH135" s="548"/>
      <c r="LEI135" s="8"/>
      <c r="LEJ135" s="8"/>
      <c r="LEK135" s="503"/>
      <c r="LEL135" s="8"/>
      <c r="LEM135" s="8"/>
      <c r="LEN135" s="547"/>
      <c r="LEO135" s="547"/>
      <c r="LEP135" s="547"/>
      <c r="LEQ135" s="547"/>
      <c r="LER135" s="548"/>
      <c r="LES135" s="547"/>
      <c r="LET135" s="547"/>
      <c r="LEU135" s="547"/>
      <c r="LEV135" s="547"/>
      <c r="LEW135" s="548"/>
      <c r="LEX135" s="547"/>
      <c r="LEY135" s="547"/>
      <c r="LEZ135" s="547"/>
      <c r="LFA135" s="547"/>
      <c r="LFB135" s="548"/>
      <c r="LFC135" s="547"/>
      <c r="LFD135" s="547"/>
      <c r="LFE135" s="547"/>
      <c r="LFF135" s="549"/>
      <c r="LFG135" s="548"/>
      <c r="LFH135" s="549"/>
      <c r="LFI135" s="549"/>
      <c r="LFJ135" s="549"/>
      <c r="LFK135" s="549"/>
      <c r="LFL135" s="548"/>
      <c r="LFM135" s="548"/>
      <c r="LFN135" s="548"/>
      <c r="LFO135" s="548"/>
      <c r="LFP135" s="8"/>
      <c r="LFQ135" s="8"/>
      <c r="LFR135" s="503"/>
      <c r="LFS135" s="8"/>
      <c r="LFT135" s="8"/>
      <c r="LFU135" s="547"/>
      <c r="LFV135" s="547"/>
      <c r="LFW135" s="547"/>
      <c r="LFX135" s="547"/>
      <c r="LFY135" s="548"/>
      <c r="LFZ135" s="547"/>
      <c r="LGA135" s="547"/>
      <c r="LGB135" s="547"/>
      <c r="LGC135" s="547"/>
      <c r="LGD135" s="548"/>
      <c r="LGE135" s="547"/>
      <c r="LGF135" s="547"/>
      <c r="LGG135" s="547"/>
      <c r="LGH135" s="547"/>
      <c r="LGI135" s="548"/>
      <c r="LGJ135" s="547"/>
      <c r="LGK135" s="547"/>
      <c r="LGL135" s="547"/>
      <c r="LGM135" s="549"/>
      <c r="LGN135" s="548"/>
      <c r="LGO135" s="549"/>
      <c r="LGP135" s="549"/>
      <c r="LGQ135" s="549"/>
      <c r="LGR135" s="549"/>
      <c r="LGS135" s="548"/>
      <c r="LGT135" s="548"/>
      <c r="LGU135" s="548"/>
      <c r="LGV135" s="548"/>
      <c r="LGW135" s="8"/>
      <c r="LGX135" s="8"/>
      <c r="LGY135" s="503"/>
      <c r="LGZ135" s="8"/>
      <c r="LHA135" s="8"/>
      <c r="LHB135" s="547"/>
      <c r="LHC135" s="547"/>
      <c r="LHD135" s="547"/>
      <c r="LHE135" s="547"/>
      <c r="LHF135" s="548"/>
      <c r="LHG135" s="547"/>
      <c r="LHH135" s="547"/>
      <c r="LHI135" s="547"/>
      <c r="LHJ135" s="547"/>
      <c r="LHK135" s="548"/>
      <c r="LHL135" s="547"/>
      <c r="LHM135" s="547"/>
      <c r="LHN135" s="547"/>
      <c r="LHO135" s="547"/>
      <c r="LHP135" s="548"/>
      <c r="LHQ135" s="547"/>
      <c r="LHR135" s="547"/>
      <c r="LHS135" s="547"/>
      <c r="LHT135" s="549"/>
      <c r="LHU135" s="548"/>
      <c r="LHV135" s="549"/>
      <c r="LHW135" s="549"/>
      <c r="LHX135" s="549"/>
      <c r="LHY135" s="549"/>
      <c r="LHZ135" s="548"/>
      <c r="LIA135" s="548"/>
      <c r="LIB135" s="548"/>
      <c r="LIC135" s="548"/>
      <c r="LID135" s="8"/>
      <c r="LIE135" s="8"/>
      <c r="LIF135" s="503"/>
      <c r="LIG135" s="8"/>
      <c r="LIH135" s="8"/>
      <c r="LII135" s="547"/>
      <c r="LIJ135" s="547"/>
      <c r="LIK135" s="547"/>
      <c r="LIL135" s="547"/>
      <c r="LIM135" s="548"/>
      <c r="LIN135" s="547"/>
      <c r="LIO135" s="547"/>
      <c r="LIP135" s="547"/>
      <c r="LIQ135" s="547"/>
      <c r="LIR135" s="548"/>
      <c r="LIS135" s="547"/>
      <c r="LIT135" s="547"/>
      <c r="LIU135" s="547"/>
      <c r="LIV135" s="547"/>
      <c r="LIW135" s="548"/>
      <c r="LIX135" s="547"/>
      <c r="LIY135" s="547"/>
      <c r="LIZ135" s="547"/>
      <c r="LJA135" s="549"/>
      <c r="LJB135" s="548"/>
      <c r="LJC135" s="549"/>
      <c r="LJD135" s="549"/>
      <c r="LJE135" s="549"/>
      <c r="LJF135" s="549"/>
      <c r="LJG135" s="548"/>
      <c r="LJH135" s="548"/>
      <c r="LJI135" s="548"/>
      <c r="LJJ135" s="548"/>
      <c r="LJK135" s="8"/>
      <c r="LJL135" s="8"/>
      <c r="LJM135" s="503"/>
      <c r="LJN135" s="8"/>
      <c r="LJO135" s="8"/>
      <c r="LJP135" s="547"/>
      <c r="LJQ135" s="547"/>
      <c r="LJR135" s="547"/>
      <c r="LJS135" s="547"/>
      <c r="LJT135" s="548"/>
      <c r="LJU135" s="547"/>
      <c r="LJV135" s="547"/>
      <c r="LJW135" s="547"/>
      <c r="LJX135" s="547"/>
      <c r="LJY135" s="548"/>
      <c r="LJZ135" s="547"/>
      <c r="LKA135" s="547"/>
      <c r="LKB135" s="547"/>
      <c r="LKC135" s="547"/>
      <c r="LKD135" s="548"/>
      <c r="LKE135" s="547"/>
      <c r="LKF135" s="547"/>
      <c r="LKG135" s="547"/>
      <c r="LKH135" s="549"/>
      <c r="LKI135" s="548"/>
      <c r="LKJ135" s="549"/>
      <c r="LKK135" s="549"/>
      <c r="LKL135" s="549"/>
      <c r="LKM135" s="549"/>
      <c r="LKN135" s="548"/>
      <c r="LKO135" s="548"/>
      <c r="LKP135" s="548"/>
      <c r="LKQ135" s="548"/>
      <c r="LKR135" s="8"/>
      <c r="LKS135" s="8"/>
      <c r="LKT135" s="503"/>
      <c r="LKU135" s="8"/>
      <c r="LKV135" s="8"/>
      <c r="LKW135" s="547"/>
      <c r="LKX135" s="547"/>
      <c r="LKY135" s="547"/>
      <c r="LKZ135" s="547"/>
      <c r="LLA135" s="548"/>
      <c r="LLB135" s="547"/>
      <c r="LLC135" s="547"/>
      <c r="LLD135" s="547"/>
      <c r="LLE135" s="547"/>
      <c r="LLF135" s="548"/>
      <c r="LLG135" s="547"/>
      <c r="LLH135" s="547"/>
      <c r="LLI135" s="547"/>
      <c r="LLJ135" s="547"/>
      <c r="LLK135" s="548"/>
      <c r="LLL135" s="547"/>
      <c r="LLM135" s="547"/>
      <c r="LLN135" s="547"/>
      <c r="LLO135" s="549"/>
      <c r="LLP135" s="548"/>
      <c r="LLQ135" s="549"/>
      <c r="LLR135" s="549"/>
      <c r="LLS135" s="549"/>
      <c r="LLT135" s="549"/>
      <c r="LLU135" s="548"/>
      <c r="LLV135" s="548"/>
      <c r="LLW135" s="548"/>
      <c r="LLX135" s="548"/>
      <c r="LLY135" s="8"/>
      <c r="LLZ135" s="8"/>
      <c r="LMA135" s="503"/>
      <c r="LMB135" s="8"/>
      <c r="LMC135" s="8"/>
      <c r="LMD135" s="547"/>
      <c r="LME135" s="547"/>
      <c r="LMF135" s="547"/>
      <c r="LMG135" s="547"/>
      <c r="LMH135" s="548"/>
      <c r="LMI135" s="547"/>
      <c r="LMJ135" s="547"/>
      <c r="LMK135" s="547"/>
      <c r="LML135" s="547"/>
      <c r="LMM135" s="548"/>
      <c r="LMN135" s="547"/>
      <c r="LMO135" s="547"/>
      <c r="LMP135" s="547"/>
      <c r="LMQ135" s="547"/>
      <c r="LMR135" s="548"/>
      <c r="LMS135" s="547"/>
      <c r="LMT135" s="547"/>
      <c r="LMU135" s="547"/>
      <c r="LMV135" s="549"/>
      <c r="LMW135" s="548"/>
      <c r="LMX135" s="549"/>
      <c r="LMY135" s="549"/>
      <c r="LMZ135" s="549"/>
      <c r="LNA135" s="549"/>
      <c r="LNB135" s="548"/>
      <c r="LNC135" s="548"/>
      <c r="LND135" s="548"/>
      <c r="LNE135" s="548"/>
      <c r="LNF135" s="8"/>
      <c r="LNG135" s="8"/>
      <c r="LNH135" s="503"/>
      <c r="LNI135" s="8"/>
      <c r="LNJ135" s="8"/>
      <c r="LNK135" s="547"/>
      <c r="LNL135" s="547"/>
      <c r="LNM135" s="547"/>
      <c r="LNN135" s="547"/>
      <c r="LNO135" s="548"/>
      <c r="LNP135" s="547"/>
      <c r="LNQ135" s="547"/>
      <c r="LNR135" s="547"/>
      <c r="LNS135" s="547"/>
      <c r="LNT135" s="548"/>
      <c r="LNU135" s="547"/>
      <c r="LNV135" s="547"/>
      <c r="LNW135" s="547"/>
      <c r="LNX135" s="547"/>
      <c r="LNY135" s="548"/>
      <c r="LNZ135" s="547"/>
      <c r="LOA135" s="547"/>
      <c r="LOB135" s="547"/>
      <c r="LOC135" s="549"/>
      <c r="LOD135" s="548"/>
      <c r="LOE135" s="549"/>
      <c r="LOF135" s="549"/>
      <c r="LOG135" s="549"/>
      <c r="LOH135" s="549"/>
      <c r="LOI135" s="548"/>
      <c r="LOJ135" s="548"/>
      <c r="LOK135" s="548"/>
      <c r="LOL135" s="548"/>
      <c r="LOM135" s="8"/>
      <c r="LON135" s="8"/>
      <c r="LOO135" s="503"/>
      <c r="LOP135" s="8"/>
      <c r="LOQ135" s="8"/>
      <c r="LOR135" s="547"/>
      <c r="LOS135" s="547"/>
      <c r="LOT135" s="547"/>
      <c r="LOU135" s="547"/>
      <c r="LOV135" s="548"/>
      <c r="LOW135" s="547"/>
      <c r="LOX135" s="547"/>
      <c r="LOY135" s="547"/>
      <c r="LOZ135" s="547"/>
      <c r="LPA135" s="548"/>
      <c r="LPB135" s="547"/>
      <c r="LPC135" s="547"/>
      <c r="LPD135" s="547"/>
      <c r="LPE135" s="547"/>
      <c r="LPF135" s="548"/>
      <c r="LPG135" s="547"/>
      <c r="LPH135" s="547"/>
      <c r="LPI135" s="547"/>
      <c r="LPJ135" s="549"/>
      <c r="LPK135" s="548"/>
      <c r="LPL135" s="549"/>
      <c r="LPM135" s="549"/>
      <c r="LPN135" s="549"/>
      <c r="LPO135" s="549"/>
      <c r="LPP135" s="548"/>
      <c r="LPQ135" s="548"/>
      <c r="LPR135" s="548"/>
      <c r="LPS135" s="548"/>
      <c r="LPT135" s="8"/>
      <c r="LPU135" s="8"/>
      <c r="LPV135" s="503"/>
      <c r="LPW135" s="8"/>
      <c r="LPX135" s="8"/>
      <c r="LPY135" s="547"/>
      <c r="LPZ135" s="547"/>
      <c r="LQA135" s="547"/>
      <c r="LQB135" s="547"/>
      <c r="LQC135" s="548"/>
      <c r="LQD135" s="547"/>
      <c r="LQE135" s="547"/>
      <c r="LQF135" s="547"/>
      <c r="LQG135" s="547"/>
      <c r="LQH135" s="548"/>
      <c r="LQI135" s="547"/>
      <c r="LQJ135" s="547"/>
      <c r="LQK135" s="547"/>
      <c r="LQL135" s="547"/>
      <c r="LQM135" s="548"/>
      <c r="LQN135" s="547"/>
      <c r="LQO135" s="547"/>
      <c r="LQP135" s="547"/>
      <c r="LQQ135" s="549"/>
      <c r="LQR135" s="548"/>
      <c r="LQS135" s="549"/>
      <c r="LQT135" s="549"/>
      <c r="LQU135" s="549"/>
      <c r="LQV135" s="549"/>
      <c r="LQW135" s="548"/>
      <c r="LQX135" s="548"/>
      <c r="LQY135" s="548"/>
      <c r="LQZ135" s="548"/>
      <c r="LRA135" s="8"/>
      <c r="LRB135" s="8"/>
      <c r="LRC135" s="503"/>
      <c r="LRD135" s="8"/>
      <c r="LRE135" s="8"/>
      <c r="LRF135" s="547"/>
      <c r="LRG135" s="547"/>
      <c r="LRH135" s="547"/>
      <c r="LRI135" s="547"/>
      <c r="LRJ135" s="548"/>
      <c r="LRK135" s="547"/>
      <c r="LRL135" s="547"/>
      <c r="LRM135" s="547"/>
      <c r="LRN135" s="547"/>
      <c r="LRO135" s="548"/>
      <c r="LRP135" s="547"/>
      <c r="LRQ135" s="547"/>
      <c r="LRR135" s="547"/>
      <c r="LRS135" s="547"/>
      <c r="LRT135" s="548"/>
      <c r="LRU135" s="547"/>
      <c r="LRV135" s="547"/>
      <c r="LRW135" s="547"/>
      <c r="LRX135" s="549"/>
      <c r="LRY135" s="548"/>
      <c r="LRZ135" s="549"/>
      <c r="LSA135" s="549"/>
      <c r="LSB135" s="549"/>
      <c r="LSC135" s="549"/>
      <c r="LSD135" s="548"/>
      <c r="LSE135" s="548"/>
      <c r="LSF135" s="548"/>
      <c r="LSG135" s="548"/>
      <c r="LSH135" s="8"/>
      <c r="LSI135" s="8"/>
      <c r="LSJ135" s="503"/>
      <c r="LSK135" s="8"/>
      <c r="LSL135" s="8"/>
      <c r="LSM135" s="547"/>
      <c r="LSN135" s="547"/>
      <c r="LSO135" s="547"/>
      <c r="LSP135" s="547"/>
      <c r="LSQ135" s="548"/>
      <c r="LSR135" s="547"/>
      <c r="LSS135" s="547"/>
      <c r="LST135" s="547"/>
      <c r="LSU135" s="547"/>
      <c r="LSV135" s="548"/>
      <c r="LSW135" s="547"/>
      <c r="LSX135" s="547"/>
      <c r="LSY135" s="547"/>
      <c r="LSZ135" s="547"/>
      <c r="LTA135" s="548"/>
      <c r="LTB135" s="547"/>
      <c r="LTC135" s="547"/>
      <c r="LTD135" s="547"/>
      <c r="LTE135" s="549"/>
      <c r="LTF135" s="548"/>
      <c r="LTG135" s="549"/>
      <c r="LTH135" s="549"/>
      <c r="LTI135" s="549"/>
      <c r="LTJ135" s="549"/>
      <c r="LTK135" s="548"/>
      <c r="LTL135" s="548"/>
      <c r="LTM135" s="548"/>
      <c r="LTN135" s="548"/>
      <c r="LTO135" s="8"/>
      <c r="LTP135" s="8"/>
      <c r="LTQ135" s="503"/>
      <c r="LTR135" s="8"/>
      <c r="LTS135" s="8"/>
      <c r="LTT135" s="547"/>
      <c r="LTU135" s="547"/>
      <c r="LTV135" s="547"/>
      <c r="LTW135" s="547"/>
      <c r="LTX135" s="548"/>
      <c r="LTY135" s="547"/>
      <c r="LTZ135" s="547"/>
      <c r="LUA135" s="547"/>
      <c r="LUB135" s="547"/>
      <c r="LUC135" s="548"/>
      <c r="LUD135" s="547"/>
      <c r="LUE135" s="547"/>
      <c r="LUF135" s="547"/>
      <c r="LUG135" s="547"/>
      <c r="LUH135" s="548"/>
      <c r="LUI135" s="547"/>
      <c r="LUJ135" s="547"/>
      <c r="LUK135" s="547"/>
      <c r="LUL135" s="549"/>
      <c r="LUM135" s="548"/>
      <c r="LUN135" s="549"/>
      <c r="LUO135" s="549"/>
      <c r="LUP135" s="549"/>
      <c r="LUQ135" s="549"/>
      <c r="LUR135" s="548"/>
      <c r="LUS135" s="548"/>
      <c r="LUT135" s="548"/>
      <c r="LUU135" s="548"/>
      <c r="LUV135" s="8"/>
      <c r="LUW135" s="8"/>
      <c r="LUX135" s="503"/>
      <c r="LUY135" s="8"/>
      <c r="LUZ135" s="8"/>
      <c r="LVA135" s="547"/>
      <c r="LVB135" s="547"/>
      <c r="LVC135" s="547"/>
      <c r="LVD135" s="547"/>
      <c r="LVE135" s="548"/>
      <c r="LVF135" s="547"/>
      <c r="LVG135" s="547"/>
      <c r="LVH135" s="547"/>
      <c r="LVI135" s="547"/>
      <c r="LVJ135" s="548"/>
      <c r="LVK135" s="547"/>
      <c r="LVL135" s="547"/>
      <c r="LVM135" s="547"/>
      <c r="LVN135" s="547"/>
      <c r="LVO135" s="548"/>
      <c r="LVP135" s="547"/>
      <c r="LVQ135" s="547"/>
      <c r="LVR135" s="547"/>
      <c r="LVS135" s="549"/>
      <c r="LVT135" s="548"/>
      <c r="LVU135" s="549"/>
      <c r="LVV135" s="549"/>
      <c r="LVW135" s="549"/>
      <c r="LVX135" s="549"/>
      <c r="LVY135" s="548"/>
      <c r="LVZ135" s="548"/>
      <c r="LWA135" s="548"/>
      <c r="LWB135" s="548"/>
      <c r="LWC135" s="8"/>
      <c r="LWD135" s="8"/>
      <c r="LWE135" s="503"/>
      <c r="LWF135" s="8"/>
      <c r="LWG135" s="8"/>
      <c r="LWH135" s="547"/>
      <c r="LWI135" s="547"/>
      <c r="LWJ135" s="547"/>
      <c r="LWK135" s="547"/>
      <c r="LWL135" s="548"/>
      <c r="LWM135" s="547"/>
      <c r="LWN135" s="547"/>
      <c r="LWO135" s="547"/>
      <c r="LWP135" s="547"/>
      <c r="LWQ135" s="548"/>
      <c r="LWR135" s="547"/>
      <c r="LWS135" s="547"/>
      <c r="LWT135" s="547"/>
      <c r="LWU135" s="547"/>
      <c r="LWV135" s="548"/>
      <c r="LWW135" s="547"/>
      <c r="LWX135" s="547"/>
      <c r="LWY135" s="547"/>
      <c r="LWZ135" s="549"/>
      <c r="LXA135" s="548"/>
      <c r="LXB135" s="549"/>
      <c r="LXC135" s="549"/>
      <c r="LXD135" s="549"/>
      <c r="LXE135" s="549"/>
      <c r="LXF135" s="548"/>
      <c r="LXG135" s="548"/>
      <c r="LXH135" s="548"/>
      <c r="LXI135" s="548"/>
      <c r="LXJ135" s="8"/>
      <c r="LXK135" s="8"/>
      <c r="LXL135" s="503"/>
      <c r="LXM135" s="8"/>
      <c r="LXN135" s="8"/>
      <c r="LXO135" s="547"/>
      <c r="LXP135" s="547"/>
      <c r="LXQ135" s="547"/>
      <c r="LXR135" s="547"/>
      <c r="LXS135" s="548"/>
      <c r="LXT135" s="547"/>
      <c r="LXU135" s="547"/>
      <c r="LXV135" s="547"/>
      <c r="LXW135" s="547"/>
      <c r="LXX135" s="548"/>
      <c r="LXY135" s="547"/>
      <c r="LXZ135" s="547"/>
      <c r="LYA135" s="547"/>
      <c r="LYB135" s="547"/>
      <c r="LYC135" s="548"/>
      <c r="LYD135" s="547"/>
      <c r="LYE135" s="547"/>
      <c r="LYF135" s="547"/>
      <c r="LYG135" s="549"/>
      <c r="LYH135" s="548"/>
      <c r="LYI135" s="549"/>
      <c r="LYJ135" s="549"/>
      <c r="LYK135" s="549"/>
      <c r="LYL135" s="549"/>
      <c r="LYM135" s="548"/>
      <c r="LYN135" s="548"/>
      <c r="LYO135" s="548"/>
      <c r="LYP135" s="548"/>
      <c r="LYQ135" s="8"/>
      <c r="LYR135" s="8"/>
      <c r="LYS135" s="503"/>
      <c r="LYT135" s="8"/>
      <c r="LYU135" s="8"/>
      <c r="LYV135" s="547"/>
      <c r="LYW135" s="547"/>
      <c r="LYX135" s="547"/>
      <c r="LYY135" s="547"/>
      <c r="LYZ135" s="548"/>
      <c r="LZA135" s="547"/>
      <c r="LZB135" s="547"/>
      <c r="LZC135" s="547"/>
      <c r="LZD135" s="547"/>
      <c r="LZE135" s="548"/>
      <c r="LZF135" s="547"/>
      <c r="LZG135" s="547"/>
      <c r="LZH135" s="547"/>
      <c r="LZI135" s="547"/>
      <c r="LZJ135" s="548"/>
      <c r="LZK135" s="547"/>
      <c r="LZL135" s="547"/>
      <c r="LZM135" s="547"/>
      <c r="LZN135" s="549"/>
      <c r="LZO135" s="548"/>
      <c r="LZP135" s="549"/>
      <c r="LZQ135" s="549"/>
      <c r="LZR135" s="549"/>
      <c r="LZS135" s="549"/>
      <c r="LZT135" s="548"/>
      <c r="LZU135" s="548"/>
      <c r="LZV135" s="548"/>
      <c r="LZW135" s="548"/>
      <c r="LZX135" s="8"/>
      <c r="LZY135" s="8"/>
      <c r="LZZ135" s="503"/>
      <c r="MAA135" s="8"/>
      <c r="MAB135" s="8"/>
      <c r="MAC135" s="547"/>
      <c r="MAD135" s="547"/>
      <c r="MAE135" s="547"/>
      <c r="MAF135" s="547"/>
      <c r="MAG135" s="548"/>
      <c r="MAH135" s="547"/>
      <c r="MAI135" s="547"/>
      <c r="MAJ135" s="547"/>
      <c r="MAK135" s="547"/>
      <c r="MAL135" s="548"/>
      <c r="MAM135" s="547"/>
      <c r="MAN135" s="547"/>
      <c r="MAO135" s="547"/>
      <c r="MAP135" s="547"/>
      <c r="MAQ135" s="548"/>
      <c r="MAR135" s="547"/>
      <c r="MAS135" s="547"/>
      <c r="MAT135" s="547"/>
      <c r="MAU135" s="549"/>
      <c r="MAV135" s="548"/>
      <c r="MAW135" s="549"/>
      <c r="MAX135" s="549"/>
      <c r="MAY135" s="549"/>
      <c r="MAZ135" s="549"/>
      <c r="MBA135" s="548"/>
      <c r="MBB135" s="548"/>
      <c r="MBC135" s="548"/>
      <c r="MBD135" s="548"/>
      <c r="MBE135" s="8"/>
      <c r="MBF135" s="8"/>
      <c r="MBG135" s="503"/>
      <c r="MBH135" s="8"/>
      <c r="MBI135" s="8"/>
      <c r="MBJ135" s="547"/>
      <c r="MBK135" s="547"/>
      <c r="MBL135" s="547"/>
      <c r="MBM135" s="547"/>
      <c r="MBN135" s="548"/>
      <c r="MBO135" s="547"/>
      <c r="MBP135" s="547"/>
      <c r="MBQ135" s="547"/>
      <c r="MBR135" s="547"/>
      <c r="MBS135" s="548"/>
      <c r="MBT135" s="547"/>
      <c r="MBU135" s="547"/>
      <c r="MBV135" s="547"/>
      <c r="MBW135" s="547"/>
      <c r="MBX135" s="548"/>
      <c r="MBY135" s="547"/>
      <c r="MBZ135" s="547"/>
      <c r="MCA135" s="547"/>
      <c r="MCB135" s="549"/>
      <c r="MCC135" s="548"/>
      <c r="MCD135" s="549"/>
      <c r="MCE135" s="549"/>
      <c r="MCF135" s="549"/>
      <c r="MCG135" s="549"/>
      <c r="MCH135" s="548"/>
      <c r="MCI135" s="548"/>
      <c r="MCJ135" s="548"/>
      <c r="MCK135" s="548"/>
      <c r="MCL135" s="8"/>
      <c r="MCM135" s="8"/>
      <c r="MCN135" s="503"/>
      <c r="MCO135" s="8"/>
      <c r="MCP135" s="8"/>
      <c r="MCQ135" s="547"/>
      <c r="MCR135" s="547"/>
      <c r="MCS135" s="547"/>
      <c r="MCT135" s="547"/>
      <c r="MCU135" s="548"/>
      <c r="MCV135" s="547"/>
      <c r="MCW135" s="547"/>
      <c r="MCX135" s="547"/>
      <c r="MCY135" s="547"/>
      <c r="MCZ135" s="548"/>
      <c r="MDA135" s="547"/>
      <c r="MDB135" s="547"/>
      <c r="MDC135" s="547"/>
      <c r="MDD135" s="547"/>
      <c r="MDE135" s="548"/>
      <c r="MDF135" s="547"/>
      <c r="MDG135" s="547"/>
      <c r="MDH135" s="547"/>
      <c r="MDI135" s="549"/>
      <c r="MDJ135" s="548"/>
      <c r="MDK135" s="549"/>
      <c r="MDL135" s="549"/>
      <c r="MDM135" s="549"/>
      <c r="MDN135" s="549"/>
      <c r="MDO135" s="548"/>
      <c r="MDP135" s="548"/>
      <c r="MDQ135" s="548"/>
      <c r="MDR135" s="548"/>
      <c r="MDS135" s="8"/>
      <c r="MDT135" s="8"/>
      <c r="MDU135" s="503"/>
      <c r="MDV135" s="8"/>
      <c r="MDW135" s="8"/>
      <c r="MDX135" s="547"/>
      <c r="MDY135" s="547"/>
      <c r="MDZ135" s="547"/>
      <c r="MEA135" s="547"/>
      <c r="MEB135" s="548"/>
      <c r="MEC135" s="547"/>
      <c r="MED135" s="547"/>
      <c r="MEE135" s="547"/>
      <c r="MEF135" s="547"/>
      <c r="MEG135" s="548"/>
      <c r="MEH135" s="547"/>
      <c r="MEI135" s="547"/>
      <c r="MEJ135" s="547"/>
      <c r="MEK135" s="547"/>
      <c r="MEL135" s="548"/>
      <c r="MEM135" s="547"/>
      <c r="MEN135" s="547"/>
      <c r="MEO135" s="547"/>
      <c r="MEP135" s="549"/>
      <c r="MEQ135" s="548"/>
      <c r="MER135" s="549"/>
      <c r="MES135" s="549"/>
      <c r="MET135" s="549"/>
      <c r="MEU135" s="549"/>
      <c r="MEV135" s="548"/>
      <c r="MEW135" s="548"/>
      <c r="MEX135" s="548"/>
      <c r="MEY135" s="548"/>
      <c r="MEZ135" s="8"/>
      <c r="MFA135" s="8"/>
      <c r="MFB135" s="503"/>
      <c r="MFC135" s="8"/>
      <c r="MFD135" s="8"/>
      <c r="MFE135" s="547"/>
      <c r="MFF135" s="547"/>
      <c r="MFG135" s="547"/>
      <c r="MFH135" s="547"/>
      <c r="MFI135" s="548"/>
      <c r="MFJ135" s="547"/>
      <c r="MFK135" s="547"/>
      <c r="MFL135" s="547"/>
      <c r="MFM135" s="547"/>
      <c r="MFN135" s="548"/>
      <c r="MFO135" s="547"/>
      <c r="MFP135" s="547"/>
      <c r="MFQ135" s="547"/>
      <c r="MFR135" s="547"/>
      <c r="MFS135" s="548"/>
      <c r="MFT135" s="547"/>
      <c r="MFU135" s="547"/>
      <c r="MFV135" s="547"/>
      <c r="MFW135" s="549"/>
      <c r="MFX135" s="548"/>
      <c r="MFY135" s="549"/>
      <c r="MFZ135" s="549"/>
      <c r="MGA135" s="549"/>
      <c r="MGB135" s="549"/>
      <c r="MGC135" s="548"/>
      <c r="MGD135" s="548"/>
      <c r="MGE135" s="548"/>
      <c r="MGF135" s="548"/>
      <c r="MGG135" s="8"/>
      <c r="MGH135" s="8"/>
      <c r="MGI135" s="503"/>
      <c r="MGJ135" s="8"/>
      <c r="MGK135" s="8"/>
      <c r="MGL135" s="547"/>
      <c r="MGM135" s="547"/>
      <c r="MGN135" s="547"/>
      <c r="MGO135" s="547"/>
      <c r="MGP135" s="548"/>
      <c r="MGQ135" s="547"/>
      <c r="MGR135" s="547"/>
      <c r="MGS135" s="547"/>
      <c r="MGT135" s="547"/>
      <c r="MGU135" s="548"/>
      <c r="MGV135" s="547"/>
      <c r="MGW135" s="547"/>
      <c r="MGX135" s="547"/>
      <c r="MGY135" s="547"/>
      <c r="MGZ135" s="548"/>
      <c r="MHA135" s="547"/>
      <c r="MHB135" s="547"/>
      <c r="MHC135" s="547"/>
      <c r="MHD135" s="549"/>
      <c r="MHE135" s="548"/>
      <c r="MHF135" s="549"/>
      <c r="MHG135" s="549"/>
      <c r="MHH135" s="549"/>
      <c r="MHI135" s="549"/>
      <c r="MHJ135" s="548"/>
      <c r="MHK135" s="548"/>
      <c r="MHL135" s="548"/>
      <c r="MHM135" s="548"/>
      <c r="MHN135" s="8"/>
      <c r="MHO135" s="8"/>
      <c r="MHP135" s="503"/>
      <c r="MHQ135" s="8"/>
      <c r="MHR135" s="8"/>
      <c r="MHS135" s="547"/>
      <c r="MHT135" s="547"/>
      <c r="MHU135" s="547"/>
      <c r="MHV135" s="547"/>
      <c r="MHW135" s="548"/>
      <c r="MHX135" s="547"/>
      <c r="MHY135" s="547"/>
      <c r="MHZ135" s="547"/>
      <c r="MIA135" s="547"/>
      <c r="MIB135" s="548"/>
      <c r="MIC135" s="547"/>
      <c r="MID135" s="547"/>
      <c r="MIE135" s="547"/>
      <c r="MIF135" s="547"/>
      <c r="MIG135" s="548"/>
      <c r="MIH135" s="547"/>
      <c r="MII135" s="547"/>
      <c r="MIJ135" s="547"/>
      <c r="MIK135" s="549"/>
      <c r="MIL135" s="548"/>
      <c r="MIM135" s="549"/>
      <c r="MIN135" s="549"/>
      <c r="MIO135" s="549"/>
      <c r="MIP135" s="549"/>
      <c r="MIQ135" s="548"/>
      <c r="MIR135" s="548"/>
      <c r="MIS135" s="548"/>
      <c r="MIT135" s="548"/>
      <c r="MIU135" s="8"/>
      <c r="MIV135" s="8"/>
      <c r="MIW135" s="503"/>
      <c r="MIX135" s="8"/>
      <c r="MIY135" s="8"/>
      <c r="MIZ135" s="547"/>
      <c r="MJA135" s="547"/>
      <c r="MJB135" s="547"/>
      <c r="MJC135" s="547"/>
      <c r="MJD135" s="548"/>
      <c r="MJE135" s="547"/>
      <c r="MJF135" s="547"/>
      <c r="MJG135" s="547"/>
      <c r="MJH135" s="547"/>
      <c r="MJI135" s="548"/>
      <c r="MJJ135" s="547"/>
      <c r="MJK135" s="547"/>
      <c r="MJL135" s="547"/>
      <c r="MJM135" s="547"/>
      <c r="MJN135" s="548"/>
      <c r="MJO135" s="547"/>
      <c r="MJP135" s="547"/>
      <c r="MJQ135" s="547"/>
      <c r="MJR135" s="549"/>
      <c r="MJS135" s="548"/>
      <c r="MJT135" s="549"/>
      <c r="MJU135" s="549"/>
      <c r="MJV135" s="549"/>
      <c r="MJW135" s="549"/>
      <c r="MJX135" s="548"/>
      <c r="MJY135" s="548"/>
      <c r="MJZ135" s="548"/>
      <c r="MKA135" s="548"/>
      <c r="MKB135" s="8"/>
      <c r="MKC135" s="8"/>
      <c r="MKD135" s="503"/>
      <c r="MKE135" s="8"/>
      <c r="MKF135" s="8"/>
      <c r="MKG135" s="547"/>
      <c r="MKH135" s="547"/>
      <c r="MKI135" s="547"/>
      <c r="MKJ135" s="547"/>
      <c r="MKK135" s="548"/>
      <c r="MKL135" s="547"/>
      <c r="MKM135" s="547"/>
      <c r="MKN135" s="547"/>
      <c r="MKO135" s="547"/>
      <c r="MKP135" s="548"/>
      <c r="MKQ135" s="547"/>
      <c r="MKR135" s="547"/>
      <c r="MKS135" s="547"/>
      <c r="MKT135" s="547"/>
      <c r="MKU135" s="548"/>
      <c r="MKV135" s="547"/>
      <c r="MKW135" s="547"/>
      <c r="MKX135" s="547"/>
      <c r="MKY135" s="549"/>
      <c r="MKZ135" s="548"/>
      <c r="MLA135" s="549"/>
      <c r="MLB135" s="549"/>
      <c r="MLC135" s="549"/>
      <c r="MLD135" s="549"/>
      <c r="MLE135" s="548"/>
      <c r="MLF135" s="548"/>
      <c r="MLG135" s="548"/>
      <c r="MLH135" s="548"/>
      <c r="MLI135" s="8"/>
      <c r="MLJ135" s="8"/>
      <c r="MLK135" s="503"/>
      <c r="MLL135" s="8"/>
      <c r="MLM135" s="8"/>
      <c r="MLN135" s="547"/>
      <c r="MLO135" s="547"/>
      <c r="MLP135" s="547"/>
      <c r="MLQ135" s="547"/>
      <c r="MLR135" s="548"/>
      <c r="MLS135" s="547"/>
      <c r="MLT135" s="547"/>
      <c r="MLU135" s="547"/>
      <c r="MLV135" s="547"/>
      <c r="MLW135" s="548"/>
      <c r="MLX135" s="547"/>
      <c r="MLY135" s="547"/>
      <c r="MLZ135" s="547"/>
      <c r="MMA135" s="547"/>
      <c r="MMB135" s="548"/>
      <c r="MMC135" s="547"/>
      <c r="MMD135" s="547"/>
      <c r="MME135" s="547"/>
      <c r="MMF135" s="549"/>
      <c r="MMG135" s="548"/>
      <c r="MMH135" s="549"/>
      <c r="MMI135" s="549"/>
      <c r="MMJ135" s="549"/>
      <c r="MMK135" s="549"/>
      <c r="MML135" s="548"/>
      <c r="MMM135" s="548"/>
      <c r="MMN135" s="548"/>
      <c r="MMO135" s="548"/>
      <c r="MMP135" s="8"/>
      <c r="MMQ135" s="8"/>
      <c r="MMR135" s="503"/>
      <c r="MMS135" s="8"/>
      <c r="MMT135" s="8"/>
      <c r="MMU135" s="547"/>
      <c r="MMV135" s="547"/>
      <c r="MMW135" s="547"/>
      <c r="MMX135" s="547"/>
      <c r="MMY135" s="548"/>
      <c r="MMZ135" s="547"/>
      <c r="MNA135" s="547"/>
      <c r="MNB135" s="547"/>
      <c r="MNC135" s="547"/>
      <c r="MND135" s="548"/>
      <c r="MNE135" s="547"/>
      <c r="MNF135" s="547"/>
      <c r="MNG135" s="547"/>
      <c r="MNH135" s="547"/>
      <c r="MNI135" s="548"/>
      <c r="MNJ135" s="547"/>
      <c r="MNK135" s="547"/>
      <c r="MNL135" s="547"/>
      <c r="MNM135" s="549"/>
      <c r="MNN135" s="548"/>
      <c r="MNO135" s="549"/>
      <c r="MNP135" s="549"/>
      <c r="MNQ135" s="549"/>
      <c r="MNR135" s="549"/>
      <c r="MNS135" s="548"/>
      <c r="MNT135" s="548"/>
      <c r="MNU135" s="548"/>
      <c r="MNV135" s="548"/>
      <c r="MNW135" s="8"/>
      <c r="MNX135" s="8"/>
      <c r="MNY135" s="503"/>
      <c r="MNZ135" s="8"/>
      <c r="MOA135" s="8"/>
      <c r="MOB135" s="547"/>
      <c r="MOC135" s="547"/>
      <c r="MOD135" s="547"/>
      <c r="MOE135" s="547"/>
      <c r="MOF135" s="548"/>
      <c r="MOG135" s="547"/>
      <c r="MOH135" s="547"/>
      <c r="MOI135" s="547"/>
      <c r="MOJ135" s="547"/>
      <c r="MOK135" s="548"/>
      <c r="MOL135" s="547"/>
      <c r="MOM135" s="547"/>
      <c r="MON135" s="547"/>
      <c r="MOO135" s="547"/>
      <c r="MOP135" s="548"/>
      <c r="MOQ135" s="547"/>
      <c r="MOR135" s="547"/>
      <c r="MOS135" s="547"/>
      <c r="MOT135" s="549"/>
      <c r="MOU135" s="548"/>
      <c r="MOV135" s="549"/>
      <c r="MOW135" s="549"/>
      <c r="MOX135" s="549"/>
      <c r="MOY135" s="549"/>
      <c r="MOZ135" s="548"/>
      <c r="MPA135" s="548"/>
      <c r="MPB135" s="548"/>
      <c r="MPC135" s="548"/>
      <c r="MPD135" s="8"/>
      <c r="MPE135" s="8"/>
      <c r="MPF135" s="503"/>
      <c r="MPG135" s="8"/>
      <c r="MPH135" s="8"/>
      <c r="MPI135" s="547"/>
      <c r="MPJ135" s="547"/>
      <c r="MPK135" s="547"/>
      <c r="MPL135" s="547"/>
      <c r="MPM135" s="548"/>
      <c r="MPN135" s="547"/>
      <c r="MPO135" s="547"/>
      <c r="MPP135" s="547"/>
      <c r="MPQ135" s="547"/>
      <c r="MPR135" s="548"/>
      <c r="MPS135" s="547"/>
      <c r="MPT135" s="547"/>
      <c r="MPU135" s="547"/>
      <c r="MPV135" s="547"/>
      <c r="MPW135" s="548"/>
      <c r="MPX135" s="547"/>
      <c r="MPY135" s="547"/>
      <c r="MPZ135" s="547"/>
      <c r="MQA135" s="549"/>
      <c r="MQB135" s="548"/>
      <c r="MQC135" s="549"/>
      <c r="MQD135" s="549"/>
      <c r="MQE135" s="549"/>
      <c r="MQF135" s="549"/>
      <c r="MQG135" s="548"/>
      <c r="MQH135" s="548"/>
      <c r="MQI135" s="548"/>
      <c r="MQJ135" s="548"/>
      <c r="MQK135" s="8"/>
      <c r="MQL135" s="8"/>
      <c r="MQM135" s="503"/>
      <c r="MQN135" s="8"/>
      <c r="MQO135" s="8"/>
      <c r="MQP135" s="547"/>
      <c r="MQQ135" s="547"/>
      <c r="MQR135" s="547"/>
      <c r="MQS135" s="547"/>
      <c r="MQT135" s="548"/>
      <c r="MQU135" s="547"/>
      <c r="MQV135" s="547"/>
      <c r="MQW135" s="547"/>
      <c r="MQX135" s="547"/>
      <c r="MQY135" s="548"/>
      <c r="MQZ135" s="547"/>
      <c r="MRA135" s="547"/>
      <c r="MRB135" s="547"/>
      <c r="MRC135" s="547"/>
      <c r="MRD135" s="548"/>
      <c r="MRE135" s="547"/>
      <c r="MRF135" s="547"/>
      <c r="MRG135" s="547"/>
      <c r="MRH135" s="549"/>
      <c r="MRI135" s="548"/>
      <c r="MRJ135" s="549"/>
      <c r="MRK135" s="549"/>
      <c r="MRL135" s="549"/>
      <c r="MRM135" s="549"/>
      <c r="MRN135" s="548"/>
      <c r="MRO135" s="548"/>
      <c r="MRP135" s="548"/>
      <c r="MRQ135" s="548"/>
      <c r="MRR135" s="8"/>
      <c r="MRS135" s="8"/>
      <c r="MRT135" s="503"/>
      <c r="MRU135" s="8"/>
      <c r="MRV135" s="8"/>
      <c r="MRW135" s="547"/>
      <c r="MRX135" s="547"/>
      <c r="MRY135" s="547"/>
      <c r="MRZ135" s="547"/>
      <c r="MSA135" s="548"/>
      <c r="MSB135" s="547"/>
      <c r="MSC135" s="547"/>
      <c r="MSD135" s="547"/>
      <c r="MSE135" s="547"/>
      <c r="MSF135" s="548"/>
      <c r="MSG135" s="547"/>
      <c r="MSH135" s="547"/>
      <c r="MSI135" s="547"/>
      <c r="MSJ135" s="547"/>
      <c r="MSK135" s="548"/>
      <c r="MSL135" s="547"/>
      <c r="MSM135" s="547"/>
      <c r="MSN135" s="547"/>
      <c r="MSO135" s="549"/>
      <c r="MSP135" s="548"/>
      <c r="MSQ135" s="549"/>
      <c r="MSR135" s="549"/>
      <c r="MSS135" s="549"/>
      <c r="MST135" s="549"/>
      <c r="MSU135" s="548"/>
      <c r="MSV135" s="548"/>
      <c r="MSW135" s="548"/>
      <c r="MSX135" s="548"/>
      <c r="MSY135" s="8"/>
      <c r="MSZ135" s="8"/>
      <c r="MTA135" s="503"/>
      <c r="MTB135" s="8"/>
      <c r="MTC135" s="8"/>
      <c r="MTD135" s="547"/>
      <c r="MTE135" s="547"/>
      <c r="MTF135" s="547"/>
      <c r="MTG135" s="547"/>
      <c r="MTH135" s="548"/>
      <c r="MTI135" s="547"/>
      <c r="MTJ135" s="547"/>
      <c r="MTK135" s="547"/>
      <c r="MTL135" s="547"/>
      <c r="MTM135" s="548"/>
      <c r="MTN135" s="547"/>
      <c r="MTO135" s="547"/>
      <c r="MTP135" s="547"/>
      <c r="MTQ135" s="547"/>
      <c r="MTR135" s="548"/>
      <c r="MTS135" s="547"/>
      <c r="MTT135" s="547"/>
      <c r="MTU135" s="547"/>
      <c r="MTV135" s="549"/>
      <c r="MTW135" s="548"/>
      <c r="MTX135" s="549"/>
      <c r="MTY135" s="549"/>
      <c r="MTZ135" s="549"/>
      <c r="MUA135" s="549"/>
      <c r="MUB135" s="548"/>
      <c r="MUC135" s="548"/>
      <c r="MUD135" s="548"/>
      <c r="MUE135" s="548"/>
      <c r="MUF135" s="8"/>
      <c r="MUG135" s="8"/>
      <c r="MUH135" s="503"/>
      <c r="MUI135" s="8"/>
      <c r="MUJ135" s="8"/>
      <c r="MUK135" s="547"/>
      <c r="MUL135" s="547"/>
      <c r="MUM135" s="547"/>
      <c r="MUN135" s="547"/>
      <c r="MUO135" s="548"/>
      <c r="MUP135" s="547"/>
      <c r="MUQ135" s="547"/>
      <c r="MUR135" s="547"/>
      <c r="MUS135" s="547"/>
      <c r="MUT135" s="548"/>
      <c r="MUU135" s="547"/>
      <c r="MUV135" s="547"/>
      <c r="MUW135" s="547"/>
      <c r="MUX135" s="547"/>
      <c r="MUY135" s="548"/>
      <c r="MUZ135" s="547"/>
      <c r="MVA135" s="547"/>
      <c r="MVB135" s="547"/>
      <c r="MVC135" s="549"/>
      <c r="MVD135" s="548"/>
      <c r="MVE135" s="549"/>
      <c r="MVF135" s="549"/>
      <c r="MVG135" s="549"/>
      <c r="MVH135" s="549"/>
      <c r="MVI135" s="548"/>
      <c r="MVJ135" s="548"/>
      <c r="MVK135" s="548"/>
      <c r="MVL135" s="548"/>
      <c r="MVM135" s="8"/>
      <c r="MVN135" s="8"/>
      <c r="MVO135" s="503"/>
      <c r="MVP135" s="8"/>
      <c r="MVQ135" s="8"/>
      <c r="MVR135" s="547"/>
      <c r="MVS135" s="547"/>
      <c r="MVT135" s="547"/>
      <c r="MVU135" s="547"/>
      <c r="MVV135" s="548"/>
      <c r="MVW135" s="547"/>
      <c r="MVX135" s="547"/>
      <c r="MVY135" s="547"/>
      <c r="MVZ135" s="547"/>
      <c r="MWA135" s="548"/>
      <c r="MWB135" s="547"/>
      <c r="MWC135" s="547"/>
      <c r="MWD135" s="547"/>
      <c r="MWE135" s="547"/>
      <c r="MWF135" s="548"/>
      <c r="MWG135" s="547"/>
      <c r="MWH135" s="547"/>
      <c r="MWI135" s="547"/>
      <c r="MWJ135" s="549"/>
      <c r="MWK135" s="548"/>
      <c r="MWL135" s="549"/>
      <c r="MWM135" s="549"/>
      <c r="MWN135" s="549"/>
      <c r="MWO135" s="549"/>
      <c r="MWP135" s="548"/>
      <c r="MWQ135" s="548"/>
      <c r="MWR135" s="548"/>
      <c r="MWS135" s="548"/>
      <c r="MWT135" s="8"/>
      <c r="MWU135" s="8"/>
      <c r="MWV135" s="503"/>
      <c r="MWW135" s="8"/>
      <c r="MWX135" s="8"/>
      <c r="MWY135" s="547"/>
      <c r="MWZ135" s="547"/>
      <c r="MXA135" s="547"/>
      <c r="MXB135" s="547"/>
      <c r="MXC135" s="548"/>
      <c r="MXD135" s="547"/>
      <c r="MXE135" s="547"/>
      <c r="MXF135" s="547"/>
      <c r="MXG135" s="547"/>
      <c r="MXH135" s="548"/>
      <c r="MXI135" s="547"/>
      <c r="MXJ135" s="547"/>
      <c r="MXK135" s="547"/>
      <c r="MXL135" s="547"/>
      <c r="MXM135" s="548"/>
      <c r="MXN135" s="547"/>
      <c r="MXO135" s="547"/>
      <c r="MXP135" s="547"/>
      <c r="MXQ135" s="549"/>
      <c r="MXR135" s="548"/>
      <c r="MXS135" s="549"/>
      <c r="MXT135" s="549"/>
      <c r="MXU135" s="549"/>
      <c r="MXV135" s="549"/>
      <c r="MXW135" s="548"/>
      <c r="MXX135" s="548"/>
      <c r="MXY135" s="548"/>
      <c r="MXZ135" s="548"/>
      <c r="MYA135" s="8"/>
      <c r="MYB135" s="8"/>
      <c r="MYC135" s="503"/>
      <c r="MYD135" s="8"/>
      <c r="MYE135" s="8"/>
      <c r="MYF135" s="547"/>
      <c r="MYG135" s="547"/>
      <c r="MYH135" s="547"/>
      <c r="MYI135" s="547"/>
      <c r="MYJ135" s="548"/>
      <c r="MYK135" s="547"/>
      <c r="MYL135" s="547"/>
      <c r="MYM135" s="547"/>
      <c r="MYN135" s="547"/>
      <c r="MYO135" s="548"/>
      <c r="MYP135" s="547"/>
      <c r="MYQ135" s="547"/>
      <c r="MYR135" s="547"/>
      <c r="MYS135" s="547"/>
      <c r="MYT135" s="548"/>
      <c r="MYU135" s="547"/>
      <c r="MYV135" s="547"/>
      <c r="MYW135" s="547"/>
      <c r="MYX135" s="549"/>
      <c r="MYY135" s="548"/>
      <c r="MYZ135" s="549"/>
      <c r="MZA135" s="549"/>
      <c r="MZB135" s="549"/>
      <c r="MZC135" s="549"/>
      <c r="MZD135" s="548"/>
      <c r="MZE135" s="548"/>
      <c r="MZF135" s="548"/>
      <c r="MZG135" s="548"/>
      <c r="MZH135" s="8"/>
      <c r="MZI135" s="8"/>
      <c r="MZJ135" s="503"/>
      <c r="MZK135" s="8"/>
      <c r="MZL135" s="8"/>
      <c r="MZM135" s="547"/>
      <c r="MZN135" s="547"/>
      <c r="MZO135" s="547"/>
      <c r="MZP135" s="547"/>
      <c r="MZQ135" s="548"/>
      <c r="MZR135" s="547"/>
      <c r="MZS135" s="547"/>
      <c r="MZT135" s="547"/>
      <c r="MZU135" s="547"/>
      <c r="MZV135" s="548"/>
      <c r="MZW135" s="547"/>
      <c r="MZX135" s="547"/>
      <c r="MZY135" s="547"/>
      <c r="MZZ135" s="547"/>
      <c r="NAA135" s="548"/>
      <c r="NAB135" s="547"/>
      <c r="NAC135" s="547"/>
      <c r="NAD135" s="547"/>
      <c r="NAE135" s="549"/>
      <c r="NAF135" s="548"/>
      <c r="NAG135" s="549"/>
      <c r="NAH135" s="549"/>
      <c r="NAI135" s="549"/>
      <c r="NAJ135" s="549"/>
      <c r="NAK135" s="548"/>
      <c r="NAL135" s="548"/>
      <c r="NAM135" s="548"/>
      <c r="NAN135" s="548"/>
      <c r="NAO135" s="8"/>
      <c r="NAP135" s="8"/>
      <c r="NAQ135" s="503"/>
      <c r="NAR135" s="8"/>
      <c r="NAS135" s="8"/>
      <c r="NAT135" s="547"/>
      <c r="NAU135" s="547"/>
      <c r="NAV135" s="547"/>
      <c r="NAW135" s="547"/>
      <c r="NAX135" s="548"/>
      <c r="NAY135" s="547"/>
      <c r="NAZ135" s="547"/>
      <c r="NBA135" s="547"/>
      <c r="NBB135" s="547"/>
      <c r="NBC135" s="548"/>
      <c r="NBD135" s="547"/>
      <c r="NBE135" s="547"/>
      <c r="NBF135" s="547"/>
      <c r="NBG135" s="547"/>
      <c r="NBH135" s="548"/>
      <c r="NBI135" s="547"/>
      <c r="NBJ135" s="547"/>
      <c r="NBK135" s="547"/>
      <c r="NBL135" s="549"/>
      <c r="NBM135" s="548"/>
      <c r="NBN135" s="549"/>
      <c r="NBO135" s="549"/>
      <c r="NBP135" s="549"/>
      <c r="NBQ135" s="549"/>
      <c r="NBR135" s="548"/>
      <c r="NBS135" s="548"/>
      <c r="NBT135" s="548"/>
      <c r="NBU135" s="548"/>
      <c r="NBV135" s="8"/>
      <c r="NBW135" s="8"/>
      <c r="NBX135" s="503"/>
      <c r="NBY135" s="8"/>
      <c r="NBZ135" s="8"/>
      <c r="NCA135" s="547"/>
      <c r="NCB135" s="547"/>
      <c r="NCC135" s="547"/>
      <c r="NCD135" s="547"/>
      <c r="NCE135" s="548"/>
      <c r="NCF135" s="547"/>
      <c r="NCG135" s="547"/>
      <c r="NCH135" s="547"/>
      <c r="NCI135" s="547"/>
      <c r="NCJ135" s="548"/>
      <c r="NCK135" s="547"/>
      <c r="NCL135" s="547"/>
      <c r="NCM135" s="547"/>
      <c r="NCN135" s="547"/>
      <c r="NCO135" s="548"/>
      <c r="NCP135" s="547"/>
      <c r="NCQ135" s="547"/>
      <c r="NCR135" s="547"/>
      <c r="NCS135" s="549"/>
      <c r="NCT135" s="548"/>
      <c r="NCU135" s="549"/>
      <c r="NCV135" s="549"/>
      <c r="NCW135" s="549"/>
      <c r="NCX135" s="549"/>
      <c r="NCY135" s="548"/>
      <c r="NCZ135" s="548"/>
      <c r="NDA135" s="548"/>
      <c r="NDB135" s="548"/>
      <c r="NDC135" s="8"/>
      <c r="NDD135" s="8"/>
      <c r="NDE135" s="503"/>
      <c r="NDF135" s="8"/>
      <c r="NDG135" s="8"/>
      <c r="NDH135" s="547"/>
      <c r="NDI135" s="547"/>
      <c r="NDJ135" s="547"/>
      <c r="NDK135" s="547"/>
      <c r="NDL135" s="548"/>
      <c r="NDM135" s="547"/>
      <c r="NDN135" s="547"/>
      <c r="NDO135" s="547"/>
      <c r="NDP135" s="547"/>
      <c r="NDQ135" s="548"/>
      <c r="NDR135" s="547"/>
      <c r="NDS135" s="547"/>
      <c r="NDT135" s="547"/>
      <c r="NDU135" s="547"/>
      <c r="NDV135" s="548"/>
      <c r="NDW135" s="547"/>
      <c r="NDX135" s="547"/>
      <c r="NDY135" s="547"/>
      <c r="NDZ135" s="549"/>
      <c r="NEA135" s="548"/>
      <c r="NEB135" s="549"/>
      <c r="NEC135" s="549"/>
      <c r="NED135" s="549"/>
      <c r="NEE135" s="549"/>
      <c r="NEF135" s="548"/>
      <c r="NEG135" s="548"/>
      <c r="NEH135" s="548"/>
      <c r="NEI135" s="548"/>
      <c r="NEJ135" s="8"/>
      <c r="NEK135" s="8"/>
      <c r="NEL135" s="503"/>
      <c r="NEM135" s="8"/>
      <c r="NEN135" s="8"/>
      <c r="NEO135" s="547"/>
      <c r="NEP135" s="547"/>
      <c r="NEQ135" s="547"/>
      <c r="NER135" s="547"/>
      <c r="NES135" s="548"/>
      <c r="NET135" s="547"/>
      <c r="NEU135" s="547"/>
      <c r="NEV135" s="547"/>
      <c r="NEW135" s="547"/>
      <c r="NEX135" s="548"/>
      <c r="NEY135" s="547"/>
      <c r="NEZ135" s="547"/>
      <c r="NFA135" s="547"/>
      <c r="NFB135" s="547"/>
      <c r="NFC135" s="548"/>
      <c r="NFD135" s="547"/>
      <c r="NFE135" s="547"/>
      <c r="NFF135" s="547"/>
      <c r="NFG135" s="549"/>
      <c r="NFH135" s="548"/>
      <c r="NFI135" s="549"/>
      <c r="NFJ135" s="549"/>
      <c r="NFK135" s="549"/>
      <c r="NFL135" s="549"/>
      <c r="NFM135" s="548"/>
      <c r="NFN135" s="548"/>
      <c r="NFO135" s="548"/>
      <c r="NFP135" s="548"/>
      <c r="NFQ135" s="8"/>
      <c r="NFR135" s="8"/>
      <c r="NFS135" s="503"/>
      <c r="NFT135" s="8"/>
      <c r="NFU135" s="8"/>
      <c r="NFV135" s="547"/>
      <c r="NFW135" s="547"/>
      <c r="NFX135" s="547"/>
      <c r="NFY135" s="547"/>
      <c r="NFZ135" s="548"/>
      <c r="NGA135" s="547"/>
      <c r="NGB135" s="547"/>
      <c r="NGC135" s="547"/>
      <c r="NGD135" s="547"/>
      <c r="NGE135" s="548"/>
      <c r="NGF135" s="547"/>
      <c r="NGG135" s="547"/>
      <c r="NGH135" s="547"/>
      <c r="NGI135" s="547"/>
      <c r="NGJ135" s="548"/>
      <c r="NGK135" s="547"/>
      <c r="NGL135" s="547"/>
      <c r="NGM135" s="547"/>
      <c r="NGN135" s="549"/>
      <c r="NGO135" s="548"/>
      <c r="NGP135" s="549"/>
      <c r="NGQ135" s="549"/>
      <c r="NGR135" s="549"/>
      <c r="NGS135" s="549"/>
      <c r="NGT135" s="548"/>
      <c r="NGU135" s="548"/>
      <c r="NGV135" s="548"/>
      <c r="NGW135" s="548"/>
      <c r="NGX135" s="8"/>
      <c r="NGY135" s="8"/>
      <c r="NGZ135" s="503"/>
      <c r="NHA135" s="8"/>
      <c r="NHB135" s="8"/>
      <c r="NHC135" s="547"/>
      <c r="NHD135" s="547"/>
      <c r="NHE135" s="547"/>
      <c r="NHF135" s="547"/>
      <c r="NHG135" s="548"/>
      <c r="NHH135" s="547"/>
      <c r="NHI135" s="547"/>
      <c r="NHJ135" s="547"/>
      <c r="NHK135" s="547"/>
      <c r="NHL135" s="548"/>
      <c r="NHM135" s="547"/>
      <c r="NHN135" s="547"/>
      <c r="NHO135" s="547"/>
      <c r="NHP135" s="547"/>
      <c r="NHQ135" s="548"/>
      <c r="NHR135" s="547"/>
      <c r="NHS135" s="547"/>
      <c r="NHT135" s="547"/>
      <c r="NHU135" s="549"/>
      <c r="NHV135" s="548"/>
      <c r="NHW135" s="549"/>
      <c r="NHX135" s="549"/>
      <c r="NHY135" s="549"/>
      <c r="NHZ135" s="549"/>
      <c r="NIA135" s="548"/>
      <c r="NIB135" s="548"/>
      <c r="NIC135" s="548"/>
      <c r="NID135" s="548"/>
      <c r="NIE135" s="8"/>
      <c r="NIF135" s="8"/>
      <c r="NIG135" s="503"/>
      <c r="NIH135" s="8"/>
      <c r="NII135" s="8"/>
      <c r="NIJ135" s="547"/>
      <c r="NIK135" s="547"/>
      <c r="NIL135" s="547"/>
      <c r="NIM135" s="547"/>
      <c r="NIN135" s="548"/>
      <c r="NIO135" s="547"/>
      <c r="NIP135" s="547"/>
      <c r="NIQ135" s="547"/>
      <c r="NIR135" s="547"/>
      <c r="NIS135" s="548"/>
      <c r="NIT135" s="547"/>
      <c r="NIU135" s="547"/>
      <c r="NIV135" s="547"/>
      <c r="NIW135" s="547"/>
      <c r="NIX135" s="548"/>
      <c r="NIY135" s="547"/>
      <c r="NIZ135" s="547"/>
      <c r="NJA135" s="547"/>
      <c r="NJB135" s="549"/>
      <c r="NJC135" s="548"/>
      <c r="NJD135" s="549"/>
      <c r="NJE135" s="549"/>
      <c r="NJF135" s="549"/>
      <c r="NJG135" s="549"/>
      <c r="NJH135" s="548"/>
      <c r="NJI135" s="548"/>
      <c r="NJJ135" s="548"/>
      <c r="NJK135" s="548"/>
      <c r="NJL135" s="8"/>
      <c r="NJM135" s="8"/>
      <c r="NJN135" s="503"/>
      <c r="NJO135" s="8"/>
      <c r="NJP135" s="8"/>
      <c r="NJQ135" s="547"/>
      <c r="NJR135" s="547"/>
      <c r="NJS135" s="547"/>
      <c r="NJT135" s="547"/>
      <c r="NJU135" s="548"/>
      <c r="NJV135" s="547"/>
      <c r="NJW135" s="547"/>
      <c r="NJX135" s="547"/>
      <c r="NJY135" s="547"/>
      <c r="NJZ135" s="548"/>
      <c r="NKA135" s="547"/>
      <c r="NKB135" s="547"/>
      <c r="NKC135" s="547"/>
      <c r="NKD135" s="547"/>
      <c r="NKE135" s="548"/>
      <c r="NKF135" s="547"/>
      <c r="NKG135" s="547"/>
      <c r="NKH135" s="547"/>
      <c r="NKI135" s="549"/>
      <c r="NKJ135" s="548"/>
      <c r="NKK135" s="549"/>
      <c r="NKL135" s="549"/>
      <c r="NKM135" s="549"/>
      <c r="NKN135" s="549"/>
      <c r="NKO135" s="548"/>
      <c r="NKP135" s="548"/>
      <c r="NKQ135" s="548"/>
      <c r="NKR135" s="548"/>
      <c r="NKS135" s="8"/>
      <c r="NKT135" s="8"/>
      <c r="NKU135" s="503"/>
      <c r="NKV135" s="8"/>
      <c r="NKW135" s="8"/>
      <c r="NKX135" s="547"/>
      <c r="NKY135" s="547"/>
      <c r="NKZ135" s="547"/>
      <c r="NLA135" s="547"/>
      <c r="NLB135" s="548"/>
      <c r="NLC135" s="547"/>
      <c r="NLD135" s="547"/>
      <c r="NLE135" s="547"/>
      <c r="NLF135" s="547"/>
      <c r="NLG135" s="548"/>
      <c r="NLH135" s="547"/>
      <c r="NLI135" s="547"/>
      <c r="NLJ135" s="547"/>
      <c r="NLK135" s="547"/>
      <c r="NLL135" s="548"/>
      <c r="NLM135" s="547"/>
      <c r="NLN135" s="547"/>
      <c r="NLO135" s="547"/>
      <c r="NLP135" s="549"/>
      <c r="NLQ135" s="548"/>
      <c r="NLR135" s="549"/>
      <c r="NLS135" s="549"/>
      <c r="NLT135" s="549"/>
      <c r="NLU135" s="549"/>
      <c r="NLV135" s="548"/>
      <c r="NLW135" s="548"/>
      <c r="NLX135" s="548"/>
      <c r="NLY135" s="548"/>
      <c r="NLZ135" s="8"/>
      <c r="NMA135" s="8"/>
      <c r="NMB135" s="503"/>
      <c r="NMC135" s="8"/>
      <c r="NMD135" s="8"/>
      <c r="NME135" s="547"/>
      <c r="NMF135" s="547"/>
      <c r="NMG135" s="547"/>
      <c r="NMH135" s="547"/>
      <c r="NMI135" s="548"/>
      <c r="NMJ135" s="547"/>
      <c r="NMK135" s="547"/>
      <c r="NML135" s="547"/>
      <c r="NMM135" s="547"/>
      <c r="NMN135" s="548"/>
      <c r="NMO135" s="547"/>
      <c r="NMP135" s="547"/>
      <c r="NMQ135" s="547"/>
      <c r="NMR135" s="547"/>
      <c r="NMS135" s="548"/>
      <c r="NMT135" s="547"/>
      <c r="NMU135" s="547"/>
      <c r="NMV135" s="547"/>
      <c r="NMW135" s="549"/>
      <c r="NMX135" s="548"/>
      <c r="NMY135" s="549"/>
      <c r="NMZ135" s="549"/>
      <c r="NNA135" s="549"/>
      <c r="NNB135" s="549"/>
      <c r="NNC135" s="548"/>
      <c r="NND135" s="548"/>
      <c r="NNE135" s="548"/>
      <c r="NNF135" s="548"/>
      <c r="NNG135" s="8"/>
      <c r="NNH135" s="8"/>
      <c r="NNI135" s="503"/>
      <c r="NNJ135" s="8"/>
      <c r="NNK135" s="8"/>
      <c r="NNL135" s="547"/>
      <c r="NNM135" s="547"/>
      <c r="NNN135" s="547"/>
      <c r="NNO135" s="547"/>
      <c r="NNP135" s="548"/>
      <c r="NNQ135" s="547"/>
      <c r="NNR135" s="547"/>
      <c r="NNS135" s="547"/>
      <c r="NNT135" s="547"/>
      <c r="NNU135" s="548"/>
      <c r="NNV135" s="547"/>
      <c r="NNW135" s="547"/>
      <c r="NNX135" s="547"/>
      <c r="NNY135" s="547"/>
      <c r="NNZ135" s="548"/>
      <c r="NOA135" s="547"/>
      <c r="NOB135" s="547"/>
      <c r="NOC135" s="547"/>
      <c r="NOD135" s="549"/>
      <c r="NOE135" s="548"/>
      <c r="NOF135" s="549"/>
      <c r="NOG135" s="549"/>
      <c r="NOH135" s="549"/>
      <c r="NOI135" s="549"/>
      <c r="NOJ135" s="548"/>
      <c r="NOK135" s="548"/>
      <c r="NOL135" s="548"/>
      <c r="NOM135" s="548"/>
      <c r="NON135" s="8"/>
      <c r="NOO135" s="8"/>
      <c r="NOP135" s="503"/>
      <c r="NOQ135" s="8"/>
      <c r="NOR135" s="8"/>
      <c r="NOS135" s="547"/>
      <c r="NOT135" s="547"/>
      <c r="NOU135" s="547"/>
      <c r="NOV135" s="547"/>
      <c r="NOW135" s="548"/>
      <c r="NOX135" s="547"/>
      <c r="NOY135" s="547"/>
      <c r="NOZ135" s="547"/>
      <c r="NPA135" s="547"/>
      <c r="NPB135" s="548"/>
      <c r="NPC135" s="547"/>
      <c r="NPD135" s="547"/>
      <c r="NPE135" s="547"/>
      <c r="NPF135" s="547"/>
      <c r="NPG135" s="548"/>
      <c r="NPH135" s="547"/>
      <c r="NPI135" s="547"/>
      <c r="NPJ135" s="547"/>
      <c r="NPK135" s="549"/>
      <c r="NPL135" s="548"/>
      <c r="NPM135" s="549"/>
      <c r="NPN135" s="549"/>
      <c r="NPO135" s="549"/>
      <c r="NPP135" s="549"/>
      <c r="NPQ135" s="548"/>
      <c r="NPR135" s="548"/>
      <c r="NPS135" s="548"/>
      <c r="NPT135" s="548"/>
      <c r="NPU135" s="8"/>
      <c r="NPV135" s="8"/>
      <c r="NPW135" s="503"/>
      <c r="NPX135" s="8"/>
      <c r="NPY135" s="8"/>
      <c r="NPZ135" s="547"/>
      <c r="NQA135" s="547"/>
      <c r="NQB135" s="547"/>
      <c r="NQC135" s="547"/>
      <c r="NQD135" s="548"/>
      <c r="NQE135" s="547"/>
      <c r="NQF135" s="547"/>
      <c r="NQG135" s="547"/>
      <c r="NQH135" s="547"/>
      <c r="NQI135" s="548"/>
      <c r="NQJ135" s="547"/>
      <c r="NQK135" s="547"/>
      <c r="NQL135" s="547"/>
      <c r="NQM135" s="547"/>
      <c r="NQN135" s="548"/>
      <c r="NQO135" s="547"/>
      <c r="NQP135" s="547"/>
      <c r="NQQ135" s="547"/>
      <c r="NQR135" s="549"/>
      <c r="NQS135" s="548"/>
      <c r="NQT135" s="549"/>
      <c r="NQU135" s="549"/>
      <c r="NQV135" s="549"/>
      <c r="NQW135" s="549"/>
      <c r="NQX135" s="548"/>
      <c r="NQY135" s="548"/>
      <c r="NQZ135" s="548"/>
      <c r="NRA135" s="548"/>
      <c r="NRB135" s="8"/>
      <c r="NRC135" s="8"/>
      <c r="NRD135" s="503"/>
      <c r="NRE135" s="8"/>
      <c r="NRF135" s="8"/>
      <c r="NRG135" s="547"/>
      <c r="NRH135" s="547"/>
      <c r="NRI135" s="547"/>
      <c r="NRJ135" s="547"/>
      <c r="NRK135" s="548"/>
      <c r="NRL135" s="547"/>
      <c r="NRM135" s="547"/>
      <c r="NRN135" s="547"/>
      <c r="NRO135" s="547"/>
      <c r="NRP135" s="548"/>
      <c r="NRQ135" s="547"/>
      <c r="NRR135" s="547"/>
      <c r="NRS135" s="547"/>
      <c r="NRT135" s="547"/>
      <c r="NRU135" s="548"/>
      <c r="NRV135" s="547"/>
      <c r="NRW135" s="547"/>
      <c r="NRX135" s="547"/>
      <c r="NRY135" s="549"/>
      <c r="NRZ135" s="548"/>
      <c r="NSA135" s="549"/>
      <c r="NSB135" s="549"/>
      <c r="NSC135" s="549"/>
      <c r="NSD135" s="549"/>
      <c r="NSE135" s="548"/>
      <c r="NSF135" s="548"/>
      <c r="NSG135" s="548"/>
      <c r="NSH135" s="548"/>
      <c r="NSI135" s="8"/>
      <c r="NSJ135" s="8"/>
      <c r="NSK135" s="503"/>
      <c r="NSL135" s="8"/>
      <c r="NSM135" s="8"/>
      <c r="NSN135" s="547"/>
      <c r="NSO135" s="547"/>
      <c r="NSP135" s="547"/>
      <c r="NSQ135" s="547"/>
      <c r="NSR135" s="548"/>
      <c r="NSS135" s="547"/>
      <c r="NST135" s="547"/>
      <c r="NSU135" s="547"/>
      <c r="NSV135" s="547"/>
      <c r="NSW135" s="548"/>
      <c r="NSX135" s="547"/>
      <c r="NSY135" s="547"/>
      <c r="NSZ135" s="547"/>
      <c r="NTA135" s="547"/>
      <c r="NTB135" s="548"/>
      <c r="NTC135" s="547"/>
      <c r="NTD135" s="547"/>
      <c r="NTE135" s="547"/>
      <c r="NTF135" s="549"/>
      <c r="NTG135" s="548"/>
      <c r="NTH135" s="549"/>
      <c r="NTI135" s="549"/>
      <c r="NTJ135" s="549"/>
      <c r="NTK135" s="549"/>
      <c r="NTL135" s="548"/>
      <c r="NTM135" s="548"/>
      <c r="NTN135" s="548"/>
      <c r="NTO135" s="548"/>
      <c r="NTP135" s="8"/>
      <c r="NTQ135" s="8"/>
      <c r="NTR135" s="503"/>
      <c r="NTS135" s="8"/>
      <c r="NTT135" s="8"/>
      <c r="NTU135" s="547"/>
      <c r="NTV135" s="547"/>
      <c r="NTW135" s="547"/>
      <c r="NTX135" s="547"/>
      <c r="NTY135" s="548"/>
      <c r="NTZ135" s="547"/>
      <c r="NUA135" s="547"/>
      <c r="NUB135" s="547"/>
      <c r="NUC135" s="547"/>
      <c r="NUD135" s="548"/>
      <c r="NUE135" s="547"/>
      <c r="NUF135" s="547"/>
      <c r="NUG135" s="547"/>
      <c r="NUH135" s="547"/>
      <c r="NUI135" s="548"/>
      <c r="NUJ135" s="547"/>
      <c r="NUK135" s="547"/>
      <c r="NUL135" s="547"/>
      <c r="NUM135" s="549"/>
      <c r="NUN135" s="548"/>
      <c r="NUO135" s="549"/>
      <c r="NUP135" s="549"/>
      <c r="NUQ135" s="549"/>
      <c r="NUR135" s="549"/>
      <c r="NUS135" s="548"/>
      <c r="NUT135" s="548"/>
      <c r="NUU135" s="548"/>
      <c r="NUV135" s="548"/>
      <c r="NUW135" s="8"/>
      <c r="NUX135" s="8"/>
      <c r="NUY135" s="503"/>
      <c r="NUZ135" s="8"/>
      <c r="NVA135" s="8"/>
      <c r="NVB135" s="547"/>
      <c r="NVC135" s="547"/>
      <c r="NVD135" s="547"/>
      <c r="NVE135" s="547"/>
      <c r="NVF135" s="548"/>
      <c r="NVG135" s="547"/>
      <c r="NVH135" s="547"/>
      <c r="NVI135" s="547"/>
      <c r="NVJ135" s="547"/>
      <c r="NVK135" s="548"/>
      <c r="NVL135" s="547"/>
      <c r="NVM135" s="547"/>
      <c r="NVN135" s="547"/>
      <c r="NVO135" s="547"/>
      <c r="NVP135" s="548"/>
      <c r="NVQ135" s="547"/>
      <c r="NVR135" s="547"/>
      <c r="NVS135" s="547"/>
      <c r="NVT135" s="549"/>
      <c r="NVU135" s="548"/>
      <c r="NVV135" s="549"/>
      <c r="NVW135" s="549"/>
      <c r="NVX135" s="549"/>
      <c r="NVY135" s="549"/>
      <c r="NVZ135" s="548"/>
      <c r="NWA135" s="548"/>
      <c r="NWB135" s="548"/>
      <c r="NWC135" s="548"/>
      <c r="NWD135" s="8"/>
      <c r="NWE135" s="8"/>
      <c r="NWF135" s="503"/>
      <c r="NWG135" s="8"/>
      <c r="NWH135" s="8"/>
      <c r="NWI135" s="547"/>
      <c r="NWJ135" s="547"/>
      <c r="NWK135" s="547"/>
      <c r="NWL135" s="547"/>
      <c r="NWM135" s="548"/>
      <c r="NWN135" s="547"/>
      <c r="NWO135" s="547"/>
      <c r="NWP135" s="547"/>
      <c r="NWQ135" s="547"/>
      <c r="NWR135" s="548"/>
      <c r="NWS135" s="547"/>
      <c r="NWT135" s="547"/>
      <c r="NWU135" s="547"/>
      <c r="NWV135" s="547"/>
      <c r="NWW135" s="548"/>
      <c r="NWX135" s="547"/>
      <c r="NWY135" s="547"/>
      <c r="NWZ135" s="547"/>
      <c r="NXA135" s="549"/>
      <c r="NXB135" s="548"/>
      <c r="NXC135" s="549"/>
      <c r="NXD135" s="549"/>
      <c r="NXE135" s="549"/>
      <c r="NXF135" s="549"/>
      <c r="NXG135" s="548"/>
      <c r="NXH135" s="548"/>
      <c r="NXI135" s="548"/>
      <c r="NXJ135" s="548"/>
      <c r="NXK135" s="8"/>
      <c r="NXL135" s="8"/>
      <c r="NXM135" s="503"/>
      <c r="NXN135" s="8"/>
      <c r="NXO135" s="8"/>
      <c r="NXP135" s="547"/>
      <c r="NXQ135" s="547"/>
      <c r="NXR135" s="547"/>
      <c r="NXS135" s="547"/>
      <c r="NXT135" s="548"/>
      <c r="NXU135" s="547"/>
      <c r="NXV135" s="547"/>
      <c r="NXW135" s="547"/>
      <c r="NXX135" s="547"/>
      <c r="NXY135" s="548"/>
      <c r="NXZ135" s="547"/>
      <c r="NYA135" s="547"/>
      <c r="NYB135" s="547"/>
      <c r="NYC135" s="547"/>
      <c r="NYD135" s="548"/>
      <c r="NYE135" s="547"/>
      <c r="NYF135" s="547"/>
      <c r="NYG135" s="547"/>
      <c r="NYH135" s="549"/>
      <c r="NYI135" s="548"/>
      <c r="NYJ135" s="549"/>
      <c r="NYK135" s="549"/>
      <c r="NYL135" s="549"/>
      <c r="NYM135" s="549"/>
      <c r="NYN135" s="548"/>
      <c r="NYO135" s="548"/>
      <c r="NYP135" s="548"/>
      <c r="NYQ135" s="548"/>
      <c r="NYR135" s="8"/>
      <c r="NYS135" s="8"/>
      <c r="NYT135" s="503"/>
      <c r="NYU135" s="8"/>
      <c r="NYV135" s="8"/>
      <c r="NYW135" s="547"/>
      <c r="NYX135" s="547"/>
      <c r="NYY135" s="547"/>
      <c r="NYZ135" s="547"/>
      <c r="NZA135" s="548"/>
      <c r="NZB135" s="547"/>
      <c r="NZC135" s="547"/>
      <c r="NZD135" s="547"/>
      <c r="NZE135" s="547"/>
      <c r="NZF135" s="548"/>
      <c r="NZG135" s="547"/>
      <c r="NZH135" s="547"/>
      <c r="NZI135" s="547"/>
      <c r="NZJ135" s="547"/>
      <c r="NZK135" s="548"/>
      <c r="NZL135" s="547"/>
      <c r="NZM135" s="547"/>
      <c r="NZN135" s="547"/>
      <c r="NZO135" s="549"/>
      <c r="NZP135" s="548"/>
      <c r="NZQ135" s="549"/>
      <c r="NZR135" s="549"/>
      <c r="NZS135" s="549"/>
      <c r="NZT135" s="549"/>
      <c r="NZU135" s="548"/>
      <c r="NZV135" s="548"/>
      <c r="NZW135" s="548"/>
      <c r="NZX135" s="548"/>
      <c r="NZY135" s="8"/>
      <c r="NZZ135" s="8"/>
      <c r="OAA135" s="503"/>
      <c r="OAB135" s="8"/>
      <c r="OAC135" s="8"/>
      <c r="OAD135" s="547"/>
      <c r="OAE135" s="547"/>
      <c r="OAF135" s="547"/>
      <c r="OAG135" s="547"/>
      <c r="OAH135" s="548"/>
      <c r="OAI135" s="547"/>
      <c r="OAJ135" s="547"/>
      <c r="OAK135" s="547"/>
      <c r="OAL135" s="547"/>
      <c r="OAM135" s="548"/>
      <c r="OAN135" s="547"/>
      <c r="OAO135" s="547"/>
      <c r="OAP135" s="547"/>
      <c r="OAQ135" s="547"/>
      <c r="OAR135" s="548"/>
      <c r="OAS135" s="547"/>
      <c r="OAT135" s="547"/>
      <c r="OAU135" s="547"/>
      <c r="OAV135" s="549"/>
      <c r="OAW135" s="548"/>
      <c r="OAX135" s="549"/>
      <c r="OAY135" s="549"/>
      <c r="OAZ135" s="549"/>
      <c r="OBA135" s="549"/>
      <c r="OBB135" s="548"/>
      <c r="OBC135" s="548"/>
      <c r="OBD135" s="548"/>
      <c r="OBE135" s="548"/>
      <c r="OBF135" s="8"/>
      <c r="OBG135" s="8"/>
      <c r="OBH135" s="503"/>
      <c r="OBI135" s="8"/>
      <c r="OBJ135" s="8"/>
      <c r="OBK135" s="547"/>
      <c r="OBL135" s="547"/>
      <c r="OBM135" s="547"/>
      <c r="OBN135" s="547"/>
      <c r="OBO135" s="548"/>
      <c r="OBP135" s="547"/>
      <c r="OBQ135" s="547"/>
      <c r="OBR135" s="547"/>
      <c r="OBS135" s="547"/>
      <c r="OBT135" s="548"/>
      <c r="OBU135" s="547"/>
      <c r="OBV135" s="547"/>
      <c r="OBW135" s="547"/>
      <c r="OBX135" s="547"/>
      <c r="OBY135" s="548"/>
      <c r="OBZ135" s="547"/>
      <c r="OCA135" s="547"/>
      <c r="OCB135" s="547"/>
      <c r="OCC135" s="549"/>
      <c r="OCD135" s="548"/>
      <c r="OCE135" s="549"/>
      <c r="OCF135" s="549"/>
      <c r="OCG135" s="549"/>
      <c r="OCH135" s="549"/>
      <c r="OCI135" s="548"/>
      <c r="OCJ135" s="548"/>
      <c r="OCK135" s="548"/>
      <c r="OCL135" s="548"/>
      <c r="OCM135" s="8"/>
      <c r="OCN135" s="8"/>
      <c r="OCO135" s="503"/>
      <c r="OCP135" s="8"/>
      <c r="OCQ135" s="8"/>
      <c r="OCR135" s="547"/>
      <c r="OCS135" s="547"/>
      <c r="OCT135" s="547"/>
      <c r="OCU135" s="547"/>
      <c r="OCV135" s="548"/>
      <c r="OCW135" s="547"/>
      <c r="OCX135" s="547"/>
      <c r="OCY135" s="547"/>
      <c r="OCZ135" s="547"/>
      <c r="ODA135" s="548"/>
      <c r="ODB135" s="547"/>
      <c r="ODC135" s="547"/>
      <c r="ODD135" s="547"/>
      <c r="ODE135" s="547"/>
      <c r="ODF135" s="548"/>
      <c r="ODG135" s="547"/>
      <c r="ODH135" s="547"/>
      <c r="ODI135" s="547"/>
      <c r="ODJ135" s="549"/>
      <c r="ODK135" s="548"/>
      <c r="ODL135" s="549"/>
      <c r="ODM135" s="549"/>
      <c r="ODN135" s="549"/>
      <c r="ODO135" s="549"/>
      <c r="ODP135" s="548"/>
      <c r="ODQ135" s="548"/>
      <c r="ODR135" s="548"/>
      <c r="ODS135" s="548"/>
      <c r="ODT135" s="8"/>
      <c r="ODU135" s="8"/>
      <c r="ODV135" s="503"/>
      <c r="ODW135" s="8"/>
      <c r="ODX135" s="8"/>
      <c r="ODY135" s="547"/>
      <c r="ODZ135" s="547"/>
      <c r="OEA135" s="547"/>
      <c r="OEB135" s="547"/>
      <c r="OEC135" s="548"/>
      <c r="OED135" s="547"/>
      <c r="OEE135" s="547"/>
      <c r="OEF135" s="547"/>
      <c r="OEG135" s="547"/>
      <c r="OEH135" s="548"/>
      <c r="OEI135" s="547"/>
      <c r="OEJ135" s="547"/>
      <c r="OEK135" s="547"/>
      <c r="OEL135" s="547"/>
      <c r="OEM135" s="548"/>
      <c r="OEN135" s="547"/>
      <c r="OEO135" s="547"/>
      <c r="OEP135" s="547"/>
      <c r="OEQ135" s="549"/>
      <c r="OER135" s="548"/>
      <c r="OES135" s="549"/>
      <c r="OET135" s="549"/>
      <c r="OEU135" s="549"/>
      <c r="OEV135" s="549"/>
      <c r="OEW135" s="548"/>
      <c r="OEX135" s="548"/>
      <c r="OEY135" s="548"/>
      <c r="OEZ135" s="548"/>
      <c r="OFA135" s="8"/>
      <c r="OFB135" s="8"/>
      <c r="OFC135" s="503"/>
      <c r="OFD135" s="8"/>
      <c r="OFE135" s="8"/>
      <c r="OFF135" s="547"/>
      <c r="OFG135" s="547"/>
      <c r="OFH135" s="547"/>
      <c r="OFI135" s="547"/>
      <c r="OFJ135" s="548"/>
      <c r="OFK135" s="547"/>
      <c r="OFL135" s="547"/>
      <c r="OFM135" s="547"/>
      <c r="OFN135" s="547"/>
      <c r="OFO135" s="548"/>
      <c r="OFP135" s="547"/>
      <c r="OFQ135" s="547"/>
      <c r="OFR135" s="547"/>
      <c r="OFS135" s="547"/>
      <c r="OFT135" s="548"/>
      <c r="OFU135" s="547"/>
      <c r="OFV135" s="547"/>
      <c r="OFW135" s="547"/>
      <c r="OFX135" s="549"/>
      <c r="OFY135" s="548"/>
      <c r="OFZ135" s="549"/>
      <c r="OGA135" s="549"/>
      <c r="OGB135" s="549"/>
      <c r="OGC135" s="549"/>
      <c r="OGD135" s="548"/>
      <c r="OGE135" s="548"/>
      <c r="OGF135" s="548"/>
      <c r="OGG135" s="548"/>
      <c r="OGH135" s="8"/>
      <c r="OGI135" s="8"/>
      <c r="OGJ135" s="503"/>
      <c r="OGK135" s="8"/>
      <c r="OGL135" s="8"/>
      <c r="OGM135" s="547"/>
      <c r="OGN135" s="547"/>
      <c r="OGO135" s="547"/>
      <c r="OGP135" s="547"/>
      <c r="OGQ135" s="548"/>
      <c r="OGR135" s="547"/>
      <c r="OGS135" s="547"/>
      <c r="OGT135" s="547"/>
      <c r="OGU135" s="547"/>
      <c r="OGV135" s="548"/>
      <c r="OGW135" s="547"/>
      <c r="OGX135" s="547"/>
      <c r="OGY135" s="547"/>
      <c r="OGZ135" s="547"/>
      <c r="OHA135" s="548"/>
      <c r="OHB135" s="547"/>
      <c r="OHC135" s="547"/>
      <c r="OHD135" s="547"/>
      <c r="OHE135" s="549"/>
      <c r="OHF135" s="548"/>
      <c r="OHG135" s="549"/>
      <c r="OHH135" s="549"/>
      <c r="OHI135" s="549"/>
      <c r="OHJ135" s="549"/>
      <c r="OHK135" s="548"/>
      <c r="OHL135" s="548"/>
      <c r="OHM135" s="548"/>
      <c r="OHN135" s="548"/>
      <c r="OHO135" s="8"/>
      <c r="OHP135" s="8"/>
      <c r="OHQ135" s="503"/>
      <c r="OHR135" s="8"/>
      <c r="OHS135" s="8"/>
      <c r="OHT135" s="547"/>
      <c r="OHU135" s="547"/>
      <c r="OHV135" s="547"/>
      <c r="OHW135" s="547"/>
      <c r="OHX135" s="548"/>
      <c r="OHY135" s="547"/>
      <c r="OHZ135" s="547"/>
      <c r="OIA135" s="547"/>
      <c r="OIB135" s="547"/>
      <c r="OIC135" s="548"/>
      <c r="OID135" s="547"/>
      <c r="OIE135" s="547"/>
      <c r="OIF135" s="547"/>
      <c r="OIG135" s="547"/>
      <c r="OIH135" s="548"/>
      <c r="OII135" s="547"/>
      <c r="OIJ135" s="547"/>
      <c r="OIK135" s="547"/>
      <c r="OIL135" s="549"/>
      <c r="OIM135" s="548"/>
      <c r="OIN135" s="549"/>
      <c r="OIO135" s="549"/>
      <c r="OIP135" s="549"/>
      <c r="OIQ135" s="549"/>
      <c r="OIR135" s="548"/>
      <c r="OIS135" s="548"/>
      <c r="OIT135" s="548"/>
      <c r="OIU135" s="548"/>
      <c r="OIV135" s="8"/>
      <c r="OIW135" s="8"/>
      <c r="OIX135" s="503"/>
      <c r="OIY135" s="8"/>
      <c r="OIZ135" s="8"/>
      <c r="OJA135" s="547"/>
      <c r="OJB135" s="547"/>
      <c r="OJC135" s="547"/>
      <c r="OJD135" s="547"/>
      <c r="OJE135" s="548"/>
      <c r="OJF135" s="547"/>
      <c r="OJG135" s="547"/>
      <c r="OJH135" s="547"/>
      <c r="OJI135" s="547"/>
      <c r="OJJ135" s="548"/>
      <c r="OJK135" s="547"/>
      <c r="OJL135" s="547"/>
      <c r="OJM135" s="547"/>
      <c r="OJN135" s="547"/>
      <c r="OJO135" s="548"/>
      <c r="OJP135" s="547"/>
      <c r="OJQ135" s="547"/>
      <c r="OJR135" s="547"/>
      <c r="OJS135" s="549"/>
      <c r="OJT135" s="548"/>
      <c r="OJU135" s="549"/>
      <c r="OJV135" s="549"/>
      <c r="OJW135" s="549"/>
      <c r="OJX135" s="549"/>
      <c r="OJY135" s="548"/>
      <c r="OJZ135" s="548"/>
      <c r="OKA135" s="548"/>
      <c r="OKB135" s="548"/>
      <c r="OKC135" s="8"/>
      <c r="OKD135" s="8"/>
      <c r="OKE135" s="503"/>
      <c r="OKF135" s="8"/>
      <c r="OKG135" s="8"/>
      <c r="OKH135" s="547"/>
      <c r="OKI135" s="547"/>
      <c r="OKJ135" s="547"/>
      <c r="OKK135" s="547"/>
      <c r="OKL135" s="548"/>
      <c r="OKM135" s="547"/>
      <c r="OKN135" s="547"/>
      <c r="OKO135" s="547"/>
      <c r="OKP135" s="547"/>
      <c r="OKQ135" s="548"/>
      <c r="OKR135" s="547"/>
      <c r="OKS135" s="547"/>
      <c r="OKT135" s="547"/>
      <c r="OKU135" s="547"/>
      <c r="OKV135" s="548"/>
      <c r="OKW135" s="547"/>
      <c r="OKX135" s="547"/>
      <c r="OKY135" s="547"/>
      <c r="OKZ135" s="549"/>
      <c r="OLA135" s="548"/>
      <c r="OLB135" s="549"/>
      <c r="OLC135" s="549"/>
      <c r="OLD135" s="549"/>
      <c r="OLE135" s="549"/>
      <c r="OLF135" s="548"/>
      <c r="OLG135" s="548"/>
      <c r="OLH135" s="548"/>
      <c r="OLI135" s="548"/>
      <c r="OLJ135" s="8"/>
      <c r="OLK135" s="8"/>
      <c r="OLL135" s="503"/>
      <c r="OLM135" s="8"/>
      <c r="OLN135" s="8"/>
      <c r="OLO135" s="547"/>
      <c r="OLP135" s="547"/>
      <c r="OLQ135" s="547"/>
      <c r="OLR135" s="547"/>
      <c r="OLS135" s="548"/>
      <c r="OLT135" s="547"/>
      <c r="OLU135" s="547"/>
      <c r="OLV135" s="547"/>
      <c r="OLW135" s="547"/>
      <c r="OLX135" s="548"/>
      <c r="OLY135" s="547"/>
      <c r="OLZ135" s="547"/>
      <c r="OMA135" s="547"/>
      <c r="OMB135" s="547"/>
      <c r="OMC135" s="548"/>
      <c r="OMD135" s="547"/>
      <c r="OME135" s="547"/>
      <c r="OMF135" s="547"/>
      <c r="OMG135" s="549"/>
      <c r="OMH135" s="548"/>
      <c r="OMI135" s="549"/>
      <c r="OMJ135" s="549"/>
      <c r="OMK135" s="549"/>
      <c r="OML135" s="549"/>
      <c r="OMM135" s="548"/>
      <c r="OMN135" s="548"/>
      <c r="OMO135" s="548"/>
      <c r="OMP135" s="548"/>
      <c r="OMQ135" s="8"/>
      <c r="OMR135" s="8"/>
      <c r="OMS135" s="503"/>
      <c r="OMT135" s="8"/>
      <c r="OMU135" s="8"/>
      <c r="OMV135" s="547"/>
      <c r="OMW135" s="547"/>
      <c r="OMX135" s="547"/>
      <c r="OMY135" s="547"/>
      <c r="OMZ135" s="548"/>
      <c r="ONA135" s="547"/>
      <c r="ONB135" s="547"/>
      <c r="ONC135" s="547"/>
      <c r="OND135" s="547"/>
      <c r="ONE135" s="548"/>
      <c r="ONF135" s="547"/>
      <c r="ONG135" s="547"/>
      <c r="ONH135" s="547"/>
      <c r="ONI135" s="547"/>
      <c r="ONJ135" s="548"/>
      <c r="ONK135" s="547"/>
      <c r="ONL135" s="547"/>
      <c r="ONM135" s="547"/>
      <c r="ONN135" s="549"/>
      <c r="ONO135" s="548"/>
      <c r="ONP135" s="549"/>
      <c r="ONQ135" s="549"/>
      <c r="ONR135" s="549"/>
      <c r="ONS135" s="549"/>
      <c r="ONT135" s="548"/>
      <c r="ONU135" s="548"/>
      <c r="ONV135" s="548"/>
      <c r="ONW135" s="548"/>
      <c r="ONX135" s="8"/>
      <c r="ONY135" s="8"/>
      <c r="ONZ135" s="503"/>
      <c r="OOA135" s="8"/>
      <c r="OOB135" s="8"/>
      <c r="OOC135" s="547"/>
      <c r="OOD135" s="547"/>
      <c r="OOE135" s="547"/>
      <c r="OOF135" s="547"/>
      <c r="OOG135" s="548"/>
      <c r="OOH135" s="547"/>
      <c r="OOI135" s="547"/>
      <c r="OOJ135" s="547"/>
      <c r="OOK135" s="547"/>
      <c r="OOL135" s="548"/>
      <c r="OOM135" s="547"/>
      <c r="OON135" s="547"/>
      <c r="OOO135" s="547"/>
      <c r="OOP135" s="547"/>
      <c r="OOQ135" s="548"/>
      <c r="OOR135" s="547"/>
      <c r="OOS135" s="547"/>
      <c r="OOT135" s="547"/>
      <c r="OOU135" s="549"/>
      <c r="OOV135" s="548"/>
      <c r="OOW135" s="549"/>
      <c r="OOX135" s="549"/>
      <c r="OOY135" s="549"/>
      <c r="OOZ135" s="549"/>
      <c r="OPA135" s="548"/>
      <c r="OPB135" s="548"/>
      <c r="OPC135" s="548"/>
      <c r="OPD135" s="548"/>
      <c r="OPE135" s="8"/>
      <c r="OPF135" s="8"/>
      <c r="OPG135" s="503"/>
      <c r="OPH135" s="8"/>
      <c r="OPI135" s="8"/>
      <c r="OPJ135" s="547"/>
      <c r="OPK135" s="547"/>
      <c r="OPL135" s="547"/>
      <c r="OPM135" s="547"/>
      <c r="OPN135" s="548"/>
      <c r="OPO135" s="547"/>
      <c r="OPP135" s="547"/>
      <c r="OPQ135" s="547"/>
      <c r="OPR135" s="547"/>
      <c r="OPS135" s="548"/>
      <c r="OPT135" s="547"/>
      <c r="OPU135" s="547"/>
      <c r="OPV135" s="547"/>
      <c r="OPW135" s="547"/>
      <c r="OPX135" s="548"/>
      <c r="OPY135" s="547"/>
      <c r="OPZ135" s="547"/>
      <c r="OQA135" s="547"/>
      <c r="OQB135" s="549"/>
      <c r="OQC135" s="548"/>
      <c r="OQD135" s="549"/>
      <c r="OQE135" s="549"/>
      <c r="OQF135" s="549"/>
      <c r="OQG135" s="549"/>
      <c r="OQH135" s="548"/>
      <c r="OQI135" s="548"/>
      <c r="OQJ135" s="548"/>
      <c r="OQK135" s="548"/>
      <c r="OQL135" s="8"/>
      <c r="OQM135" s="8"/>
      <c r="OQN135" s="503"/>
      <c r="OQO135" s="8"/>
      <c r="OQP135" s="8"/>
      <c r="OQQ135" s="547"/>
      <c r="OQR135" s="547"/>
      <c r="OQS135" s="547"/>
      <c r="OQT135" s="547"/>
      <c r="OQU135" s="548"/>
      <c r="OQV135" s="547"/>
      <c r="OQW135" s="547"/>
      <c r="OQX135" s="547"/>
      <c r="OQY135" s="547"/>
      <c r="OQZ135" s="548"/>
      <c r="ORA135" s="547"/>
      <c r="ORB135" s="547"/>
      <c r="ORC135" s="547"/>
      <c r="ORD135" s="547"/>
      <c r="ORE135" s="548"/>
      <c r="ORF135" s="547"/>
      <c r="ORG135" s="547"/>
      <c r="ORH135" s="547"/>
      <c r="ORI135" s="549"/>
      <c r="ORJ135" s="548"/>
      <c r="ORK135" s="549"/>
      <c r="ORL135" s="549"/>
      <c r="ORM135" s="549"/>
      <c r="ORN135" s="549"/>
      <c r="ORO135" s="548"/>
      <c r="ORP135" s="548"/>
      <c r="ORQ135" s="548"/>
      <c r="ORR135" s="548"/>
      <c r="ORS135" s="8"/>
      <c r="ORT135" s="8"/>
      <c r="ORU135" s="503"/>
      <c r="ORV135" s="8"/>
      <c r="ORW135" s="8"/>
      <c r="ORX135" s="547"/>
      <c r="ORY135" s="547"/>
      <c r="ORZ135" s="547"/>
      <c r="OSA135" s="547"/>
      <c r="OSB135" s="548"/>
      <c r="OSC135" s="547"/>
      <c r="OSD135" s="547"/>
      <c r="OSE135" s="547"/>
      <c r="OSF135" s="547"/>
      <c r="OSG135" s="548"/>
      <c r="OSH135" s="547"/>
      <c r="OSI135" s="547"/>
      <c r="OSJ135" s="547"/>
      <c r="OSK135" s="547"/>
      <c r="OSL135" s="548"/>
      <c r="OSM135" s="547"/>
      <c r="OSN135" s="547"/>
      <c r="OSO135" s="547"/>
      <c r="OSP135" s="549"/>
      <c r="OSQ135" s="548"/>
      <c r="OSR135" s="549"/>
      <c r="OSS135" s="549"/>
      <c r="OST135" s="549"/>
      <c r="OSU135" s="549"/>
      <c r="OSV135" s="548"/>
      <c r="OSW135" s="548"/>
      <c r="OSX135" s="548"/>
      <c r="OSY135" s="548"/>
      <c r="OSZ135" s="8"/>
      <c r="OTA135" s="8"/>
      <c r="OTB135" s="503"/>
      <c r="OTC135" s="8"/>
      <c r="OTD135" s="8"/>
      <c r="OTE135" s="547"/>
      <c r="OTF135" s="547"/>
      <c r="OTG135" s="547"/>
      <c r="OTH135" s="547"/>
      <c r="OTI135" s="548"/>
      <c r="OTJ135" s="547"/>
      <c r="OTK135" s="547"/>
      <c r="OTL135" s="547"/>
      <c r="OTM135" s="547"/>
      <c r="OTN135" s="548"/>
      <c r="OTO135" s="547"/>
      <c r="OTP135" s="547"/>
      <c r="OTQ135" s="547"/>
      <c r="OTR135" s="547"/>
      <c r="OTS135" s="548"/>
      <c r="OTT135" s="547"/>
      <c r="OTU135" s="547"/>
      <c r="OTV135" s="547"/>
      <c r="OTW135" s="549"/>
      <c r="OTX135" s="548"/>
      <c r="OTY135" s="549"/>
      <c r="OTZ135" s="549"/>
      <c r="OUA135" s="549"/>
      <c r="OUB135" s="549"/>
      <c r="OUC135" s="548"/>
      <c r="OUD135" s="548"/>
      <c r="OUE135" s="548"/>
      <c r="OUF135" s="548"/>
      <c r="OUG135" s="8"/>
      <c r="OUH135" s="8"/>
      <c r="OUI135" s="503"/>
      <c r="OUJ135" s="8"/>
      <c r="OUK135" s="8"/>
      <c r="OUL135" s="547"/>
      <c r="OUM135" s="547"/>
      <c r="OUN135" s="547"/>
      <c r="OUO135" s="547"/>
      <c r="OUP135" s="548"/>
      <c r="OUQ135" s="547"/>
      <c r="OUR135" s="547"/>
      <c r="OUS135" s="547"/>
      <c r="OUT135" s="547"/>
      <c r="OUU135" s="548"/>
      <c r="OUV135" s="547"/>
      <c r="OUW135" s="547"/>
      <c r="OUX135" s="547"/>
      <c r="OUY135" s="547"/>
      <c r="OUZ135" s="548"/>
      <c r="OVA135" s="547"/>
      <c r="OVB135" s="547"/>
      <c r="OVC135" s="547"/>
      <c r="OVD135" s="549"/>
      <c r="OVE135" s="548"/>
      <c r="OVF135" s="549"/>
      <c r="OVG135" s="549"/>
      <c r="OVH135" s="549"/>
      <c r="OVI135" s="549"/>
      <c r="OVJ135" s="548"/>
      <c r="OVK135" s="548"/>
      <c r="OVL135" s="548"/>
      <c r="OVM135" s="548"/>
      <c r="OVN135" s="8"/>
      <c r="OVO135" s="8"/>
      <c r="OVP135" s="503"/>
      <c r="OVQ135" s="8"/>
      <c r="OVR135" s="8"/>
      <c r="OVS135" s="547"/>
      <c r="OVT135" s="547"/>
      <c r="OVU135" s="547"/>
      <c r="OVV135" s="547"/>
      <c r="OVW135" s="548"/>
      <c r="OVX135" s="547"/>
      <c r="OVY135" s="547"/>
      <c r="OVZ135" s="547"/>
      <c r="OWA135" s="547"/>
      <c r="OWB135" s="548"/>
      <c r="OWC135" s="547"/>
      <c r="OWD135" s="547"/>
      <c r="OWE135" s="547"/>
      <c r="OWF135" s="547"/>
      <c r="OWG135" s="548"/>
      <c r="OWH135" s="547"/>
      <c r="OWI135" s="547"/>
      <c r="OWJ135" s="547"/>
      <c r="OWK135" s="549"/>
      <c r="OWL135" s="548"/>
      <c r="OWM135" s="549"/>
      <c r="OWN135" s="549"/>
      <c r="OWO135" s="549"/>
      <c r="OWP135" s="549"/>
      <c r="OWQ135" s="548"/>
      <c r="OWR135" s="548"/>
      <c r="OWS135" s="548"/>
      <c r="OWT135" s="548"/>
      <c r="OWU135" s="8"/>
      <c r="OWV135" s="8"/>
      <c r="OWW135" s="503"/>
      <c r="OWX135" s="8"/>
      <c r="OWY135" s="8"/>
      <c r="OWZ135" s="547"/>
      <c r="OXA135" s="547"/>
      <c r="OXB135" s="547"/>
      <c r="OXC135" s="547"/>
      <c r="OXD135" s="548"/>
      <c r="OXE135" s="547"/>
      <c r="OXF135" s="547"/>
      <c r="OXG135" s="547"/>
      <c r="OXH135" s="547"/>
      <c r="OXI135" s="548"/>
      <c r="OXJ135" s="547"/>
      <c r="OXK135" s="547"/>
      <c r="OXL135" s="547"/>
      <c r="OXM135" s="547"/>
      <c r="OXN135" s="548"/>
      <c r="OXO135" s="547"/>
      <c r="OXP135" s="547"/>
      <c r="OXQ135" s="547"/>
      <c r="OXR135" s="549"/>
      <c r="OXS135" s="548"/>
      <c r="OXT135" s="549"/>
      <c r="OXU135" s="549"/>
      <c r="OXV135" s="549"/>
      <c r="OXW135" s="549"/>
      <c r="OXX135" s="548"/>
      <c r="OXY135" s="548"/>
      <c r="OXZ135" s="548"/>
      <c r="OYA135" s="548"/>
      <c r="OYB135" s="8"/>
      <c r="OYC135" s="8"/>
      <c r="OYD135" s="503"/>
      <c r="OYE135" s="8"/>
      <c r="OYF135" s="8"/>
      <c r="OYG135" s="547"/>
      <c r="OYH135" s="547"/>
      <c r="OYI135" s="547"/>
      <c r="OYJ135" s="547"/>
      <c r="OYK135" s="548"/>
      <c r="OYL135" s="547"/>
      <c r="OYM135" s="547"/>
      <c r="OYN135" s="547"/>
      <c r="OYO135" s="547"/>
      <c r="OYP135" s="548"/>
      <c r="OYQ135" s="547"/>
      <c r="OYR135" s="547"/>
      <c r="OYS135" s="547"/>
      <c r="OYT135" s="547"/>
      <c r="OYU135" s="548"/>
      <c r="OYV135" s="547"/>
      <c r="OYW135" s="547"/>
      <c r="OYX135" s="547"/>
      <c r="OYY135" s="549"/>
      <c r="OYZ135" s="548"/>
      <c r="OZA135" s="549"/>
      <c r="OZB135" s="549"/>
      <c r="OZC135" s="549"/>
      <c r="OZD135" s="549"/>
      <c r="OZE135" s="548"/>
      <c r="OZF135" s="548"/>
      <c r="OZG135" s="548"/>
      <c r="OZH135" s="548"/>
      <c r="OZI135" s="8"/>
      <c r="OZJ135" s="8"/>
      <c r="OZK135" s="503"/>
      <c r="OZL135" s="8"/>
      <c r="OZM135" s="8"/>
      <c r="OZN135" s="547"/>
      <c r="OZO135" s="547"/>
      <c r="OZP135" s="547"/>
      <c r="OZQ135" s="547"/>
      <c r="OZR135" s="548"/>
      <c r="OZS135" s="547"/>
      <c r="OZT135" s="547"/>
      <c r="OZU135" s="547"/>
      <c r="OZV135" s="547"/>
      <c r="OZW135" s="548"/>
      <c r="OZX135" s="547"/>
      <c r="OZY135" s="547"/>
      <c r="OZZ135" s="547"/>
      <c r="PAA135" s="547"/>
      <c r="PAB135" s="548"/>
      <c r="PAC135" s="547"/>
      <c r="PAD135" s="547"/>
      <c r="PAE135" s="547"/>
      <c r="PAF135" s="549"/>
      <c r="PAG135" s="548"/>
      <c r="PAH135" s="549"/>
      <c r="PAI135" s="549"/>
      <c r="PAJ135" s="549"/>
      <c r="PAK135" s="549"/>
      <c r="PAL135" s="548"/>
      <c r="PAM135" s="548"/>
      <c r="PAN135" s="548"/>
      <c r="PAO135" s="548"/>
      <c r="PAP135" s="8"/>
      <c r="PAQ135" s="8"/>
      <c r="PAR135" s="503"/>
      <c r="PAS135" s="8"/>
      <c r="PAT135" s="8"/>
      <c r="PAU135" s="547"/>
      <c r="PAV135" s="547"/>
      <c r="PAW135" s="547"/>
      <c r="PAX135" s="547"/>
      <c r="PAY135" s="548"/>
      <c r="PAZ135" s="547"/>
      <c r="PBA135" s="547"/>
      <c r="PBB135" s="547"/>
      <c r="PBC135" s="547"/>
      <c r="PBD135" s="548"/>
      <c r="PBE135" s="547"/>
      <c r="PBF135" s="547"/>
      <c r="PBG135" s="547"/>
      <c r="PBH135" s="547"/>
      <c r="PBI135" s="548"/>
      <c r="PBJ135" s="547"/>
      <c r="PBK135" s="547"/>
      <c r="PBL135" s="547"/>
      <c r="PBM135" s="549"/>
      <c r="PBN135" s="548"/>
      <c r="PBO135" s="549"/>
      <c r="PBP135" s="549"/>
      <c r="PBQ135" s="549"/>
      <c r="PBR135" s="549"/>
      <c r="PBS135" s="548"/>
      <c r="PBT135" s="548"/>
      <c r="PBU135" s="548"/>
      <c r="PBV135" s="548"/>
      <c r="PBW135" s="8"/>
      <c r="PBX135" s="8"/>
      <c r="PBY135" s="503"/>
      <c r="PBZ135" s="8"/>
      <c r="PCA135" s="8"/>
      <c r="PCB135" s="547"/>
      <c r="PCC135" s="547"/>
      <c r="PCD135" s="547"/>
      <c r="PCE135" s="547"/>
      <c r="PCF135" s="548"/>
      <c r="PCG135" s="547"/>
      <c r="PCH135" s="547"/>
      <c r="PCI135" s="547"/>
      <c r="PCJ135" s="547"/>
      <c r="PCK135" s="548"/>
      <c r="PCL135" s="547"/>
      <c r="PCM135" s="547"/>
      <c r="PCN135" s="547"/>
      <c r="PCO135" s="547"/>
      <c r="PCP135" s="548"/>
      <c r="PCQ135" s="547"/>
      <c r="PCR135" s="547"/>
      <c r="PCS135" s="547"/>
      <c r="PCT135" s="549"/>
      <c r="PCU135" s="548"/>
      <c r="PCV135" s="549"/>
      <c r="PCW135" s="549"/>
      <c r="PCX135" s="549"/>
      <c r="PCY135" s="549"/>
      <c r="PCZ135" s="548"/>
      <c r="PDA135" s="548"/>
      <c r="PDB135" s="548"/>
      <c r="PDC135" s="548"/>
      <c r="PDD135" s="8"/>
      <c r="PDE135" s="8"/>
      <c r="PDF135" s="503"/>
      <c r="PDG135" s="8"/>
      <c r="PDH135" s="8"/>
      <c r="PDI135" s="547"/>
      <c r="PDJ135" s="547"/>
      <c r="PDK135" s="547"/>
      <c r="PDL135" s="547"/>
      <c r="PDM135" s="548"/>
      <c r="PDN135" s="547"/>
      <c r="PDO135" s="547"/>
      <c r="PDP135" s="547"/>
      <c r="PDQ135" s="547"/>
      <c r="PDR135" s="548"/>
      <c r="PDS135" s="547"/>
      <c r="PDT135" s="547"/>
      <c r="PDU135" s="547"/>
      <c r="PDV135" s="547"/>
      <c r="PDW135" s="548"/>
      <c r="PDX135" s="547"/>
      <c r="PDY135" s="547"/>
      <c r="PDZ135" s="547"/>
      <c r="PEA135" s="549"/>
      <c r="PEB135" s="548"/>
      <c r="PEC135" s="549"/>
      <c r="PED135" s="549"/>
      <c r="PEE135" s="549"/>
      <c r="PEF135" s="549"/>
      <c r="PEG135" s="548"/>
      <c r="PEH135" s="548"/>
      <c r="PEI135" s="548"/>
      <c r="PEJ135" s="548"/>
      <c r="PEK135" s="8"/>
      <c r="PEL135" s="8"/>
      <c r="PEM135" s="503"/>
      <c r="PEN135" s="8"/>
      <c r="PEO135" s="8"/>
      <c r="PEP135" s="547"/>
      <c r="PEQ135" s="547"/>
      <c r="PER135" s="547"/>
      <c r="PES135" s="547"/>
      <c r="PET135" s="548"/>
      <c r="PEU135" s="547"/>
      <c r="PEV135" s="547"/>
      <c r="PEW135" s="547"/>
      <c r="PEX135" s="547"/>
      <c r="PEY135" s="548"/>
      <c r="PEZ135" s="547"/>
      <c r="PFA135" s="547"/>
      <c r="PFB135" s="547"/>
      <c r="PFC135" s="547"/>
      <c r="PFD135" s="548"/>
      <c r="PFE135" s="547"/>
      <c r="PFF135" s="547"/>
      <c r="PFG135" s="547"/>
      <c r="PFH135" s="549"/>
      <c r="PFI135" s="548"/>
      <c r="PFJ135" s="549"/>
      <c r="PFK135" s="549"/>
      <c r="PFL135" s="549"/>
      <c r="PFM135" s="549"/>
      <c r="PFN135" s="548"/>
      <c r="PFO135" s="548"/>
      <c r="PFP135" s="548"/>
      <c r="PFQ135" s="548"/>
      <c r="PFR135" s="8"/>
      <c r="PFS135" s="8"/>
      <c r="PFT135" s="503"/>
      <c r="PFU135" s="8"/>
      <c r="PFV135" s="8"/>
      <c r="PFW135" s="547"/>
      <c r="PFX135" s="547"/>
      <c r="PFY135" s="547"/>
      <c r="PFZ135" s="547"/>
      <c r="PGA135" s="548"/>
      <c r="PGB135" s="547"/>
      <c r="PGC135" s="547"/>
      <c r="PGD135" s="547"/>
      <c r="PGE135" s="547"/>
      <c r="PGF135" s="548"/>
      <c r="PGG135" s="547"/>
      <c r="PGH135" s="547"/>
      <c r="PGI135" s="547"/>
      <c r="PGJ135" s="547"/>
      <c r="PGK135" s="548"/>
      <c r="PGL135" s="547"/>
      <c r="PGM135" s="547"/>
      <c r="PGN135" s="547"/>
      <c r="PGO135" s="549"/>
      <c r="PGP135" s="548"/>
      <c r="PGQ135" s="549"/>
      <c r="PGR135" s="549"/>
      <c r="PGS135" s="549"/>
      <c r="PGT135" s="549"/>
      <c r="PGU135" s="548"/>
      <c r="PGV135" s="548"/>
      <c r="PGW135" s="548"/>
      <c r="PGX135" s="548"/>
      <c r="PGY135" s="8"/>
      <c r="PGZ135" s="8"/>
      <c r="PHA135" s="503"/>
      <c r="PHB135" s="8"/>
      <c r="PHC135" s="8"/>
      <c r="PHD135" s="547"/>
      <c r="PHE135" s="547"/>
      <c r="PHF135" s="547"/>
      <c r="PHG135" s="547"/>
      <c r="PHH135" s="548"/>
      <c r="PHI135" s="547"/>
      <c r="PHJ135" s="547"/>
      <c r="PHK135" s="547"/>
      <c r="PHL135" s="547"/>
      <c r="PHM135" s="548"/>
      <c r="PHN135" s="547"/>
      <c r="PHO135" s="547"/>
      <c r="PHP135" s="547"/>
      <c r="PHQ135" s="547"/>
      <c r="PHR135" s="548"/>
      <c r="PHS135" s="547"/>
      <c r="PHT135" s="547"/>
      <c r="PHU135" s="547"/>
      <c r="PHV135" s="549"/>
      <c r="PHW135" s="548"/>
      <c r="PHX135" s="549"/>
      <c r="PHY135" s="549"/>
      <c r="PHZ135" s="549"/>
      <c r="PIA135" s="549"/>
      <c r="PIB135" s="548"/>
      <c r="PIC135" s="548"/>
      <c r="PID135" s="548"/>
      <c r="PIE135" s="548"/>
      <c r="PIF135" s="8"/>
      <c r="PIG135" s="8"/>
      <c r="PIH135" s="503"/>
      <c r="PII135" s="8"/>
      <c r="PIJ135" s="8"/>
      <c r="PIK135" s="547"/>
      <c r="PIL135" s="547"/>
      <c r="PIM135" s="547"/>
      <c r="PIN135" s="547"/>
      <c r="PIO135" s="548"/>
      <c r="PIP135" s="547"/>
      <c r="PIQ135" s="547"/>
      <c r="PIR135" s="547"/>
      <c r="PIS135" s="547"/>
      <c r="PIT135" s="548"/>
      <c r="PIU135" s="547"/>
      <c r="PIV135" s="547"/>
      <c r="PIW135" s="547"/>
      <c r="PIX135" s="547"/>
      <c r="PIY135" s="548"/>
      <c r="PIZ135" s="547"/>
      <c r="PJA135" s="547"/>
      <c r="PJB135" s="547"/>
      <c r="PJC135" s="549"/>
      <c r="PJD135" s="548"/>
      <c r="PJE135" s="549"/>
      <c r="PJF135" s="549"/>
      <c r="PJG135" s="549"/>
      <c r="PJH135" s="549"/>
      <c r="PJI135" s="548"/>
      <c r="PJJ135" s="548"/>
      <c r="PJK135" s="548"/>
      <c r="PJL135" s="548"/>
      <c r="PJM135" s="8"/>
      <c r="PJN135" s="8"/>
      <c r="PJO135" s="503"/>
      <c r="PJP135" s="8"/>
      <c r="PJQ135" s="8"/>
      <c r="PJR135" s="547"/>
      <c r="PJS135" s="547"/>
      <c r="PJT135" s="547"/>
      <c r="PJU135" s="547"/>
      <c r="PJV135" s="548"/>
      <c r="PJW135" s="547"/>
      <c r="PJX135" s="547"/>
      <c r="PJY135" s="547"/>
      <c r="PJZ135" s="547"/>
      <c r="PKA135" s="548"/>
      <c r="PKB135" s="547"/>
      <c r="PKC135" s="547"/>
      <c r="PKD135" s="547"/>
      <c r="PKE135" s="547"/>
      <c r="PKF135" s="548"/>
      <c r="PKG135" s="547"/>
      <c r="PKH135" s="547"/>
      <c r="PKI135" s="547"/>
      <c r="PKJ135" s="549"/>
      <c r="PKK135" s="548"/>
      <c r="PKL135" s="549"/>
      <c r="PKM135" s="549"/>
      <c r="PKN135" s="549"/>
      <c r="PKO135" s="549"/>
      <c r="PKP135" s="548"/>
      <c r="PKQ135" s="548"/>
      <c r="PKR135" s="548"/>
      <c r="PKS135" s="548"/>
      <c r="PKT135" s="8"/>
      <c r="PKU135" s="8"/>
      <c r="PKV135" s="503"/>
      <c r="PKW135" s="8"/>
      <c r="PKX135" s="8"/>
      <c r="PKY135" s="547"/>
      <c r="PKZ135" s="547"/>
      <c r="PLA135" s="547"/>
      <c r="PLB135" s="547"/>
      <c r="PLC135" s="548"/>
      <c r="PLD135" s="547"/>
      <c r="PLE135" s="547"/>
      <c r="PLF135" s="547"/>
      <c r="PLG135" s="547"/>
      <c r="PLH135" s="548"/>
      <c r="PLI135" s="547"/>
      <c r="PLJ135" s="547"/>
      <c r="PLK135" s="547"/>
      <c r="PLL135" s="547"/>
      <c r="PLM135" s="548"/>
      <c r="PLN135" s="547"/>
      <c r="PLO135" s="547"/>
      <c r="PLP135" s="547"/>
      <c r="PLQ135" s="549"/>
      <c r="PLR135" s="548"/>
      <c r="PLS135" s="549"/>
      <c r="PLT135" s="549"/>
      <c r="PLU135" s="549"/>
      <c r="PLV135" s="549"/>
      <c r="PLW135" s="548"/>
      <c r="PLX135" s="548"/>
      <c r="PLY135" s="548"/>
      <c r="PLZ135" s="548"/>
      <c r="PMA135" s="8"/>
      <c r="PMB135" s="8"/>
      <c r="PMC135" s="503"/>
      <c r="PMD135" s="8"/>
      <c r="PME135" s="8"/>
      <c r="PMF135" s="547"/>
      <c r="PMG135" s="547"/>
      <c r="PMH135" s="547"/>
      <c r="PMI135" s="547"/>
      <c r="PMJ135" s="548"/>
      <c r="PMK135" s="547"/>
      <c r="PML135" s="547"/>
      <c r="PMM135" s="547"/>
      <c r="PMN135" s="547"/>
      <c r="PMO135" s="548"/>
      <c r="PMP135" s="547"/>
      <c r="PMQ135" s="547"/>
      <c r="PMR135" s="547"/>
      <c r="PMS135" s="547"/>
      <c r="PMT135" s="548"/>
      <c r="PMU135" s="547"/>
      <c r="PMV135" s="547"/>
      <c r="PMW135" s="547"/>
      <c r="PMX135" s="549"/>
      <c r="PMY135" s="548"/>
      <c r="PMZ135" s="549"/>
      <c r="PNA135" s="549"/>
      <c r="PNB135" s="549"/>
      <c r="PNC135" s="549"/>
      <c r="PND135" s="548"/>
      <c r="PNE135" s="548"/>
      <c r="PNF135" s="548"/>
      <c r="PNG135" s="548"/>
      <c r="PNH135" s="8"/>
      <c r="PNI135" s="8"/>
      <c r="PNJ135" s="503"/>
      <c r="PNK135" s="8"/>
      <c r="PNL135" s="8"/>
      <c r="PNM135" s="547"/>
      <c r="PNN135" s="547"/>
      <c r="PNO135" s="547"/>
      <c r="PNP135" s="547"/>
      <c r="PNQ135" s="548"/>
      <c r="PNR135" s="547"/>
      <c r="PNS135" s="547"/>
      <c r="PNT135" s="547"/>
      <c r="PNU135" s="547"/>
      <c r="PNV135" s="548"/>
      <c r="PNW135" s="547"/>
      <c r="PNX135" s="547"/>
      <c r="PNY135" s="547"/>
      <c r="PNZ135" s="547"/>
      <c r="POA135" s="548"/>
      <c r="POB135" s="547"/>
      <c r="POC135" s="547"/>
      <c r="POD135" s="547"/>
      <c r="POE135" s="549"/>
      <c r="POF135" s="548"/>
      <c r="POG135" s="549"/>
      <c r="POH135" s="549"/>
      <c r="POI135" s="549"/>
      <c r="POJ135" s="549"/>
      <c r="POK135" s="548"/>
      <c r="POL135" s="548"/>
      <c r="POM135" s="548"/>
      <c r="PON135" s="548"/>
      <c r="POO135" s="8"/>
      <c r="POP135" s="8"/>
      <c r="POQ135" s="503"/>
      <c r="POR135" s="8"/>
      <c r="POS135" s="8"/>
      <c r="POT135" s="547"/>
      <c r="POU135" s="547"/>
      <c r="POV135" s="547"/>
      <c r="POW135" s="547"/>
      <c r="POX135" s="548"/>
      <c r="POY135" s="547"/>
      <c r="POZ135" s="547"/>
      <c r="PPA135" s="547"/>
      <c r="PPB135" s="547"/>
      <c r="PPC135" s="548"/>
      <c r="PPD135" s="547"/>
      <c r="PPE135" s="547"/>
      <c r="PPF135" s="547"/>
      <c r="PPG135" s="547"/>
      <c r="PPH135" s="548"/>
      <c r="PPI135" s="547"/>
      <c r="PPJ135" s="547"/>
      <c r="PPK135" s="547"/>
      <c r="PPL135" s="549"/>
      <c r="PPM135" s="548"/>
      <c r="PPN135" s="549"/>
      <c r="PPO135" s="549"/>
      <c r="PPP135" s="549"/>
      <c r="PPQ135" s="549"/>
      <c r="PPR135" s="548"/>
      <c r="PPS135" s="548"/>
      <c r="PPT135" s="548"/>
      <c r="PPU135" s="548"/>
      <c r="PPV135" s="8"/>
      <c r="PPW135" s="8"/>
      <c r="PPX135" s="503"/>
      <c r="PPY135" s="8"/>
      <c r="PPZ135" s="8"/>
      <c r="PQA135" s="547"/>
      <c r="PQB135" s="547"/>
      <c r="PQC135" s="547"/>
      <c r="PQD135" s="547"/>
      <c r="PQE135" s="548"/>
      <c r="PQF135" s="547"/>
      <c r="PQG135" s="547"/>
      <c r="PQH135" s="547"/>
      <c r="PQI135" s="547"/>
      <c r="PQJ135" s="548"/>
      <c r="PQK135" s="547"/>
      <c r="PQL135" s="547"/>
      <c r="PQM135" s="547"/>
      <c r="PQN135" s="547"/>
      <c r="PQO135" s="548"/>
      <c r="PQP135" s="547"/>
      <c r="PQQ135" s="547"/>
      <c r="PQR135" s="547"/>
      <c r="PQS135" s="549"/>
      <c r="PQT135" s="548"/>
      <c r="PQU135" s="549"/>
      <c r="PQV135" s="549"/>
      <c r="PQW135" s="549"/>
      <c r="PQX135" s="549"/>
      <c r="PQY135" s="548"/>
      <c r="PQZ135" s="548"/>
      <c r="PRA135" s="548"/>
      <c r="PRB135" s="548"/>
      <c r="PRC135" s="8"/>
      <c r="PRD135" s="8"/>
      <c r="PRE135" s="503"/>
      <c r="PRF135" s="8"/>
      <c r="PRG135" s="8"/>
      <c r="PRH135" s="547"/>
      <c r="PRI135" s="547"/>
      <c r="PRJ135" s="547"/>
      <c r="PRK135" s="547"/>
      <c r="PRL135" s="548"/>
      <c r="PRM135" s="547"/>
      <c r="PRN135" s="547"/>
      <c r="PRO135" s="547"/>
      <c r="PRP135" s="547"/>
      <c r="PRQ135" s="548"/>
      <c r="PRR135" s="547"/>
      <c r="PRS135" s="547"/>
      <c r="PRT135" s="547"/>
      <c r="PRU135" s="547"/>
      <c r="PRV135" s="548"/>
      <c r="PRW135" s="547"/>
      <c r="PRX135" s="547"/>
      <c r="PRY135" s="547"/>
      <c r="PRZ135" s="549"/>
      <c r="PSA135" s="548"/>
      <c r="PSB135" s="549"/>
      <c r="PSC135" s="549"/>
      <c r="PSD135" s="549"/>
      <c r="PSE135" s="549"/>
      <c r="PSF135" s="548"/>
      <c r="PSG135" s="548"/>
      <c r="PSH135" s="548"/>
      <c r="PSI135" s="548"/>
      <c r="PSJ135" s="8"/>
      <c r="PSK135" s="8"/>
      <c r="PSL135" s="503"/>
      <c r="PSM135" s="8"/>
      <c r="PSN135" s="8"/>
      <c r="PSO135" s="547"/>
      <c r="PSP135" s="547"/>
      <c r="PSQ135" s="547"/>
      <c r="PSR135" s="547"/>
      <c r="PSS135" s="548"/>
      <c r="PST135" s="547"/>
      <c r="PSU135" s="547"/>
      <c r="PSV135" s="547"/>
      <c r="PSW135" s="547"/>
      <c r="PSX135" s="548"/>
      <c r="PSY135" s="547"/>
      <c r="PSZ135" s="547"/>
      <c r="PTA135" s="547"/>
      <c r="PTB135" s="547"/>
      <c r="PTC135" s="548"/>
      <c r="PTD135" s="547"/>
      <c r="PTE135" s="547"/>
      <c r="PTF135" s="547"/>
      <c r="PTG135" s="549"/>
      <c r="PTH135" s="548"/>
      <c r="PTI135" s="549"/>
      <c r="PTJ135" s="549"/>
      <c r="PTK135" s="549"/>
      <c r="PTL135" s="549"/>
      <c r="PTM135" s="548"/>
      <c r="PTN135" s="548"/>
      <c r="PTO135" s="548"/>
      <c r="PTP135" s="548"/>
      <c r="PTQ135" s="8"/>
      <c r="PTR135" s="8"/>
      <c r="PTS135" s="503"/>
      <c r="PTT135" s="8"/>
      <c r="PTU135" s="8"/>
      <c r="PTV135" s="547"/>
      <c r="PTW135" s="547"/>
      <c r="PTX135" s="547"/>
      <c r="PTY135" s="547"/>
      <c r="PTZ135" s="548"/>
      <c r="PUA135" s="547"/>
      <c r="PUB135" s="547"/>
      <c r="PUC135" s="547"/>
      <c r="PUD135" s="547"/>
      <c r="PUE135" s="548"/>
      <c r="PUF135" s="547"/>
      <c r="PUG135" s="547"/>
      <c r="PUH135" s="547"/>
      <c r="PUI135" s="547"/>
      <c r="PUJ135" s="548"/>
      <c r="PUK135" s="547"/>
      <c r="PUL135" s="547"/>
      <c r="PUM135" s="547"/>
      <c r="PUN135" s="549"/>
      <c r="PUO135" s="548"/>
      <c r="PUP135" s="549"/>
      <c r="PUQ135" s="549"/>
      <c r="PUR135" s="549"/>
      <c r="PUS135" s="549"/>
      <c r="PUT135" s="548"/>
      <c r="PUU135" s="548"/>
      <c r="PUV135" s="548"/>
      <c r="PUW135" s="548"/>
      <c r="PUX135" s="8"/>
      <c r="PUY135" s="8"/>
      <c r="PUZ135" s="503"/>
      <c r="PVA135" s="8"/>
      <c r="PVB135" s="8"/>
      <c r="PVC135" s="547"/>
      <c r="PVD135" s="547"/>
      <c r="PVE135" s="547"/>
      <c r="PVF135" s="547"/>
      <c r="PVG135" s="548"/>
      <c r="PVH135" s="547"/>
      <c r="PVI135" s="547"/>
      <c r="PVJ135" s="547"/>
      <c r="PVK135" s="547"/>
      <c r="PVL135" s="548"/>
      <c r="PVM135" s="547"/>
      <c r="PVN135" s="547"/>
      <c r="PVO135" s="547"/>
      <c r="PVP135" s="547"/>
      <c r="PVQ135" s="548"/>
      <c r="PVR135" s="547"/>
      <c r="PVS135" s="547"/>
      <c r="PVT135" s="547"/>
      <c r="PVU135" s="549"/>
      <c r="PVV135" s="548"/>
      <c r="PVW135" s="549"/>
      <c r="PVX135" s="549"/>
      <c r="PVY135" s="549"/>
      <c r="PVZ135" s="549"/>
      <c r="PWA135" s="548"/>
      <c r="PWB135" s="548"/>
      <c r="PWC135" s="548"/>
      <c r="PWD135" s="548"/>
      <c r="PWE135" s="8"/>
      <c r="PWF135" s="8"/>
      <c r="PWG135" s="503"/>
      <c r="PWH135" s="8"/>
      <c r="PWI135" s="8"/>
      <c r="PWJ135" s="547"/>
      <c r="PWK135" s="547"/>
      <c r="PWL135" s="547"/>
      <c r="PWM135" s="547"/>
      <c r="PWN135" s="548"/>
      <c r="PWO135" s="547"/>
      <c r="PWP135" s="547"/>
      <c r="PWQ135" s="547"/>
      <c r="PWR135" s="547"/>
      <c r="PWS135" s="548"/>
      <c r="PWT135" s="547"/>
      <c r="PWU135" s="547"/>
      <c r="PWV135" s="547"/>
      <c r="PWW135" s="547"/>
      <c r="PWX135" s="548"/>
      <c r="PWY135" s="547"/>
      <c r="PWZ135" s="547"/>
      <c r="PXA135" s="547"/>
      <c r="PXB135" s="549"/>
      <c r="PXC135" s="548"/>
      <c r="PXD135" s="549"/>
      <c r="PXE135" s="549"/>
      <c r="PXF135" s="549"/>
      <c r="PXG135" s="549"/>
      <c r="PXH135" s="548"/>
      <c r="PXI135" s="548"/>
      <c r="PXJ135" s="548"/>
      <c r="PXK135" s="548"/>
      <c r="PXL135" s="8"/>
      <c r="PXM135" s="8"/>
      <c r="PXN135" s="503"/>
      <c r="PXO135" s="8"/>
      <c r="PXP135" s="8"/>
      <c r="PXQ135" s="547"/>
      <c r="PXR135" s="547"/>
      <c r="PXS135" s="547"/>
      <c r="PXT135" s="547"/>
      <c r="PXU135" s="548"/>
      <c r="PXV135" s="547"/>
      <c r="PXW135" s="547"/>
      <c r="PXX135" s="547"/>
      <c r="PXY135" s="547"/>
      <c r="PXZ135" s="548"/>
      <c r="PYA135" s="547"/>
      <c r="PYB135" s="547"/>
      <c r="PYC135" s="547"/>
      <c r="PYD135" s="547"/>
      <c r="PYE135" s="548"/>
      <c r="PYF135" s="547"/>
      <c r="PYG135" s="547"/>
      <c r="PYH135" s="547"/>
      <c r="PYI135" s="549"/>
      <c r="PYJ135" s="548"/>
      <c r="PYK135" s="549"/>
      <c r="PYL135" s="549"/>
      <c r="PYM135" s="549"/>
      <c r="PYN135" s="549"/>
      <c r="PYO135" s="548"/>
      <c r="PYP135" s="548"/>
      <c r="PYQ135" s="548"/>
      <c r="PYR135" s="548"/>
      <c r="PYS135" s="8"/>
      <c r="PYT135" s="8"/>
      <c r="PYU135" s="503"/>
      <c r="PYV135" s="8"/>
      <c r="PYW135" s="8"/>
      <c r="PYX135" s="547"/>
      <c r="PYY135" s="547"/>
      <c r="PYZ135" s="547"/>
      <c r="PZA135" s="547"/>
      <c r="PZB135" s="548"/>
      <c r="PZC135" s="547"/>
      <c r="PZD135" s="547"/>
      <c r="PZE135" s="547"/>
      <c r="PZF135" s="547"/>
      <c r="PZG135" s="548"/>
      <c r="PZH135" s="547"/>
      <c r="PZI135" s="547"/>
      <c r="PZJ135" s="547"/>
      <c r="PZK135" s="547"/>
      <c r="PZL135" s="548"/>
      <c r="PZM135" s="547"/>
      <c r="PZN135" s="547"/>
      <c r="PZO135" s="547"/>
      <c r="PZP135" s="549"/>
      <c r="PZQ135" s="548"/>
      <c r="PZR135" s="549"/>
      <c r="PZS135" s="549"/>
      <c r="PZT135" s="549"/>
      <c r="PZU135" s="549"/>
      <c r="PZV135" s="548"/>
      <c r="PZW135" s="548"/>
      <c r="PZX135" s="548"/>
      <c r="PZY135" s="548"/>
      <c r="PZZ135" s="8"/>
      <c r="QAA135" s="8"/>
      <c r="QAB135" s="503"/>
      <c r="QAC135" s="8"/>
      <c r="QAD135" s="8"/>
      <c r="QAE135" s="547"/>
      <c r="QAF135" s="547"/>
      <c r="QAG135" s="547"/>
      <c r="QAH135" s="547"/>
      <c r="QAI135" s="548"/>
      <c r="QAJ135" s="547"/>
      <c r="QAK135" s="547"/>
      <c r="QAL135" s="547"/>
      <c r="QAM135" s="547"/>
      <c r="QAN135" s="548"/>
      <c r="QAO135" s="547"/>
      <c r="QAP135" s="547"/>
      <c r="QAQ135" s="547"/>
      <c r="QAR135" s="547"/>
      <c r="QAS135" s="548"/>
      <c r="QAT135" s="547"/>
      <c r="QAU135" s="547"/>
      <c r="QAV135" s="547"/>
      <c r="QAW135" s="549"/>
      <c r="QAX135" s="548"/>
      <c r="QAY135" s="549"/>
      <c r="QAZ135" s="549"/>
      <c r="QBA135" s="549"/>
      <c r="QBB135" s="549"/>
      <c r="QBC135" s="548"/>
      <c r="QBD135" s="548"/>
      <c r="QBE135" s="548"/>
      <c r="QBF135" s="548"/>
      <c r="QBG135" s="8"/>
      <c r="QBH135" s="8"/>
      <c r="QBI135" s="503"/>
      <c r="QBJ135" s="8"/>
      <c r="QBK135" s="8"/>
      <c r="QBL135" s="547"/>
      <c r="QBM135" s="547"/>
      <c r="QBN135" s="547"/>
      <c r="QBO135" s="547"/>
      <c r="QBP135" s="548"/>
      <c r="QBQ135" s="547"/>
      <c r="QBR135" s="547"/>
      <c r="QBS135" s="547"/>
      <c r="QBT135" s="547"/>
      <c r="QBU135" s="548"/>
      <c r="QBV135" s="547"/>
      <c r="QBW135" s="547"/>
      <c r="QBX135" s="547"/>
      <c r="QBY135" s="547"/>
      <c r="QBZ135" s="548"/>
      <c r="QCA135" s="547"/>
      <c r="QCB135" s="547"/>
      <c r="QCC135" s="547"/>
      <c r="QCD135" s="549"/>
      <c r="QCE135" s="548"/>
      <c r="QCF135" s="549"/>
      <c r="QCG135" s="549"/>
      <c r="QCH135" s="549"/>
      <c r="QCI135" s="549"/>
      <c r="QCJ135" s="548"/>
      <c r="QCK135" s="548"/>
      <c r="QCL135" s="548"/>
      <c r="QCM135" s="548"/>
      <c r="QCN135" s="8"/>
      <c r="QCO135" s="8"/>
      <c r="QCP135" s="503"/>
      <c r="QCQ135" s="8"/>
      <c r="QCR135" s="8"/>
      <c r="QCS135" s="547"/>
      <c r="QCT135" s="547"/>
      <c r="QCU135" s="547"/>
      <c r="QCV135" s="547"/>
      <c r="QCW135" s="548"/>
      <c r="QCX135" s="547"/>
      <c r="QCY135" s="547"/>
      <c r="QCZ135" s="547"/>
      <c r="QDA135" s="547"/>
      <c r="QDB135" s="548"/>
      <c r="QDC135" s="547"/>
      <c r="QDD135" s="547"/>
      <c r="QDE135" s="547"/>
      <c r="QDF135" s="547"/>
      <c r="QDG135" s="548"/>
      <c r="QDH135" s="547"/>
      <c r="QDI135" s="547"/>
      <c r="QDJ135" s="547"/>
      <c r="QDK135" s="549"/>
      <c r="QDL135" s="548"/>
      <c r="QDM135" s="549"/>
      <c r="QDN135" s="549"/>
      <c r="QDO135" s="549"/>
      <c r="QDP135" s="549"/>
      <c r="QDQ135" s="548"/>
      <c r="QDR135" s="548"/>
      <c r="QDS135" s="548"/>
      <c r="QDT135" s="548"/>
      <c r="QDU135" s="8"/>
      <c r="QDV135" s="8"/>
      <c r="QDW135" s="503"/>
      <c r="QDX135" s="8"/>
      <c r="QDY135" s="8"/>
      <c r="QDZ135" s="547"/>
      <c r="QEA135" s="547"/>
      <c r="QEB135" s="547"/>
      <c r="QEC135" s="547"/>
      <c r="QED135" s="548"/>
      <c r="QEE135" s="547"/>
      <c r="QEF135" s="547"/>
      <c r="QEG135" s="547"/>
      <c r="QEH135" s="547"/>
      <c r="QEI135" s="548"/>
      <c r="QEJ135" s="547"/>
      <c r="QEK135" s="547"/>
      <c r="QEL135" s="547"/>
      <c r="QEM135" s="547"/>
      <c r="QEN135" s="548"/>
      <c r="QEO135" s="547"/>
      <c r="QEP135" s="547"/>
      <c r="QEQ135" s="547"/>
      <c r="QER135" s="549"/>
      <c r="QES135" s="548"/>
      <c r="QET135" s="549"/>
      <c r="QEU135" s="549"/>
      <c r="QEV135" s="549"/>
      <c r="QEW135" s="549"/>
      <c r="QEX135" s="548"/>
      <c r="QEY135" s="548"/>
      <c r="QEZ135" s="548"/>
      <c r="QFA135" s="548"/>
      <c r="QFB135" s="8"/>
      <c r="QFC135" s="8"/>
      <c r="QFD135" s="503"/>
      <c r="QFE135" s="8"/>
      <c r="QFF135" s="8"/>
      <c r="QFG135" s="547"/>
      <c r="QFH135" s="547"/>
      <c r="QFI135" s="547"/>
      <c r="QFJ135" s="547"/>
      <c r="QFK135" s="548"/>
      <c r="QFL135" s="547"/>
      <c r="QFM135" s="547"/>
      <c r="QFN135" s="547"/>
      <c r="QFO135" s="547"/>
      <c r="QFP135" s="548"/>
      <c r="QFQ135" s="547"/>
      <c r="QFR135" s="547"/>
      <c r="QFS135" s="547"/>
      <c r="QFT135" s="547"/>
      <c r="QFU135" s="548"/>
      <c r="QFV135" s="547"/>
      <c r="QFW135" s="547"/>
      <c r="QFX135" s="547"/>
      <c r="QFY135" s="549"/>
      <c r="QFZ135" s="548"/>
      <c r="QGA135" s="549"/>
      <c r="QGB135" s="549"/>
      <c r="QGC135" s="549"/>
      <c r="QGD135" s="549"/>
      <c r="QGE135" s="548"/>
      <c r="QGF135" s="548"/>
      <c r="QGG135" s="548"/>
      <c r="QGH135" s="548"/>
      <c r="QGI135" s="8"/>
      <c r="QGJ135" s="8"/>
      <c r="QGK135" s="503"/>
      <c r="QGL135" s="8"/>
      <c r="QGM135" s="8"/>
      <c r="QGN135" s="547"/>
      <c r="QGO135" s="547"/>
      <c r="QGP135" s="547"/>
      <c r="QGQ135" s="547"/>
      <c r="QGR135" s="548"/>
      <c r="QGS135" s="547"/>
      <c r="QGT135" s="547"/>
      <c r="QGU135" s="547"/>
      <c r="QGV135" s="547"/>
      <c r="QGW135" s="548"/>
      <c r="QGX135" s="547"/>
      <c r="QGY135" s="547"/>
      <c r="QGZ135" s="547"/>
      <c r="QHA135" s="547"/>
      <c r="QHB135" s="548"/>
      <c r="QHC135" s="547"/>
      <c r="QHD135" s="547"/>
      <c r="QHE135" s="547"/>
      <c r="QHF135" s="549"/>
      <c r="QHG135" s="548"/>
      <c r="QHH135" s="549"/>
      <c r="QHI135" s="549"/>
      <c r="QHJ135" s="549"/>
      <c r="QHK135" s="549"/>
      <c r="QHL135" s="548"/>
      <c r="QHM135" s="548"/>
      <c r="QHN135" s="548"/>
      <c r="QHO135" s="548"/>
      <c r="QHP135" s="8"/>
      <c r="QHQ135" s="8"/>
      <c r="QHR135" s="503"/>
      <c r="QHS135" s="8"/>
      <c r="QHT135" s="8"/>
      <c r="QHU135" s="547"/>
      <c r="QHV135" s="547"/>
      <c r="QHW135" s="547"/>
      <c r="QHX135" s="547"/>
      <c r="QHY135" s="548"/>
      <c r="QHZ135" s="547"/>
      <c r="QIA135" s="547"/>
      <c r="QIB135" s="547"/>
      <c r="QIC135" s="547"/>
      <c r="QID135" s="548"/>
      <c r="QIE135" s="547"/>
      <c r="QIF135" s="547"/>
      <c r="QIG135" s="547"/>
      <c r="QIH135" s="547"/>
      <c r="QII135" s="548"/>
      <c r="QIJ135" s="547"/>
      <c r="QIK135" s="547"/>
      <c r="QIL135" s="547"/>
      <c r="QIM135" s="549"/>
      <c r="QIN135" s="548"/>
      <c r="QIO135" s="549"/>
      <c r="QIP135" s="549"/>
      <c r="QIQ135" s="549"/>
      <c r="QIR135" s="549"/>
      <c r="QIS135" s="548"/>
      <c r="QIT135" s="548"/>
      <c r="QIU135" s="548"/>
      <c r="QIV135" s="548"/>
      <c r="QIW135" s="8"/>
      <c r="QIX135" s="8"/>
      <c r="QIY135" s="503"/>
      <c r="QIZ135" s="8"/>
      <c r="QJA135" s="8"/>
      <c r="QJB135" s="547"/>
      <c r="QJC135" s="547"/>
      <c r="QJD135" s="547"/>
      <c r="QJE135" s="547"/>
      <c r="QJF135" s="548"/>
      <c r="QJG135" s="547"/>
      <c r="QJH135" s="547"/>
      <c r="QJI135" s="547"/>
      <c r="QJJ135" s="547"/>
      <c r="QJK135" s="548"/>
      <c r="QJL135" s="547"/>
      <c r="QJM135" s="547"/>
      <c r="QJN135" s="547"/>
      <c r="QJO135" s="547"/>
      <c r="QJP135" s="548"/>
      <c r="QJQ135" s="547"/>
      <c r="QJR135" s="547"/>
      <c r="QJS135" s="547"/>
      <c r="QJT135" s="549"/>
      <c r="QJU135" s="548"/>
      <c r="QJV135" s="549"/>
      <c r="QJW135" s="549"/>
      <c r="QJX135" s="549"/>
      <c r="QJY135" s="549"/>
      <c r="QJZ135" s="548"/>
      <c r="QKA135" s="548"/>
      <c r="QKB135" s="548"/>
      <c r="QKC135" s="548"/>
      <c r="QKD135" s="8"/>
      <c r="QKE135" s="8"/>
      <c r="QKF135" s="503"/>
      <c r="QKG135" s="8"/>
      <c r="QKH135" s="8"/>
      <c r="QKI135" s="547"/>
      <c r="QKJ135" s="547"/>
      <c r="QKK135" s="547"/>
      <c r="QKL135" s="547"/>
      <c r="QKM135" s="548"/>
      <c r="QKN135" s="547"/>
      <c r="QKO135" s="547"/>
      <c r="QKP135" s="547"/>
      <c r="QKQ135" s="547"/>
      <c r="QKR135" s="548"/>
      <c r="QKS135" s="547"/>
      <c r="QKT135" s="547"/>
      <c r="QKU135" s="547"/>
      <c r="QKV135" s="547"/>
      <c r="QKW135" s="548"/>
      <c r="QKX135" s="547"/>
      <c r="QKY135" s="547"/>
      <c r="QKZ135" s="547"/>
      <c r="QLA135" s="549"/>
      <c r="QLB135" s="548"/>
      <c r="QLC135" s="549"/>
      <c r="QLD135" s="549"/>
      <c r="QLE135" s="549"/>
      <c r="QLF135" s="549"/>
      <c r="QLG135" s="548"/>
      <c r="QLH135" s="548"/>
      <c r="QLI135" s="548"/>
      <c r="QLJ135" s="548"/>
      <c r="QLK135" s="8"/>
      <c r="QLL135" s="8"/>
      <c r="QLM135" s="503"/>
      <c r="QLN135" s="8"/>
      <c r="QLO135" s="8"/>
      <c r="QLP135" s="547"/>
      <c r="QLQ135" s="547"/>
      <c r="QLR135" s="547"/>
      <c r="QLS135" s="547"/>
      <c r="QLT135" s="548"/>
      <c r="QLU135" s="547"/>
      <c r="QLV135" s="547"/>
      <c r="QLW135" s="547"/>
      <c r="QLX135" s="547"/>
      <c r="QLY135" s="548"/>
      <c r="QLZ135" s="547"/>
      <c r="QMA135" s="547"/>
      <c r="QMB135" s="547"/>
      <c r="QMC135" s="547"/>
      <c r="QMD135" s="548"/>
      <c r="QME135" s="547"/>
      <c r="QMF135" s="547"/>
      <c r="QMG135" s="547"/>
      <c r="QMH135" s="549"/>
      <c r="QMI135" s="548"/>
      <c r="QMJ135" s="549"/>
      <c r="QMK135" s="549"/>
      <c r="QML135" s="549"/>
      <c r="QMM135" s="549"/>
      <c r="QMN135" s="548"/>
      <c r="QMO135" s="548"/>
      <c r="QMP135" s="548"/>
      <c r="QMQ135" s="548"/>
      <c r="QMR135" s="8"/>
      <c r="QMS135" s="8"/>
      <c r="QMT135" s="503"/>
      <c r="QMU135" s="8"/>
      <c r="QMV135" s="8"/>
      <c r="QMW135" s="547"/>
      <c r="QMX135" s="547"/>
      <c r="QMY135" s="547"/>
      <c r="QMZ135" s="547"/>
      <c r="QNA135" s="548"/>
      <c r="QNB135" s="547"/>
      <c r="QNC135" s="547"/>
      <c r="QND135" s="547"/>
      <c r="QNE135" s="547"/>
      <c r="QNF135" s="548"/>
      <c r="QNG135" s="547"/>
      <c r="QNH135" s="547"/>
      <c r="QNI135" s="547"/>
      <c r="QNJ135" s="547"/>
      <c r="QNK135" s="548"/>
      <c r="QNL135" s="547"/>
      <c r="QNM135" s="547"/>
      <c r="QNN135" s="547"/>
      <c r="QNO135" s="549"/>
      <c r="QNP135" s="548"/>
      <c r="QNQ135" s="549"/>
      <c r="QNR135" s="549"/>
      <c r="QNS135" s="549"/>
      <c r="QNT135" s="549"/>
      <c r="QNU135" s="548"/>
      <c r="QNV135" s="548"/>
      <c r="QNW135" s="548"/>
      <c r="QNX135" s="548"/>
      <c r="QNY135" s="8"/>
      <c r="QNZ135" s="8"/>
      <c r="QOA135" s="503"/>
      <c r="QOB135" s="8"/>
      <c r="QOC135" s="8"/>
      <c r="QOD135" s="547"/>
      <c r="QOE135" s="547"/>
      <c r="QOF135" s="547"/>
      <c r="QOG135" s="547"/>
      <c r="QOH135" s="548"/>
      <c r="QOI135" s="547"/>
      <c r="QOJ135" s="547"/>
      <c r="QOK135" s="547"/>
      <c r="QOL135" s="547"/>
      <c r="QOM135" s="548"/>
      <c r="QON135" s="547"/>
      <c r="QOO135" s="547"/>
      <c r="QOP135" s="547"/>
      <c r="QOQ135" s="547"/>
      <c r="QOR135" s="548"/>
      <c r="QOS135" s="547"/>
      <c r="QOT135" s="547"/>
      <c r="QOU135" s="547"/>
      <c r="QOV135" s="549"/>
      <c r="QOW135" s="548"/>
      <c r="QOX135" s="549"/>
      <c r="QOY135" s="549"/>
      <c r="QOZ135" s="549"/>
      <c r="QPA135" s="549"/>
      <c r="QPB135" s="548"/>
      <c r="QPC135" s="548"/>
      <c r="QPD135" s="548"/>
      <c r="QPE135" s="548"/>
      <c r="QPF135" s="8"/>
      <c r="QPG135" s="8"/>
      <c r="QPH135" s="503"/>
      <c r="QPI135" s="8"/>
      <c r="QPJ135" s="8"/>
      <c r="QPK135" s="547"/>
      <c r="QPL135" s="547"/>
      <c r="QPM135" s="547"/>
      <c r="QPN135" s="547"/>
      <c r="QPO135" s="548"/>
      <c r="QPP135" s="547"/>
      <c r="QPQ135" s="547"/>
      <c r="QPR135" s="547"/>
      <c r="QPS135" s="547"/>
      <c r="QPT135" s="548"/>
      <c r="QPU135" s="547"/>
      <c r="QPV135" s="547"/>
      <c r="QPW135" s="547"/>
      <c r="QPX135" s="547"/>
      <c r="QPY135" s="548"/>
      <c r="QPZ135" s="547"/>
      <c r="QQA135" s="547"/>
      <c r="QQB135" s="547"/>
      <c r="QQC135" s="549"/>
      <c r="QQD135" s="548"/>
      <c r="QQE135" s="549"/>
      <c r="QQF135" s="549"/>
      <c r="QQG135" s="549"/>
      <c r="QQH135" s="549"/>
      <c r="QQI135" s="548"/>
      <c r="QQJ135" s="548"/>
      <c r="QQK135" s="548"/>
      <c r="QQL135" s="548"/>
      <c r="QQM135" s="8"/>
      <c r="QQN135" s="8"/>
      <c r="QQO135" s="503"/>
      <c r="QQP135" s="8"/>
      <c r="QQQ135" s="8"/>
      <c r="QQR135" s="547"/>
      <c r="QQS135" s="547"/>
      <c r="QQT135" s="547"/>
      <c r="QQU135" s="547"/>
      <c r="QQV135" s="548"/>
      <c r="QQW135" s="547"/>
      <c r="QQX135" s="547"/>
      <c r="QQY135" s="547"/>
      <c r="QQZ135" s="547"/>
      <c r="QRA135" s="548"/>
      <c r="QRB135" s="547"/>
      <c r="QRC135" s="547"/>
      <c r="QRD135" s="547"/>
      <c r="QRE135" s="547"/>
      <c r="QRF135" s="548"/>
      <c r="QRG135" s="547"/>
      <c r="QRH135" s="547"/>
      <c r="QRI135" s="547"/>
      <c r="QRJ135" s="549"/>
      <c r="QRK135" s="548"/>
      <c r="QRL135" s="549"/>
      <c r="QRM135" s="549"/>
      <c r="QRN135" s="549"/>
      <c r="QRO135" s="549"/>
      <c r="QRP135" s="548"/>
      <c r="QRQ135" s="548"/>
      <c r="QRR135" s="548"/>
      <c r="QRS135" s="548"/>
      <c r="QRT135" s="8"/>
      <c r="QRU135" s="8"/>
      <c r="QRV135" s="503"/>
      <c r="QRW135" s="8"/>
      <c r="QRX135" s="8"/>
      <c r="QRY135" s="547"/>
      <c r="QRZ135" s="547"/>
      <c r="QSA135" s="547"/>
      <c r="QSB135" s="547"/>
      <c r="QSC135" s="548"/>
      <c r="QSD135" s="547"/>
      <c r="QSE135" s="547"/>
      <c r="QSF135" s="547"/>
      <c r="QSG135" s="547"/>
      <c r="QSH135" s="548"/>
      <c r="QSI135" s="547"/>
      <c r="QSJ135" s="547"/>
      <c r="QSK135" s="547"/>
      <c r="QSL135" s="547"/>
      <c r="QSM135" s="548"/>
      <c r="QSN135" s="547"/>
      <c r="QSO135" s="547"/>
      <c r="QSP135" s="547"/>
      <c r="QSQ135" s="549"/>
      <c r="QSR135" s="548"/>
      <c r="QSS135" s="549"/>
      <c r="QST135" s="549"/>
      <c r="QSU135" s="549"/>
      <c r="QSV135" s="549"/>
      <c r="QSW135" s="548"/>
      <c r="QSX135" s="548"/>
      <c r="QSY135" s="548"/>
      <c r="QSZ135" s="548"/>
      <c r="QTA135" s="8"/>
      <c r="QTB135" s="8"/>
      <c r="QTC135" s="503"/>
      <c r="QTD135" s="8"/>
      <c r="QTE135" s="8"/>
      <c r="QTF135" s="547"/>
      <c r="QTG135" s="547"/>
      <c r="QTH135" s="547"/>
      <c r="QTI135" s="547"/>
      <c r="QTJ135" s="548"/>
      <c r="QTK135" s="547"/>
      <c r="QTL135" s="547"/>
      <c r="QTM135" s="547"/>
      <c r="QTN135" s="547"/>
      <c r="QTO135" s="548"/>
      <c r="QTP135" s="547"/>
      <c r="QTQ135" s="547"/>
      <c r="QTR135" s="547"/>
      <c r="QTS135" s="547"/>
      <c r="QTT135" s="548"/>
      <c r="QTU135" s="547"/>
      <c r="QTV135" s="547"/>
      <c r="QTW135" s="547"/>
      <c r="QTX135" s="549"/>
      <c r="QTY135" s="548"/>
      <c r="QTZ135" s="549"/>
      <c r="QUA135" s="549"/>
      <c r="QUB135" s="549"/>
      <c r="QUC135" s="549"/>
      <c r="QUD135" s="548"/>
      <c r="QUE135" s="548"/>
      <c r="QUF135" s="548"/>
      <c r="QUG135" s="548"/>
      <c r="QUH135" s="8"/>
      <c r="QUI135" s="8"/>
      <c r="QUJ135" s="503"/>
      <c r="QUK135" s="8"/>
      <c r="QUL135" s="8"/>
      <c r="QUM135" s="547"/>
      <c r="QUN135" s="547"/>
      <c r="QUO135" s="547"/>
      <c r="QUP135" s="547"/>
      <c r="QUQ135" s="548"/>
      <c r="QUR135" s="547"/>
      <c r="QUS135" s="547"/>
      <c r="QUT135" s="547"/>
      <c r="QUU135" s="547"/>
      <c r="QUV135" s="548"/>
      <c r="QUW135" s="547"/>
      <c r="QUX135" s="547"/>
      <c r="QUY135" s="547"/>
      <c r="QUZ135" s="547"/>
      <c r="QVA135" s="548"/>
      <c r="QVB135" s="547"/>
      <c r="QVC135" s="547"/>
      <c r="QVD135" s="547"/>
      <c r="QVE135" s="549"/>
      <c r="QVF135" s="548"/>
      <c r="QVG135" s="549"/>
      <c r="QVH135" s="549"/>
      <c r="QVI135" s="549"/>
      <c r="QVJ135" s="549"/>
      <c r="QVK135" s="548"/>
      <c r="QVL135" s="548"/>
      <c r="QVM135" s="548"/>
      <c r="QVN135" s="548"/>
      <c r="QVO135" s="8"/>
      <c r="QVP135" s="8"/>
      <c r="QVQ135" s="503"/>
      <c r="QVR135" s="8"/>
      <c r="QVS135" s="8"/>
      <c r="QVT135" s="547"/>
      <c r="QVU135" s="547"/>
      <c r="QVV135" s="547"/>
      <c r="QVW135" s="547"/>
      <c r="QVX135" s="548"/>
      <c r="QVY135" s="547"/>
      <c r="QVZ135" s="547"/>
      <c r="QWA135" s="547"/>
      <c r="QWB135" s="547"/>
      <c r="QWC135" s="548"/>
      <c r="QWD135" s="547"/>
      <c r="QWE135" s="547"/>
      <c r="QWF135" s="547"/>
      <c r="QWG135" s="547"/>
      <c r="QWH135" s="548"/>
      <c r="QWI135" s="547"/>
      <c r="QWJ135" s="547"/>
      <c r="QWK135" s="547"/>
      <c r="QWL135" s="549"/>
      <c r="QWM135" s="548"/>
      <c r="QWN135" s="549"/>
      <c r="QWO135" s="549"/>
      <c r="QWP135" s="549"/>
      <c r="QWQ135" s="549"/>
      <c r="QWR135" s="548"/>
      <c r="QWS135" s="548"/>
      <c r="QWT135" s="548"/>
      <c r="QWU135" s="548"/>
      <c r="QWV135" s="8"/>
      <c r="QWW135" s="8"/>
      <c r="QWX135" s="503"/>
      <c r="QWY135" s="8"/>
      <c r="QWZ135" s="8"/>
      <c r="QXA135" s="547"/>
      <c r="QXB135" s="547"/>
      <c r="QXC135" s="547"/>
      <c r="QXD135" s="547"/>
      <c r="QXE135" s="548"/>
      <c r="QXF135" s="547"/>
      <c r="QXG135" s="547"/>
      <c r="QXH135" s="547"/>
      <c r="QXI135" s="547"/>
      <c r="QXJ135" s="548"/>
      <c r="QXK135" s="547"/>
      <c r="QXL135" s="547"/>
      <c r="QXM135" s="547"/>
      <c r="QXN135" s="547"/>
      <c r="QXO135" s="548"/>
      <c r="QXP135" s="547"/>
      <c r="QXQ135" s="547"/>
      <c r="QXR135" s="547"/>
      <c r="QXS135" s="549"/>
      <c r="QXT135" s="548"/>
      <c r="QXU135" s="549"/>
      <c r="QXV135" s="549"/>
      <c r="QXW135" s="549"/>
      <c r="QXX135" s="549"/>
      <c r="QXY135" s="548"/>
      <c r="QXZ135" s="548"/>
      <c r="QYA135" s="548"/>
      <c r="QYB135" s="548"/>
      <c r="QYC135" s="8"/>
      <c r="QYD135" s="8"/>
      <c r="QYE135" s="503"/>
      <c r="QYF135" s="8"/>
      <c r="QYG135" s="8"/>
      <c r="QYH135" s="547"/>
      <c r="QYI135" s="547"/>
      <c r="QYJ135" s="547"/>
      <c r="QYK135" s="547"/>
      <c r="QYL135" s="548"/>
      <c r="QYM135" s="547"/>
      <c r="QYN135" s="547"/>
      <c r="QYO135" s="547"/>
      <c r="QYP135" s="547"/>
      <c r="QYQ135" s="548"/>
      <c r="QYR135" s="547"/>
      <c r="QYS135" s="547"/>
      <c r="QYT135" s="547"/>
      <c r="QYU135" s="547"/>
      <c r="QYV135" s="548"/>
      <c r="QYW135" s="547"/>
      <c r="QYX135" s="547"/>
      <c r="QYY135" s="547"/>
      <c r="QYZ135" s="549"/>
      <c r="QZA135" s="548"/>
      <c r="QZB135" s="549"/>
      <c r="QZC135" s="549"/>
      <c r="QZD135" s="549"/>
      <c r="QZE135" s="549"/>
      <c r="QZF135" s="548"/>
      <c r="QZG135" s="548"/>
      <c r="QZH135" s="548"/>
      <c r="QZI135" s="548"/>
      <c r="QZJ135" s="8"/>
      <c r="QZK135" s="8"/>
      <c r="QZL135" s="503"/>
      <c r="QZM135" s="8"/>
      <c r="QZN135" s="8"/>
      <c r="QZO135" s="547"/>
      <c r="QZP135" s="547"/>
      <c r="QZQ135" s="547"/>
      <c r="QZR135" s="547"/>
      <c r="QZS135" s="548"/>
      <c r="QZT135" s="547"/>
      <c r="QZU135" s="547"/>
      <c r="QZV135" s="547"/>
      <c r="QZW135" s="547"/>
      <c r="QZX135" s="548"/>
      <c r="QZY135" s="547"/>
      <c r="QZZ135" s="547"/>
      <c r="RAA135" s="547"/>
      <c r="RAB135" s="547"/>
      <c r="RAC135" s="548"/>
      <c r="RAD135" s="547"/>
      <c r="RAE135" s="547"/>
      <c r="RAF135" s="547"/>
      <c r="RAG135" s="549"/>
      <c r="RAH135" s="548"/>
      <c r="RAI135" s="549"/>
      <c r="RAJ135" s="549"/>
      <c r="RAK135" s="549"/>
      <c r="RAL135" s="549"/>
      <c r="RAM135" s="548"/>
      <c r="RAN135" s="548"/>
      <c r="RAO135" s="548"/>
      <c r="RAP135" s="548"/>
      <c r="RAQ135" s="8"/>
      <c r="RAR135" s="8"/>
      <c r="RAS135" s="503"/>
      <c r="RAT135" s="8"/>
      <c r="RAU135" s="8"/>
      <c r="RAV135" s="547"/>
      <c r="RAW135" s="547"/>
      <c r="RAX135" s="547"/>
      <c r="RAY135" s="547"/>
      <c r="RAZ135" s="548"/>
      <c r="RBA135" s="547"/>
      <c r="RBB135" s="547"/>
      <c r="RBC135" s="547"/>
      <c r="RBD135" s="547"/>
      <c r="RBE135" s="548"/>
      <c r="RBF135" s="547"/>
      <c r="RBG135" s="547"/>
      <c r="RBH135" s="547"/>
      <c r="RBI135" s="547"/>
      <c r="RBJ135" s="548"/>
      <c r="RBK135" s="547"/>
      <c r="RBL135" s="547"/>
      <c r="RBM135" s="547"/>
      <c r="RBN135" s="549"/>
      <c r="RBO135" s="548"/>
      <c r="RBP135" s="549"/>
      <c r="RBQ135" s="549"/>
      <c r="RBR135" s="549"/>
      <c r="RBS135" s="549"/>
      <c r="RBT135" s="548"/>
      <c r="RBU135" s="548"/>
      <c r="RBV135" s="548"/>
      <c r="RBW135" s="548"/>
      <c r="RBX135" s="8"/>
      <c r="RBY135" s="8"/>
      <c r="RBZ135" s="503"/>
      <c r="RCA135" s="8"/>
      <c r="RCB135" s="8"/>
      <c r="RCC135" s="547"/>
      <c r="RCD135" s="547"/>
      <c r="RCE135" s="547"/>
      <c r="RCF135" s="547"/>
      <c r="RCG135" s="548"/>
      <c r="RCH135" s="547"/>
      <c r="RCI135" s="547"/>
      <c r="RCJ135" s="547"/>
      <c r="RCK135" s="547"/>
      <c r="RCL135" s="548"/>
      <c r="RCM135" s="547"/>
      <c r="RCN135" s="547"/>
      <c r="RCO135" s="547"/>
      <c r="RCP135" s="547"/>
      <c r="RCQ135" s="548"/>
      <c r="RCR135" s="547"/>
      <c r="RCS135" s="547"/>
      <c r="RCT135" s="547"/>
      <c r="RCU135" s="549"/>
      <c r="RCV135" s="548"/>
      <c r="RCW135" s="549"/>
      <c r="RCX135" s="549"/>
      <c r="RCY135" s="549"/>
      <c r="RCZ135" s="549"/>
      <c r="RDA135" s="548"/>
      <c r="RDB135" s="548"/>
      <c r="RDC135" s="548"/>
      <c r="RDD135" s="548"/>
      <c r="RDE135" s="8"/>
      <c r="RDF135" s="8"/>
      <c r="RDG135" s="503"/>
      <c r="RDH135" s="8"/>
      <c r="RDI135" s="8"/>
      <c r="RDJ135" s="547"/>
      <c r="RDK135" s="547"/>
      <c r="RDL135" s="547"/>
      <c r="RDM135" s="547"/>
      <c r="RDN135" s="548"/>
      <c r="RDO135" s="547"/>
      <c r="RDP135" s="547"/>
      <c r="RDQ135" s="547"/>
      <c r="RDR135" s="547"/>
      <c r="RDS135" s="548"/>
      <c r="RDT135" s="547"/>
      <c r="RDU135" s="547"/>
      <c r="RDV135" s="547"/>
      <c r="RDW135" s="547"/>
      <c r="RDX135" s="548"/>
      <c r="RDY135" s="547"/>
      <c r="RDZ135" s="547"/>
      <c r="REA135" s="547"/>
      <c r="REB135" s="549"/>
      <c r="REC135" s="548"/>
      <c r="RED135" s="549"/>
      <c r="REE135" s="549"/>
      <c r="REF135" s="549"/>
      <c r="REG135" s="549"/>
      <c r="REH135" s="548"/>
      <c r="REI135" s="548"/>
      <c r="REJ135" s="548"/>
      <c r="REK135" s="548"/>
      <c r="REL135" s="8"/>
      <c r="REM135" s="8"/>
      <c r="REN135" s="503"/>
      <c r="REO135" s="8"/>
      <c r="REP135" s="8"/>
      <c r="REQ135" s="547"/>
      <c r="RER135" s="547"/>
      <c r="RES135" s="547"/>
      <c r="RET135" s="547"/>
      <c r="REU135" s="548"/>
      <c r="REV135" s="547"/>
      <c r="REW135" s="547"/>
      <c r="REX135" s="547"/>
      <c r="REY135" s="547"/>
      <c r="REZ135" s="548"/>
      <c r="RFA135" s="547"/>
      <c r="RFB135" s="547"/>
      <c r="RFC135" s="547"/>
      <c r="RFD135" s="547"/>
      <c r="RFE135" s="548"/>
      <c r="RFF135" s="547"/>
      <c r="RFG135" s="547"/>
      <c r="RFH135" s="547"/>
      <c r="RFI135" s="549"/>
      <c r="RFJ135" s="548"/>
      <c r="RFK135" s="549"/>
      <c r="RFL135" s="549"/>
      <c r="RFM135" s="549"/>
      <c r="RFN135" s="549"/>
      <c r="RFO135" s="548"/>
      <c r="RFP135" s="548"/>
      <c r="RFQ135" s="548"/>
      <c r="RFR135" s="548"/>
      <c r="RFS135" s="8"/>
      <c r="RFT135" s="8"/>
      <c r="RFU135" s="503"/>
      <c r="RFV135" s="8"/>
      <c r="RFW135" s="8"/>
      <c r="RFX135" s="547"/>
      <c r="RFY135" s="547"/>
      <c r="RFZ135" s="547"/>
      <c r="RGA135" s="547"/>
      <c r="RGB135" s="548"/>
      <c r="RGC135" s="547"/>
      <c r="RGD135" s="547"/>
      <c r="RGE135" s="547"/>
      <c r="RGF135" s="547"/>
      <c r="RGG135" s="548"/>
      <c r="RGH135" s="547"/>
      <c r="RGI135" s="547"/>
      <c r="RGJ135" s="547"/>
      <c r="RGK135" s="547"/>
      <c r="RGL135" s="548"/>
      <c r="RGM135" s="547"/>
      <c r="RGN135" s="547"/>
      <c r="RGO135" s="547"/>
      <c r="RGP135" s="549"/>
      <c r="RGQ135" s="548"/>
      <c r="RGR135" s="549"/>
      <c r="RGS135" s="549"/>
      <c r="RGT135" s="549"/>
      <c r="RGU135" s="549"/>
      <c r="RGV135" s="548"/>
      <c r="RGW135" s="548"/>
      <c r="RGX135" s="548"/>
      <c r="RGY135" s="548"/>
      <c r="RGZ135" s="8"/>
      <c r="RHA135" s="8"/>
      <c r="RHB135" s="503"/>
      <c r="RHC135" s="8"/>
      <c r="RHD135" s="8"/>
      <c r="RHE135" s="547"/>
      <c r="RHF135" s="547"/>
      <c r="RHG135" s="547"/>
      <c r="RHH135" s="547"/>
      <c r="RHI135" s="548"/>
      <c r="RHJ135" s="547"/>
      <c r="RHK135" s="547"/>
      <c r="RHL135" s="547"/>
      <c r="RHM135" s="547"/>
      <c r="RHN135" s="548"/>
      <c r="RHO135" s="547"/>
      <c r="RHP135" s="547"/>
      <c r="RHQ135" s="547"/>
      <c r="RHR135" s="547"/>
      <c r="RHS135" s="548"/>
      <c r="RHT135" s="547"/>
      <c r="RHU135" s="547"/>
      <c r="RHV135" s="547"/>
      <c r="RHW135" s="549"/>
      <c r="RHX135" s="548"/>
      <c r="RHY135" s="549"/>
      <c r="RHZ135" s="549"/>
      <c r="RIA135" s="549"/>
      <c r="RIB135" s="549"/>
      <c r="RIC135" s="548"/>
      <c r="RID135" s="548"/>
      <c r="RIE135" s="548"/>
      <c r="RIF135" s="548"/>
      <c r="RIG135" s="8"/>
      <c r="RIH135" s="8"/>
      <c r="RII135" s="503"/>
      <c r="RIJ135" s="8"/>
      <c r="RIK135" s="8"/>
      <c r="RIL135" s="547"/>
      <c r="RIM135" s="547"/>
      <c r="RIN135" s="547"/>
      <c r="RIO135" s="547"/>
      <c r="RIP135" s="548"/>
      <c r="RIQ135" s="547"/>
      <c r="RIR135" s="547"/>
      <c r="RIS135" s="547"/>
      <c r="RIT135" s="547"/>
      <c r="RIU135" s="548"/>
      <c r="RIV135" s="547"/>
      <c r="RIW135" s="547"/>
      <c r="RIX135" s="547"/>
      <c r="RIY135" s="547"/>
      <c r="RIZ135" s="548"/>
      <c r="RJA135" s="547"/>
      <c r="RJB135" s="547"/>
      <c r="RJC135" s="547"/>
      <c r="RJD135" s="549"/>
      <c r="RJE135" s="548"/>
      <c r="RJF135" s="549"/>
      <c r="RJG135" s="549"/>
      <c r="RJH135" s="549"/>
      <c r="RJI135" s="549"/>
      <c r="RJJ135" s="548"/>
      <c r="RJK135" s="548"/>
      <c r="RJL135" s="548"/>
      <c r="RJM135" s="548"/>
      <c r="RJN135" s="8"/>
      <c r="RJO135" s="8"/>
      <c r="RJP135" s="503"/>
      <c r="RJQ135" s="8"/>
      <c r="RJR135" s="8"/>
      <c r="RJS135" s="547"/>
      <c r="RJT135" s="547"/>
      <c r="RJU135" s="547"/>
      <c r="RJV135" s="547"/>
      <c r="RJW135" s="548"/>
      <c r="RJX135" s="547"/>
      <c r="RJY135" s="547"/>
      <c r="RJZ135" s="547"/>
      <c r="RKA135" s="547"/>
      <c r="RKB135" s="548"/>
      <c r="RKC135" s="547"/>
      <c r="RKD135" s="547"/>
      <c r="RKE135" s="547"/>
      <c r="RKF135" s="547"/>
      <c r="RKG135" s="548"/>
      <c r="RKH135" s="547"/>
      <c r="RKI135" s="547"/>
      <c r="RKJ135" s="547"/>
      <c r="RKK135" s="549"/>
      <c r="RKL135" s="548"/>
      <c r="RKM135" s="549"/>
      <c r="RKN135" s="549"/>
      <c r="RKO135" s="549"/>
      <c r="RKP135" s="549"/>
      <c r="RKQ135" s="548"/>
      <c r="RKR135" s="548"/>
      <c r="RKS135" s="548"/>
      <c r="RKT135" s="548"/>
      <c r="RKU135" s="8"/>
      <c r="RKV135" s="8"/>
      <c r="RKW135" s="503"/>
      <c r="RKX135" s="8"/>
      <c r="RKY135" s="8"/>
      <c r="RKZ135" s="547"/>
      <c r="RLA135" s="547"/>
      <c r="RLB135" s="547"/>
      <c r="RLC135" s="547"/>
      <c r="RLD135" s="548"/>
      <c r="RLE135" s="547"/>
      <c r="RLF135" s="547"/>
      <c r="RLG135" s="547"/>
      <c r="RLH135" s="547"/>
      <c r="RLI135" s="548"/>
      <c r="RLJ135" s="547"/>
      <c r="RLK135" s="547"/>
      <c r="RLL135" s="547"/>
      <c r="RLM135" s="547"/>
      <c r="RLN135" s="548"/>
      <c r="RLO135" s="547"/>
      <c r="RLP135" s="547"/>
      <c r="RLQ135" s="547"/>
      <c r="RLR135" s="549"/>
      <c r="RLS135" s="548"/>
      <c r="RLT135" s="549"/>
      <c r="RLU135" s="549"/>
      <c r="RLV135" s="549"/>
      <c r="RLW135" s="549"/>
      <c r="RLX135" s="548"/>
      <c r="RLY135" s="548"/>
      <c r="RLZ135" s="548"/>
      <c r="RMA135" s="548"/>
      <c r="RMB135" s="8"/>
      <c r="RMC135" s="8"/>
      <c r="RMD135" s="503"/>
      <c r="RME135" s="8"/>
      <c r="RMF135" s="8"/>
      <c r="RMG135" s="547"/>
      <c r="RMH135" s="547"/>
      <c r="RMI135" s="547"/>
      <c r="RMJ135" s="547"/>
      <c r="RMK135" s="548"/>
      <c r="RML135" s="547"/>
      <c r="RMM135" s="547"/>
      <c r="RMN135" s="547"/>
      <c r="RMO135" s="547"/>
      <c r="RMP135" s="548"/>
      <c r="RMQ135" s="547"/>
      <c r="RMR135" s="547"/>
      <c r="RMS135" s="547"/>
      <c r="RMT135" s="547"/>
      <c r="RMU135" s="548"/>
      <c r="RMV135" s="547"/>
      <c r="RMW135" s="547"/>
      <c r="RMX135" s="547"/>
      <c r="RMY135" s="549"/>
      <c r="RMZ135" s="548"/>
      <c r="RNA135" s="549"/>
      <c r="RNB135" s="549"/>
      <c r="RNC135" s="549"/>
      <c r="RND135" s="549"/>
      <c r="RNE135" s="548"/>
      <c r="RNF135" s="548"/>
      <c r="RNG135" s="548"/>
      <c r="RNH135" s="548"/>
      <c r="RNI135" s="8"/>
      <c r="RNJ135" s="8"/>
      <c r="RNK135" s="503"/>
      <c r="RNL135" s="8"/>
      <c r="RNM135" s="8"/>
      <c r="RNN135" s="547"/>
      <c r="RNO135" s="547"/>
      <c r="RNP135" s="547"/>
      <c r="RNQ135" s="547"/>
      <c r="RNR135" s="548"/>
      <c r="RNS135" s="547"/>
      <c r="RNT135" s="547"/>
      <c r="RNU135" s="547"/>
      <c r="RNV135" s="547"/>
      <c r="RNW135" s="548"/>
      <c r="RNX135" s="547"/>
      <c r="RNY135" s="547"/>
      <c r="RNZ135" s="547"/>
      <c r="ROA135" s="547"/>
      <c r="ROB135" s="548"/>
      <c r="ROC135" s="547"/>
      <c r="ROD135" s="547"/>
      <c r="ROE135" s="547"/>
      <c r="ROF135" s="549"/>
      <c r="ROG135" s="548"/>
      <c r="ROH135" s="549"/>
      <c r="ROI135" s="549"/>
      <c r="ROJ135" s="549"/>
      <c r="ROK135" s="549"/>
      <c r="ROL135" s="548"/>
      <c r="ROM135" s="548"/>
      <c r="RON135" s="548"/>
      <c r="ROO135" s="548"/>
      <c r="ROP135" s="8"/>
      <c r="ROQ135" s="8"/>
      <c r="ROR135" s="503"/>
      <c r="ROS135" s="8"/>
      <c r="ROT135" s="8"/>
      <c r="ROU135" s="547"/>
      <c r="ROV135" s="547"/>
      <c r="ROW135" s="547"/>
      <c r="ROX135" s="547"/>
      <c r="ROY135" s="548"/>
      <c r="ROZ135" s="547"/>
      <c r="RPA135" s="547"/>
      <c r="RPB135" s="547"/>
      <c r="RPC135" s="547"/>
      <c r="RPD135" s="548"/>
      <c r="RPE135" s="547"/>
      <c r="RPF135" s="547"/>
      <c r="RPG135" s="547"/>
      <c r="RPH135" s="547"/>
      <c r="RPI135" s="548"/>
      <c r="RPJ135" s="547"/>
      <c r="RPK135" s="547"/>
      <c r="RPL135" s="547"/>
      <c r="RPM135" s="549"/>
      <c r="RPN135" s="548"/>
      <c r="RPO135" s="549"/>
      <c r="RPP135" s="549"/>
      <c r="RPQ135" s="549"/>
      <c r="RPR135" s="549"/>
      <c r="RPS135" s="548"/>
      <c r="RPT135" s="548"/>
      <c r="RPU135" s="548"/>
      <c r="RPV135" s="548"/>
      <c r="RPW135" s="8"/>
      <c r="RPX135" s="8"/>
      <c r="RPY135" s="503"/>
      <c r="RPZ135" s="8"/>
      <c r="RQA135" s="8"/>
      <c r="RQB135" s="547"/>
      <c r="RQC135" s="547"/>
      <c r="RQD135" s="547"/>
      <c r="RQE135" s="547"/>
      <c r="RQF135" s="548"/>
      <c r="RQG135" s="547"/>
      <c r="RQH135" s="547"/>
      <c r="RQI135" s="547"/>
      <c r="RQJ135" s="547"/>
      <c r="RQK135" s="548"/>
      <c r="RQL135" s="547"/>
      <c r="RQM135" s="547"/>
      <c r="RQN135" s="547"/>
      <c r="RQO135" s="547"/>
      <c r="RQP135" s="548"/>
      <c r="RQQ135" s="547"/>
      <c r="RQR135" s="547"/>
      <c r="RQS135" s="547"/>
      <c r="RQT135" s="549"/>
      <c r="RQU135" s="548"/>
      <c r="RQV135" s="549"/>
      <c r="RQW135" s="549"/>
      <c r="RQX135" s="549"/>
      <c r="RQY135" s="549"/>
      <c r="RQZ135" s="548"/>
      <c r="RRA135" s="548"/>
      <c r="RRB135" s="548"/>
      <c r="RRC135" s="548"/>
      <c r="RRD135" s="8"/>
      <c r="RRE135" s="8"/>
      <c r="RRF135" s="503"/>
      <c r="RRG135" s="8"/>
      <c r="RRH135" s="8"/>
      <c r="RRI135" s="547"/>
      <c r="RRJ135" s="547"/>
      <c r="RRK135" s="547"/>
      <c r="RRL135" s="547"/>
      <c r="RRM135" s="548"/>
      <c r="RRN135" s="547"/>
      <c r="RRO135" s="547"/>
      <c r="RRP135" s="547"/>
      <c r="RRQ135" s="547"/>
      <c r="RRR135" s="548"/>
      <c r="RRS135" s="547"/>
      <c r="RRT135" s="547"/>
      <c r="RRU135" s="547"/>
      <c r="RRV135" s="547"/>
      <c r="RRW135" s="548"/>
      <c r="RRX135" s="547"/>
      <c r="RRY135" s="547"/>
      <c r="RRZ135" s="547"/>
      <c r="RSA135" s="549"/>
      <c r="RSB135" s="548"/>
      <c r="RSC135" s="549"/>
      <c r="RSD135" s="549"/>
      <c r="RSE135" s="549"/>
      <c r="RSF135" s="549"/>
      <c r="RSG135" s="548"/>
      <c r="RSH135" s="548"/>
      <c r="RSI135" s="548"/>
      <c r="RSJ135" s="548"/>
      <c r="RSK135" s="8"/>
      <c r="RSL135" s="8"/>
      <c r="RSM135" s="503"/>
      <c r="RSN135" s="8"/>
      <c r="RSO135" s="8"/>
      <c r="RSP135" s="547"/>
      <c r="RSQ135" s="547"/>
      <c r="RSR135" s="547"/>
      <c r="RSS135" s="547"/>
      <c r="RST135" s="548"/>
      <c r="RSU135" s="547"/>
      <c r="RSV135" s="547"/>
      <c r="RSW135" s="547"/>
      <c r="RSX135" s="547"/>
      <c r="RSY135" s="548"/>
      <c r="RSZ135" s="547"/>
      <c r="RTA135" s="547"/>
      <c r="RTB135" s="547"/>
      <c r="RTC135" s="547"/>
      <c r="RTD135" s="548"/>
      <c r="RTE135" s="547"/>
      <c r="RTF135" s="547"/>
      <c r="RTG135" s="547"/>
      <c r="RTH135" s="549"/>
      <c r="RTI135" s="548"/>
      <c r="RTJ135" s="549"/>
      <c r="RTK135" s="549"/>
      <c r="RTL135" s="549"/>
      <c r="RTM135" s="549"/>
      <c r="RTN135" s="548"/>
      <c r="RTO135" s="548"/>
      <c r="RTP135" s="548"/>
      <c r="RTQ135" s="548"/>
      <c r="RTR135" s="8"/>
      <c r="RTS135" s="8"/>
      <c r="RTT135" s="503"/>
      <c r="RTU135" s="8"/>
      <c r="RTV135" s="8"/>
      <c r="RTW135" s="547"/>
      <c r="RTX135" s="547"/>
      <c r="RTY135" s="547"/>
      <c r="RTZ135" s="547"/>
      <c r="RUA135" s="548"/>
      <c r="RUB135" s="547"/>
      <c r="RUC135" s="547"/>
      <c r="RUD135" s="547"/>
      <c r="RUE135" s="547"/>
      <c r="RUF135" s="548"/>
      <c r="RUG135" s="547"/>
      <c r="RUH135" s="547"/>
      <c r="RUI135" s="547"/>
      <c r="RUJ135" s="547"/>
      <c r="RUK135" s="548"/>
      <c r="RUL135" s="547"/>
      <c r="RUM135" s="547"/>
      <c r="RUN135" s="547"/>
      <c r="RUO135" s="549"/>
      <c r="RUP135" s="548"/>
      <c r="RUQ135" s="549"/>
      <c r="RUR135" s="549"/>
      <c r="RUS135" s="549"/>
      <c r="RUT135" s="549"/>
      <c r="RUU135" s="548"/>
      <c r="RUV135" s="548"/>
      <c r="RUW135" s="548"/>
      <c r="RUX135" s="548"/>
      <c r="RUY135" s="8"/>
      <c r="RUZ135" s="8"/>
      <c r="RVA135" s="503"/>
      <c r="RVB135" s="8"/>
      <c r="RVC135" s="8"/>
      <c r="RVD135" s="547"/>
      <c r="RVE135" s="547"/>
      <c r="RVF135" s="547"/>
      <c r="RVG135" s="547"/>
      <c r="RVH135" s="548"/>
      <c r="RVI135" s="547"/>
      <c r="RVJ135" s="547"/>
      <c r="RVK135" s="547"/>
      <c r="RVL135" s="547"/>
      <c r="RVM135" s="548"/>
      <c r="RVN135" s="547"/>
      <c r="RVO135" s="547"/>
      <c r="RVP135" s="547"/>
      <c r="RVQ135" s="547"/>
      <c r="RVR135" s="548"/>
      <c r="RVS135" s="547"/>
      <c r="RVT135" s="547"/>
      <c r="RVU135" s="547"/>
      <c r="RVV135" s="549"/>
      <c r="RVW135" s="548"/>
      <c r="RVX135" s="549"/>
      <c r="RVY135" s="549"/>
      <c r="RVZ135" s="549"/>
      <c r="RWA135" s="549"/>
      <c r="RWB135" s="548"/>
      <c r="RWC135" s="548"/>
      <c r="RWD135" s="548"/>
      <c r="RWE135" s="548"/>
      <c r="RWF135" s="8"/>
      <c r="RWG135" s="8"/>
      <c r="RWH135" s="503"/>
      <c r="RWI135" s="8"/>
      <c r="RWJ135" s="8"/>
      <c r="RWK135" s="547"/>
      <c r="RWL135" s="547"/>
      <c r="RWM135" s="547"/>
      <c r="RWN135" s="547"/>
      <c r="RWO135" s="548"/>
      <c r="RWP135" s="547"/>
      <c r="RWQ135" s="547"/>
      <c r="RWR135" s="547"/>
      <c r="RWS135" s="547"/>
      <c r="RWT135" s="548"/>
      <c r="RWU135" s="547"/>
      <c r="RWV135" s="547"/>
      <c r="RWW135" s="547"/>
      <c r="RWX135" s="547"/>
      <c r="RWY135" s="548"/>
      <c r="RWZ135" s="547"/>
      <c r="RXA135" s="547"/>
      <c r="RXB135" s="547"/>
      <c r="RXC135" s="549"/>
      <c r="RXD135" s="548"/>
      <c r="RXE135" s="549"/>
      <c r="RXF135" s="549"/>
      <c r="RXG135" s="549"/>
      <c r="RXH135" s="549"/>
      <c r="RXI135" s="548"/>
      <c r="RXJ135" s="548"/>
      <c r="RXK135" s="548"/>
      <c r="RXL135" s="548"/>
      <c r="RXM135" s="8"/>
      <c r="RXN135" s="8"/>
      <c r="RXO135" s="503"/>
      <c r="RXP135" s="8"/>
      <c r="RXQ135" s="8"/>
      <c r="RXR135" s="547"/>
      <c r="RXS135" s="547"/>
      <c r="RXT135" s="547"/>
      <c r="RXU135" s="547"/>
      <c r="RXV135" s="548"/>
      <c r="RXW135" s="547"/>
      <c r="RXX135" s="547"/>
      <c r="RXY135" s="547"/>
      <c r="RXZ135" s="547"/>
      <c r="RYA135" s="548"/>
      <c r="RYB135" s="547"/>
      <c r="RYC135" s="547"/>
      <c r="RYD135" s="547"/>
      <c r="RYE135" s="547"/>
      <c r="RYF135" s="548"/>
      <c r="RYG135" s="547"/>
      <c r="RYH135" s="547"/>
      <c r="RYI135" s="547"/>
      <c r="RYJ135" s="549"/>
      <c r="RYK135" s="548"/>
      <c r="RYL135" s="549"/>
      <c r="RYM135" s="549"/>
      <c r="RYN135" s="549"/>
      <c r="RYO135" s="549"/>
      <c r="RYP135" s="548"/>
      <c r="RYQ135" s="548"/>
      <c r="RYR135" s="548"/>
      <c r="RYS135" s="548"/>
      <c r="RYT135" s="8"/>
      <c r="RYU135" s="8"/>
      <c r="RYV135" s="503"/>
      <c r="RYW135" s="8"/>
      <c r="RYX135" s="8"/>
      <c r="RYY135" s="547"/>
      <c r="RYZ135" s="547"/>
      <c r="RZA135" s="547"/>
      <c r="RZB135" s="547"/>
      <c r="RZC135" s="548"/>
      <c r="RZD135" s="547"/>
      <c r="RZE135" s="547"/>
      <c r="RZF135" s="547"/>
      <c r="RZG135" s="547"/>
      <c r="RZH135" s="548"/>
      <c r="RZI135" s="547"/>
      <c r="RZJ135" s="547"/>
      <c r="RZK135" s="547"/>
      <c r="RZL135" s="547"/>
      <c r="RZM135" s="548"/>
      <c r="RZN135" s="547"/>
      <c r="RZO135" s="547"/>
      <c r="RZP135" s="547"/>
      <c r="RZQ135" s="549"/>
      <c r="RZR135" s="548"/>
      <c r="RZS135" s="549"/>
      <c r="RZT135" s="549"/>
      <c r="RZU135" s="549"/>
      <c r="RZV135" s="549"/>
      <c r="RZW135" s="548"/>
      <c r="RZX135" s="548"/>
      <c r="RZY135" s="548"/>
      <c r="RZZ135" s="548"/>
      <c r="SAA135" s="8"/>
      <c r="SAB135" s="8"/>
      <c r="SAC135" s="503"/>
      <c r="SAD135" s="8"/>
      <c r="SAE135" s="8"/>
      <c r="SAF135" s="547"/>
      <c r="SAG135" s="547"/>
      <c r="SAH135" s="547"/>
      <c r="SAI135" s="547"/>
      <c r="SAJ135" s="548"/>
      <c r="SAK135" s="547"/>
      <c r="SAL135" s="547"/>
      <c r="SAM135" s="547"/>
      <c r="SAN135" s="547"/>
      <c r="SAO135" s="548"/>
      <c r="SAP135" s="547"/>
      <c r="SAQ135" s="547"/>
      <c r="SAR135" s="547"/>
      <c r="SAS135" s="547"/>
      <c r="SAT135" s="548"/>
      <c r="SAU135" s="547"/>
      <c r="SAV135" s="547"/>
      <c r="SAW135" s="547"/>
      <c r="SAX135" s="549"/>
      <c r="SAY135" s="548"/>
      <c r="SAZ135" s="549"/>
      <c r="SBA135" s="549"/>
      <c r="SBB135" s="549"/>
      <c r="SBC135" s="549"/>
      <c r="SBD135" s="548"/>
      <c r="SBE135" s="548"/>
      <c r="SBF135" s="548"/>
      <c r="SBG135" s="548"/>
      <c r="SBH135" s="8"/>
      <c r="SBI135" s="8"/>
      <c r="SBJ135" s="503"/>
      <c r="SBK135" s="8"/>
      <c r="SBL135" s="8"/>
      <c r="SBM135" s="547"/>
      <c r="SBN135" s="547"/>
      <c r="SBO135" s="547"/>
      <c r="SBP135" s="547"/>
      <c r="SBQ135" s="548"/>
      <c r="SBR135" s="547"/>
      <c r="SBS135" s="547"/>
      <c r="SBT135" s="547"/>
      <c r="SBU135" s="547"/>
      <c r="SBV135" s="548"/>
      <c r="SBW135" s="547"/>
      <c r="SBX135" s="547"/>
      <c r="SBY135" s="547"/>
      <c r="SBZ135" s="547"/>
      <c r="SCA135" s="548"/>
      <c r="SCB135" s="547"/>
      <c r="SCC135" s="547"/>
      <c r="SCD135" s="547"/>
      <c r="SCE135" s="549"/>
      <c r="SCF135" s="548"/>
      <c r="SCG135" s="549"/>
      <c r="SCH135" s="549"/>
      <c r="SCI135" s="549"/>
      <c r="SCJ135" s="549"/>
      <c r="SCK135" s="548"/>
      <c r="SCL135" s="548"/>
      <c r="SCM135" s="548"/>
      <c r="SCN135" s="548"/>
      <c r="SCO135" s="8"/>
      <c r="SCP135" s="8"/>
      <c r="SCQ135" s="503"/>
      <c r="SCR135" s="8"/>
      <c r="SCS135" s="8"/>
      <c r="SCT135" s="547"/>
      <c r="SCU135" s="547"/>
      <c r="SCV135" s="547"/>
      <c r="SCW135" s="547"/>
      <c r="SCX135" s="548"/>
      <c r="SCY135" s="547"/>
      <c r="SCZ135" s="547"/>
      <c r="SDA135" s="547"/>
      <c r="SDB135" s="547"/>
      <c r="SDC135" s="548"/>
      <c r="SDD135" s="547"/>
      <c r="SDE135" s="547"/>
      <c r="SDF135" s="547"/>
      <c r="SDG135" s="547"/>
      <c r="SDH135" s="548"/>
      <c r="SDI135" s="547"/>
      <c r="SDJ135" s="547"/>
      <c r="SDK135" s="547"/>
      <c r="SDL135" s="549"/>
      <c r="SDM135" s="548"/>
      <c r="SDN135" s="549"/>
      <c r="SDO135" s="549"/>
      <c r="SDP135" s="549"/>
      <c r="SDQ135" s="549"/>
      <c r="SDR135" s="548"/>
      <c r="SDS135" s="548"/>
      <c r="SDT135" s="548"/>
      <c r="SDU135" s="548"/>
      <c r="SDV135" s="8"/>
      <c r="SDW135" s="8"/>
      <c r="SDX135" s="503"/>
      <c r="SDY135" s="8"/>
      <c r="SDZ135" s="8"/>
      <c r="SEA135" s="547"/>
      <c r="SEB135" s="547"/>
      <c r="SEC135" s="547"/>
      <c r="SED135" s="547"/>
      <c r="SEE135" s="548"/>
      <c r="SEF135" s="547"/>
      <c r="SEG135" s="547"/>
      <c r="SEH135" s="547"/>
      <c r="SEI135" s="547"/>
      <c r="SEJ135" s="548"/>
      <c r="SEK135" s="547"/>
      <c r="SEL135" s="547"/>
      <c r="SEM135" s="547"/>
      <c r="SEN135" s="547"/>
      <c r="SEO135" s="548"/>
      <c r="SEP135" s="547"/>
      <c r="SEQ135" s="547"/>
      <c r="SER135" s="547"/>
      <c r="SES135" s="549"/>
      <c r="SET135" s="548"/>
      <c r="SEU135" s="549"/>
      <c r="SEV135" s="549"/>
      <c r="SEW135" s="549"/>
      <c r="SEX135" s="549"/>
      <c r="SEY135" s="548"/>
      <c r="SEZ135" s="548"/>
      <c r="SFA135" s="548"/>
      <c r="SFB135" s="548"/>
      <c r="SFC135" s="8"/>
      <c r="SFD135" s="8"/>
      <c r="SFE135" s="503"/>
      <c r="SFF135" s="8"/>
      <c r="SFG135" s="8"/>
      <c r="SFH135" s="547"/>
      <c r="SFI135" s="547"/>
      <c r="SFJ135" s="547"/>
      <c r="SFK135" s="547"/>
      <c r="SFL135" s="548"/>
      <c r="SFM135" s="547"/>
      <c r="SFN135" s="547"/>
      <c r="SFO135" s="547"/>
      <c r="SFP135" s="547"/>
      <c r="SFQ135" s="548"/>
      <c r="SFR135" s="547"/>
      <c r="SFS135" s="547"/>
      <c r="SFT135" s="547"/>
      <c r="SFU135" s="547"/>
      <c r="SFV135" s="548"/>
      <c r="SFW135" s="547"/>
      <c r="SFX135" s="547"/>
      <c r="SFY135" s="547"/>
      <c r="SFZ135" s="549"/>
      <c r="SGA135" s="548"/>
      <c r="SGB135" s="549"/>
      <c r="SGC135" s="549"/>
      <c r="SGD135" s="549"/>
      <c r="SGE135" s="549"/>
      <c r="SGF135" s="548"/>
      <c r="SGG135" s="548"/>
      <c r="SGH135" s="548"/>
      <c r="SGI135" s="548"/>
      <c r="SGJ135" s="8"/>
      <c r="SGK135" s="8"/>
      <c r="SGL135" s="503"/>
      <c r="SGM135" s="8"/>
      <c r="SGN135" s="8"/>
      <c r="SGO135" s="547"/>
      <c r="SGP135" s="547"/>
      <c r="SGQ135" s="547"/>
      <c r="SGR135" s="547"/>
      <c r="SGS135" s="548"/>
      <c r="SGT135" s="547"/>
      <c r="SGU135" s="547"/>
      <c r="SGV135" s="547"/>
      <c r="SGW135" s="547"/>
      <c r="SGX135" s="548"/>
      <c r="SGY135" s="547"/>
      <c r="SGZ135" s="547"/>
      <c r="SHA135" s="547"/>
      <c r="SHB135" s="547"/>
      <c r="SHC135" s="548"/>
      <c r="SHD135" s="547"/>
      <c r="SHE135" s="547"/>
      <c r="SHF135" s="547"/>
      <c r="SHG135" s="549"/>
      <c r="SHH135" s="548"/>
      <c r="SHI135" s="549"/>
      <c r="SHJ135" s="549"/>
      <c r="SHK135" s="549"/>
      <c r="SHL135" s="549"/>
      <c r="SHM135" s="548"/>
      <c r="SHN135" s="548"/>
      <c r="SHO135" s="548"/>
      <c r="SHP135" s="548"/>
      <c r="SHQ135" s="8"/>
      <c r="SHR135" s="8"/>
      <c r="SHS135" s="503"/>
      <c r="SHT135" s="8"/>
      <c r="SHU135" s="8"/>
      <c r="SHV135" s="547"/>
      <c r="SHW135" s="547"/>
      <c r="SHX135" s="547"/>
      <c r="SHY135" s="547"/>
      <c r="SHZ135" s="548"/>
      <c r="SIA135" s="547"/>
      <c r="SIB135" s="547"/>
      <c r="SIC135" s="547"/>
      <c r="SID135" s="547"/>
      <c r="SIE135" s="548"/>
      <c r="SIF135" s="547"/>
      <c r="SIG135" s="547"/>
      <c r="SIH135" s="547"/>
      <c r="SII135" s="547"/>
      <c r="SIJ135" s="548"/>
      <c r="SIK135" s="547"/>
      <c r="SIL135" s="547"/>
      <c r="SIM135" s="547"/>
      <c r="SIN135" s="549"/>
      <c r="SIO135" s="548"/>
      <c r="SIP135" s="549"/>
      <c r="SIQ135" s="549"/>
      <c r="SIR135" s="549"/>
      <c r="SIS135" s="549"/>
      <c r="SIT135" s="548"/>
      <c r="SIU135" s="548"/>
      <c r="SIV135" s="548"/>
      <c r="SIW135" s="548"/>
      <c r="SIX135" s="8"/>
      <c r="SIY135" s="8"/>
      <c r="SIZ135" s="503"/>
      <c r="SJA135" s="8"/>
      <c r="SJB135" s="8"/>
      <c r="SJC135" s="547"/>
      <c r="SJD135" s="547"/>
      <c r="SJE135" s="547"/>
      <c r="SJF135" s="547"/>
      <c r="SJG135" s="548"/>
      <c r="SJH135" s="547"/>
      <c r="SJI135" s="547"/>
      <c r="SJJ135" s="547"/>
      <c r="SJK135" s="547"/>
      <c r="SJL135" s="548"/>
      <c r="SJM135" s="547"/>
      <c r="SJN135" s="547"/>
      <c r="SJO135" s="547"/>
      <c r="SJP135" s="547"/>
      <c r="SJQ135" s="548"/>
      <c r="SJR135" s="547"/>
      <c r="SJS135" s="547"/>
      <c r="SJT135" s="547"/>
      <c r="SJU135" s="549"/>
      <c r="SJV135" s="548"/>
      <c r="SJW135" s="549"/>
      <c r="SJX135" s="549"/>
      <c r="SJY135" s="549"/>
      <c r="SJZ135" s="549"/>
      <c r="SKA135" s="548"/>
      <c r="SKB135" s="548"/>
      <c r="SKC135" s="548"/>
      <c r="SKD135" s="548"/>
      <c r="SKE135" s="8"/>
      <c r="SKF135" s="8"/>
      <c r="SKG135" s="503"/>
      <c r="SKH135" s="8"/>
      <c r="SKI135" s="8"/>
      <c r="SKJ135" s="547"/>
      <c r="SKK135" s="547"/>
      <c r="SKL135" s="547"/>
      <c r="SKM135" s="547"/>
      <c r="SKN135" s="548"/>
      <c r="SKO135" s="547"/>
      <c r="SKP135" s="547"/>
      <c r="SKQ135" s="547"/>
      <c r="SKR135" s="547"/>
      <c r="SKS135" s="548"/>
      <c r="SKT135" s="547"/>
      <c r="SKU135" s="547"/>
      <c r="SKV135" s="547"/>
      <c r="SKW135" s="547"/>
      <c r="SKX135" s="548"/>
      <c r="SKY135" s="547"/>
      <c r="SKZ135" s="547"/>
      <c r="SLA135" s="547"/>
      <c r="SLB135" s="549"/>
      <c r="SLC135" s="548"/>
      <c r="SLD135" s="549"/>
      <c r="SLE135" s="549"/>
      <c r="SLF135" s="549"/>
      <c r="SLG135" s="549"/>
      <c r="SLH135" s="548"/>
      <c r="SLI135" s="548"/>
      <c r="SLJ135" s="548"/>
      <c r="SLK135" s="548"/>
      <c r="SLL135" s="8"/>
      <c r="SLM135" s="8"/>
      <c r="SLN135" s="503"/>
      <c r="SLO135" s="8"/>
      <c r="SLP135" s="8"/>
      <c r="SLQ135" s="547"/>
      <c r="SLR135" s="547"/>
      <c r="SLS135" s="547"/>
      <c r="SLT135" s="547"/>
      <c r="SLU135" s="548"/>
      <c r="SLV135" s="547"/>
      <c r="SLW135" s="547"/>
      <c r="SLX135" s="547"/>
      <c r="SLY135" s="547"/>
      <c r="SLZ135" s="548"/>
      <c r="SMA135" s="547"/>
      <c r="SMB135" s="547"/>
      <c r="SMC135" s="547"/>
      <c r="SMD135" s="547"/>
      <c r="SME135" s="548"/>
      <c r="SMF135" s="547"/>
      <c r="SMG135" s="547"/>
      <c r="SMH135" s="547"/>
      <c r="SMI135" s="549"/>
      <c r="SMJ135" s="548"/>
      <c r="SMK135" s="549"/>
      <c r="SML135" s="549"/>
      <c r="SMM135" s="549"/>
      <c r="SMN135" s="549"/>
      <c r="SMO135" s="548"/>
      <c r="SMP135" s="548"/>
      <c r="SMQ135" s="548"/>
      <c r="SMR135" s="548"/>
      <c r="SMS135" s="8"/>
      <c r="SMT135" s="8"/>
      <c r="SMU135" s="503"/>
      <c r="SMV135" s="8"/>
      <c r="SMW135" s="8"/>
      <c r="SMX135" s="547"/>
      <c r="SMY135" s="547"/>
      <c r="SMZ135" s="547"/>
      <c r="SNA135" s="547"/>
      <c r="SNB135" s="548"/>
      <c r="SNC135" s="547"/>
      <c r="SND135" s="547"/>
      <c r="SNE135" s="547"/>
      <c r="SNF135" s="547"/>
      <c r="SNG135" s="548"/>
      <c r="SNH135" s="547"/>
      <c r="SNI135" s="547"/>
      <c r="SNJ135" s="547"/>
      <c r="SNK135" s="547"/>
      <c r="SNL135" s="548"/>
      <c r="SNM135" s="547"/>
      <c r="SNN135" s="547"/>
      <c r="SNO135" s="547"/>
      <c r="SNP135" s="549"/>
      <c r="SNQ135" s="548"/>
      <c r="SNR135" s="549"/>
      <c r="SNS135" s="549"/>
      <c r="SNT135" s="549"/>
      <c r="SNU135" s="549"/>
      <c r="SNV135" s="548"/>
      <c r="SNW135" s="548"/>
      <c r="SNX135" s="548"/>
      <c r="SNY135" s="548"/>
      <c r="SNZ135" s="8"/>
      <c r="SOA135" s="8"/>
      <c r="SOB135" s="503"/>
      <c r="SOC135" s="8"/>
      <c r="SOD135" s="8"/>
      <c r="SOE135" s="547"/>
      <c r="SOF135" s="547"/>
      <c r="SOG135" s="547"/>
      <c r="SOH135" s="547"/>
      <c r="SOI135" s="548"/>
      <c r="SOJ135" s="547"/>
      <c r="SOK135" s="547"/>
      <c r="SOL135" s="547"/>
      <c r="SOM135" s="547"/>
      <c r="SON135" s="548"/>
      <c r="SOO135" s="547"/>
      <c r="SOP135" s="547"/>
      <c r="SOQ135" s="547"/>
      <c r="SOR135" s="547"/>
      <c r="SOS135" s="548"/>
      <c r="SOT135" s="547"/>
      <c r="SOU135" s="547"/>
      <c r="SOV135" s="547"/>
      <c r="SOW135" s="549"/>
      <c r="SOX135" s="548"/>
      <c r="SOY135" s="549"/>
      <c r="SOZ135" s="549"/>
      <c r="SPA135" s="549"/>
      <c r="SPB135" s="549"/>
      <c r="SPC135" s="548"/>
      <c r="SPD135" s="548"/>
      <c r="SPE135" s="548"/>
      <c r="SPF135" s="548"/>
      <c r="SPG135" s="8"/>
      <c r="SPH135" s="8"/>
      <c r="SPI135" s="503"/>
      <c r="SPJ135" s="8"/>
      <c r="SPK135" s="8"/>
      <c r="SPL135" s="547"/>
      <c r="SPM135" s="547"/>
      <c r="SPN135" s="547"/>
      <c r="SPO135" s="547"/>
      <c r="SPP135" s="548"/>
      <c r="SPQ135" s="547"/>
      <c r="SPR135" s="547"/>
      <c r="SPS135" s="547"/>
      <c r="SPT135" s="547"/>
      <c r="SPU135" s="548"/>
      <c r="SPV135" s="547"/>
      <c r="SPW135" s="547"/>
      <c r="SPX135" s="547"/>
      <c r="SPY135" s="547"/>
      <c r="SPZ135" s="548"/>
      <c r="SQA135" s="547"/>
      <c r="SQB135" s="547"/>
      <c r="SQC135" s="547"/>
      <c r="SQD135" s="549"/>
      <c r="SQE135" s="548"/>
      <c r="SQF135" s="549"/>
      <c r="SQG135" s="549"/>
      <c r="SQH135" s="549"/>
      <c r="SQI135" s="549"/>
      <c r="SQJ135" s="548"/>
      <c r="SQK135" s="548"/>
      <c r="SQL135" s="548"/>
      <c r="SQM135" s="548"/>
      <c r="SQN135" s="8"/>
      <c r="SQO135" s="8"/>
      <c r="SQP135" s="503"/>
      <c r="SQQ135" s="8"/>
      <c r="SQR135" s="8"/>
      <c r="SQS135" s="547"/>
      <c r="SQT135" s="547"/>
      <c r="SQU135" s="547"/>
      <c r="SQV135" s="547"/>
      <c r="SQW135" s="548"/>
      <c r="SQX135" s="547"/>
      <c r="SQY135" s="547"/>
      <c r="SQZ135" s="547"/>
      <c r="SRA135" s="547"/>
      <c r="SRB135" s="548"/>
      <c r="SRC135" s="547"/>
      <c r="SRD135" s="547"/>
      <c r="SRE135" s="547"/>
      <c r="SRF135" s="547"/>
      <c r="SRG135" s="548"/>
      <c r="SRH135" s="547"/>
      <c r="SRI135" s="547"/>
      <c r="SRJ135" s="547"/>
      <c r="SRK135" s="549"/>
      <c r="SRL135" s="548"/>
      <c r="SRM135" s="549"/>
      <c r="SRN135" s="549"/>
      <c r="SRO135" s="549"/>
      <c r="SRP135" s="549"/>
      <c r="SRQ135" s="548"/>
      <c r="SRR135" s="548"/>
      <c r="SRS135" s="548"/>
      <c r="SRT135" s="548"/>
      <c r="SRU135" s="8"/>
      <c r="SRV135" s="8"/>
      <c r="SRW135" s="503"/>
      <c r="SRX135" s="8"/>
      <c r="SRY135" s="8"/>
      <c r="SRZ135" s="547"/>
      <c r="SSA135" s="547"/>
      <c r="SSB135" s="547"/>
      <c r="SSC135" s="547"/>
      <c r="SSD135" s="548"/>
      <c r="SSE135" s="547"/>
      <c r="SSF135" s="547"/>
      <c r="SSG135" s="547"/>
      <c r="SSH135" s="547"/>
      <c r="SSI135" s="548"/>
      <c r="SSJ135" s="547"/>
      <c r="SSK135" s="547"/>
      <c r="SSL135" s="547"/>
      <c r="SSM135" s="547"/>
      <c r="SSN135" s="548"/>
      <c r="SSO135" s="547"/>
      <c r="SSP135" s="547"/>
      <c r="SSQ135" s="547"/>
      <c r="SSR135" s="549"/>
      <c r="SSS135" s="548"/>
      <c r="SST135" s="549"/>
      <c r="SSU135" s="549"/>
      <c r="SSV135" s="549"/>
      <c r="SSW135" s="549"/>
      <c r="SSX135" s="548"/>
      <c r="SSY135" s="548"/>
      <c r="SSZ135" s="548"/>
      <c r="STA135" s="548"/>
      <c r="STB135" s="8"/>
      <c r="STC135" s="8"/>
      <c r="STD135" s="503"/>
      <c r="STE135" s="8"/>
      <c r="STF135" s="8"/>
      <c r="STG135" s="547"/>
      <c r="STH135" s="547"/>
      <c r="STI135" s="547"/>
      <c r="STJ135" s="547"/>
      <c r="STK135" s="548"/>
      <c r="STL135" s="547"/>
      <c r="STM135" s="547"/>
      <c r="STN135" s="547"/>
      <c r="STO135" s="547"/>
      <c r="STP135" s="548"/>
      <c r="STQ135" s="547"/>
      <c r="STR135" s="547"/>
      <c r="STS135" s="547"/>
      <c r="STT135" s="547"/>
      <c r="STU135" s="548"/>
      <c r="STV135" s="547"/>
      <c r="STW135" s="547"/>
      <c r="STX135" s="547"/>
      <c r="STY135" s="549"/>
      <c r="STZ135" s="548"/>
      <c r="SUA135" s="549"/>
      <c r="SUB135" s="549"/>
      <c r="SUC135" s="549"/>
      <c r="SUD135" s="549"/>
      <c r="SUE135" s="548"/>
      <c r="SUF135" s="548"/>
      <c r="SUG135" s="548"/>
      <c r="SUH135" s="548"/>
      <c r="SUI135" s="8"/>
      <c r="SUJ135" s="8"/>
      <c r="SUK135" s="503"/>
      <c r="SUL135" s="8"/>
      <c r="SUM135" s="8"/>
      <c r="SUN135" s="547"/>
      <c r="SUO135" s="547"/>
      <c r="SUP135" s="547"/>
      <c r="SUQ135" s="547"/>
      <c r="SUR135" s="548"/>
      <c r="SUS135" s="547"/>
      <c r="SUT135" s="547"/>
      <c r="SUU135" s="547"/>
      <c r="SUV135" s="547"/>
      <c r="SUW135" s="548"/>
      <c r="SUX135" s="547"/>
      <c r="SUY135" s="547"/>
      <c r="SUZ135" s="547"/>
      <c r="SVA135" s="547"/>
      <c r="SVB135" s="548"/>
      <c r="SVC135" s="547"/>
      <c r="SVD135" s="547"/>
      <c r="SVE135" s="547"/>
      <c r="SVF135" s="549"/>
      <c r="SVG135" s="548"/>
      <c r="SVH135" s="549"/>
      <c r="SVI135" s="549"/>
      <c r="SVJ135" s="549"/>
      <c r="SVK135" s="549"/>
      <c r="SVL135" s="548"/>
      <c r="SVM135" s="548"/>
      <c r="SVN135" s="548"/>
      <c r="SVO135" s="548"/>
      <c r="SVP135" s="8"/>
      <c r="SVQ135" s="8"/>
      <c r="SVR135" s="503"/>
      <c r="SVS135" s="8"/>
      <c r="SVT135" s="8"/>
      <c r="SVU135" s="547"/>
      <c r="SVV135" s="547"/>
      <c r="SVW135" s="547"/>
      <c r="SVX135" s="547"/>
      <c r="SVY135" s="548"/>
      <c r="SVZ135" s="547"/>
      <c r="SWA135" s="547"/>
      <c r="SWB135" s="547"/>
      <c r="SWC135" s="547"/>
      <c r="SWD135" s="548"/>
      <c r="SWE135" s="547"/>
      <c r="SWF135" s="547"/>
      <c r="SWG135" s="547"/>
      <c r="SWH135" s="547"/>
      <c r="SWI135" s="548"/>
      <c r="SWJ135" s="547"/>
      <c r="SWK135" s="547"/>
      <c r="SWL135" s="547"/>
      <c r="SWM135" s="549"/>
      <c r="SWN135" s="548"/>
      <c r="SWO135" s="549"/>
      <c r="SWP135" s="549"/>
      <c r="SWQ135" s="549"/>
      <c r="SWR135" s="549"/>
      <c r="SWS135" s="548"/>
      <c r="SWT135" s="548"/>
      <c r="SWU135" s="548"/>
      <c r="SWV135" s="548"/>
      <c r="SWW135" s="8"/>
      <c r="SWX135" s="8"/>
      <c r="SWY135" s="503"/>
      <c r="SWZ135" s="8"/>
      <c r="SXA135" s="8"/>
      <c r="SXB135" s="547"/>
      <c r="SXC135" s="547"/>
      <c r="SXD135" s="547"/>
      <c r="SXE135" s="547"/>
      <c r="SXF135" s="548"/>
      <c r="SXG135" s="547"/>
      <c r="SXH135" s="547"/>
      <c r="SXI135" s="547"/>
      <c r="SXJ135" s="547"/>
      <c r="SXK135" s="548"/>
      <c r="SXL135" s="547"/>
      <c r="SXM135" s="547"/>
      <c r="SXN135" s="547"/>
      <c r="SXO135" s="547"/>
      <c r="SXP135" s="548"/>
      <c r="SXQ135" s="547"/>
      <c r="SXR135" s="547"/>
      <c r="SXS135" s="547"/>
      <c r="SXT135" s="549"/>
      <c r="SXU135" s="548"/>
      <c r="SXV135" s="549"/>
      <c r="SXW135" s="549"/>
      <c r="SXX135" s="549"/>
      <c r="SXY135" s="549"/>
      <c r="SXZ135" s="548"/>
      <c r="SYA135" s="548"/>
      <c r="SYB135" s="548"/>
      <c r="SYC135" s="548"/>
      <c r="SYD135" s="8"/>
      <c r="SYE135" s="8"/>
      <c r="SYF135" s="503"/>
      <c r="SYG135" s="8"/>
      <c r="SYH135" s="8"/>
      <c r="SYI135" s="547"/>
      <c r="SYJ135" s="547"/>
      <c r="SYK135" s="547"/>
      <c r="SYL135" s="547"/>
      <c r="SYM135" s="548"/>
      <c r="SYN135" s="547"/>
      <c r="SYO135" s="547"/>
      <c r="SYP135" s="547"/>
      <c r="SYQ135" s="547"/>
      <c r="SYR135" s="548"/>
      <c r="SYS135" s="547"/>
      <c r="SYT135" s="547"/>
      <c r="SYU135" s="547"/>
      <c r="SYV135" s="547"/>
      <c r="SYW135" s="548"/>
      <c r="SYX135" s="547"/>
      <c r="SYY135" s="547"/>
      <c r="SYZ135" s="547"/>
      <c r="SZA135" s="549"/>
      <c r="SZB135" s="548"/>
      <c r="SZC135" s="549"/>
      <c r="SZD135" s="549"/>
      <c r="SZE135" s="549"/>
      <c r="SZF135" s="549"/>
      <c r="SZG135" s="548"/>
      <c r="SZH135" s="548"/>
      <c r="SZI135" s="548"/>
      <c r="SZJ135" s="548"/>
      <c r="SZK135" s="8"/>
      <c r="SZL135" s="8"/>
      <c r="SZM135" s="503"/>
      <c r="SZN135" s="8"/>
      <c r="SZO135" s="8"/>
      <c r="SZP135" s="547"/>
      <c r="SZQ135" s="547"/>
      <c r="SZR135" s="547"/>
      <c r="SZS135" s="547"/>
      <c r="SZT135" s="548"/>
      <c r="SZU135" s="547"/>
      <c r="SZV135" s="547"/>
      <c r="SZW135" s="547"/>
      <c r="SZX135" s="547"/>
      <c r="SZY135" s="548"/>
      <c r="SZZ135" s="547"/>
      <c r="TAA135" s="547"/>
      <c r="TAB135" s="547"/>
      <c r="TAC135" s="547"/>
      <c r="TAD135" s="548"/>
      <c r="TAE135" s="547"/>
      <c r="TAF135" s="547"/>
      <c r="TAG135" s="547"/>
      <c r="TAH135" s="549"/>
      <c r="TAI135" s="548"/>
      <c r="TAJ135" s="549"/>
      <c r="TAK135" s="549"/>
      <c r="TAL135" s="549"/>
      <c r="TAM135" s="549"/>
      <c r="TAN135" s="548"/>
      <c r="TAO135" s="548"/>
      <c r="TAP135" s="548"/>
      <c r="TAQ135" s="548"/>
      <c r="TAR135" s="8"/>
      <c r="TAS135" s="8"/>
      <c r="TAT135" s="503"/>
      <c r="TAU135" s="8"/>
      <c r="TAV135" s="8"/>
      <c r="TAW135" s="547"/>
      <c r="TAX135" s="547"/>
      <c r="TAY135" s="547"/>
      <c r="TAZ135" s="547"/>
      <c r="TBA135" s="548"/>
      <c r="TBB135" s="547"/>
      <c r="TBC135" s="547"/>
      <c r="TBD135" s="547"/>
      <c r="TBE135" s="547"/>
      <c r="TBF135" s="548"/>
      <c r="TBG135" s="547"/>
      <c r="TBH135" s="547"/>
      <c r="TBI135" s="547"/>
      <c r="TBJ135" s="547"/>
      <c r="TBK135" s="548"/>
      <c r="TBL135" s="547"/>
      <c r="TBM135" s="547"/>
      <c r="TBN135" s="547"/>
      <c r="TBO135" s="549"/>
      <c r="TBP135" s="548"/>
      <c r="TBQ135" s="549"/>
      <c r="TBR135" s="549"/>
      <c r="TBS135" s="549"/>
      <c r="TBT135" s="549"/>
      <c r="TBU135" s="548"/>
      <c r="TBV135" s="548"/>
      <c r="TBW135" s="548"/>
      <c r="TBX135" s="548"/>
      <c r="TBY135" s="8"/>
      <c r="TBZ135" s="8"/>
      <c r="TCA135" s="503"/>
      <c r="TCB135" s="8"/>
      <c r="TCC135" s="8"/>
      <c r="TCD135" s="547"/>
      <c r="TCE135" s="547"/>
      <c r="TCF135" s="547"/>
      <c r="TCG135" s="547"/>
      <c r="TCH135" s="548"/>
      <c r="TCI135" s="547"/>
      <c r="TCJ135" s="547"/>
      <c r="TCK135" s="547"/>
      <c r="TCL135" s="547"/>
      <c r="TCM135" s="548"/>
      <c r="TCN135" s="547"/>
      <c r="TCO135" s="547"/>
      <c r="TCP135" s="547"/>
      <c r="TCQ135" s="547"/>
      <c r="TCR135" s="548"/>
      <c r="TCS135" s="547"/>
      <c r="TCT135" s="547"/>
      <c r="TCU135" s="547"/>
      <c r="TCV135" s="549"/>
      <c r="TCW135" s="548"/>
      <c r="TCX135" s="549"/>
      <c r="TCY135" s="549"/>
      <c r="TCZ135" s="549"/>
      <c r="TDA135" s="549"/>
      <c r="TDB135" s="548"/>
      <c r="TDC135" s="548"/>
      <c r="TDD135" s="548"/>
      <c r="TDE135" s="548"/>
      <c r="TDF135" s="8"/>
      <c r="TDG135" s="8"/>
      <c r="TDH135" s="503"/>
      <c r="TDI135" s="8"/>
      <c r="TDJ135" s="8"/>
      <c r="TDK135" s="547"/>
      <c r="TDL135" s="547"/>
      <c r="TDM135" s="547"/>
      <c r="TDN135" s="547"/>
      <c r="TDO135" s="548"/>
      <c r="TDP135" s="547"/>
      <c r="TDQ135" s="547"/>
      <c r="TDR135" s="547"/>
      <c r="TDS135" s="547"/>
      <c r="TDT135" s="548"/>
      <c r="TDU135" s="547"/>
      <c r="TDV135" s="547"/>
      <c r="TDW135" s="547"/>
      <c r="TDX135" s="547"/>
      <c r="TDY135" s="548"/>
      <c r="TDZ135" s="547"/>
      <c r="TEA135" s="547"/>
      <c r="TEB135" s="547"/>
      <c r="TEC135" s="549"/>
      <c r="TED135" s="548"/>
      <c r="TEE135" s="549"/>
      <c r="TEF135" s="549"/>
      <c r="TEG135" s="549"/>
      <c r="TEH135" s="549"/>
      <c r="TEI135" s="548"/>
      <c r="TEJ135" s="548"/>
      <c r="TEK135" s="548"/>
      <c r="TEL135" s="548"/>
      <c r="TEM135" s="8"/>
      <c r="TEN135" s="8"/>
      <c r="TEO135" s="503"/>
      <c r="TEP135" s="8"/>
      <c r="TEQ135" s="8"/>
      <c r="TER135" s="547"/>
      <c r="TES135" s="547"/>
      <c r="TET135" s="547"/>
      <c r="TEU135" s="547"/>
      <c r="TEV135" s="548"/>
      <c r="TEW135" s="547"/>
      <c r="TEX135" s="547"/>
      <c r="TEY135" s="547"/>
      <c r="TEZ135" s="547"/>
      <c r="TFA135" s="548"/>
      <c r="TFB135" s="547"/>
      <c r="TFC135" s="547"/>
      <c r="TFD135" s="547"/>
      <c r="TFE135" s="547"/>
      <c r="TFF135" s="548"/>
      <c r="TFG135" s="547"/>
      <c r="TFH135" s="547"/>
      <c r="TFI135" s="547"/>
      <c r="TFJ135" s="549"/>
      <c r="TFK135" s="548"/>
      <c r="TFL135" s="549"/>
      <c r="TFM135" s="549"/>
      <c r="TFN135" s="549"/>
      <c r="TFO135" s="549"/>
      <c r="TFP135" s="548"/>
      <c r="TFQ135" s="548"/>
      <c r="TFR135" s="548"/>
      <c r="TFS135" s="548"/>
      <c r="TFT135" s="8"/>
      <c r="TFU135" s="8"/>
      <c r="TFV135" s="503"/>
      <c r="TFW135" s="8"/>
      <c r="TFX135" s="8"/>
      <c r="TFY135" s="547"/>
      <c r="TFZ135" s="547"/>
      <c r="TGA135" s="547"/>
      <c r="TGB135" s="547"/>
      <c r="TGC135" s="548"/>
      <c r="TGD135" s="547"/>
      <c r="TGE135" s="547"/>
      <c r="TGF135" s="547"/>
      <c r="TGG135" s="547"/>
      <c r="TGH135" s="548"/>
      <c r="TGI135" s="547"/>
      <c r="TGJ135" s="547"/>
      <c r="TGK135" s="547"/>
      <c r="TGL135" s="547"/>
      <c r="TGM135" s="548"/>
      <c r="TGN135" s="547"/>
      <c r="TGO135" s="547"/>
      <c r="TGP135" s="547"/>
      <c r="TGQ135" s="549"/>
      <c r="TGR135" s="548"/>
      <c r="TGS135" s="549"/>
      <c r="TGT135" s="549"/>
      <c r="TGU135" s="549"/>
      <c r="TGV135" s="549"/>
      <c r="TGW135" s="548"/>
      <c r="TGX135" s="548"/>
      <c r="TGY135" s="548"/>
      <c r="TGZ135" s="548"/>
      <c r="THA135" s="8"/>
      <c r="THB135" s="8"/>
      <c r="THC135" s="503"/>
      <c r="THD135" s="8"/>
      <c r="THE135" s="8"/>
      <c r="THF135" s="547"/>
      <c r="THG135" s="547"/>
      <c r="THH135" s="547"/>
      <c r="THI135" s="547"/>
      <c r="THJ135" s="548"/>
      <c r="THK135" s="547"/>
      <c r="THL135" s="547"/>
      <c r="THM135" s="547"/>
      <c r="THN135" s="547"/>
      <c r="THO135" s="548"/>
      <c r="THP135" s="547"/>
      <c r="THQ135" s="547"/>
      <c r="THR135" s="547"/>
      <c r="THS135" s="547"/>
      <c r="THT135" s="548"/>
      <c r="THU135" s="547"/>
      <c r="THV135" s="547"/>
      <c r="THW135" s="547"/>
      <c r="THX135" s="549"/>
      <c r="THY135" s="548"/>
      <c r="THZ135" s="549"/>
      <c r="TIA135" s="549"/>
      <c r="TIB135" s="549"/>
      <c r="TIC135" s="549"/>
      <c r="TID135" s="548"/>
      <c r="TIE135" s="548"/>
      <c r="TIF135" s="548"/>
      <c r="TIG135" s="548"/>
      <c r="TIH135" s="8"/>
      <c r="TII135" s="8"/>
      <c r="TIJ135" s="503"/>
      <c r="TIK135" s="8"/>
      <c r="TIL135" s="8"/>
      <c r="TIM135" s="547"/>
      <c r="TIN135" s="547"/>
      <c r="TIO135" s="547"/>
      <c r="TIP135" s="547"/>
      <c r="TIQ135" s="548"/>
      <c r="TIR135" s="547"/>
      <c r="TIS135" s="547"/>
      <c r="TIT135" s="547"/>
      <c r="TIU135" s="547"/>
      <c r="TIV135" s="548"/>
      <c r="TIW135" s="547"/>
      <c r="TIX135" s="547"/>
      <c r="TIY135" s="547"/>
      <c r="TIZ135" s="547"/>
      <c r="TJA135" s="548"/>
      <c r="TJB135" s="547"/>
      <c r="TJC135" s="547"/>
      <c r="TJD135" s="547"/>
      <c r="TJE135" s="549"/>
      <c r="TJF135" s="548"/>
      <c r="TJG135" s="549"/>
      <c r="TJH135" s="549"/>
      <c r="TJI135" s="549"/>
      <c r="TJJ135" s="549"/>
      <c r="TJK135" s="548"/>
      <c r="TJL135" s="548"/>
      <c r="TJM135" s="548"/>
      <c r="TJN135" s="548"/>
      <c r="TJO135" s="8"/>
      <c r="TJP135" s="8"/>
      <c r="TJQ135" s="503"/>
      <c r="TJR135" s="8"/>
      <c r="TJS135" s="8"/>
      <c r="TJT135" s="547"/>
      <c r="TJU135" s="547"/>
      <c r="TJV135" s="547"/>
      <c r="TJW135" s="547"/>
      <c r="TJX135" s="548"/>
      <c r="TJY135" s="547"/>
      <c r="TJZ135" s="547"/>
      <c r="TKA135" s="547"/>
      <c r="TKB135" s="547"/>
      <c r="TKC135" s="548"/>
      <c r="TKD135" s="547"/>
      <c r="TKE135" s="547"/>
      <c r="TKF135" s="547"/>
      <c r="TKG135" s="547"/>
      <c r="TKH135" s="548"/>
      <c r="TKI135" s="547"/>
      <c r="TKJ135" s="547"/>
      <c r="TKK135" s="547"/>
      <c r="TKL135" s="549"/>
      <c r="TKM135" s="548"/>
      <c r="TKN135" s="549"/>
      <c r="TKO135" s="549"/>
      <c r="TKP135" s="549"/>
      <c r="TKQ135" s="549"/>
      <c r="TKR135" s="548"/>
      <c r="TKS135" s="548"/>
      <c r="TKT135" s="548"/>
      <c r="TKU135" s="548"/>
      <c r="TKV135" s="8"/>
      <c r="TKW135" s="8"/>
      <c r="TKX135" s="503"/>
      <c r="TKY135" s="8"/>
      <c r="TKZ135" s="8"/>
      <c r="TLA135" s="547"/>
      <c r="TLB135" s="547"/>
      <c r="TLC135" s="547"/>
      <c r="TLD135" s="547"/>
      <c r="TLE135" s="548"/>
      <c r="TLF135" s="547"/>
      <c r="TLG135" s="547"/>
      <c r="TLH135" s="547"/>
      <c r="TLI135" s="547"/>
      <c r="TLJ135" s="548"/>
      <c r="TLK135" s="547"/>
      <c r="TLL135" s="547"/>
      <c r="TLM135" s="547"/>
      <c r="TLN135" s="547"/>
      <c r="TLO135" s="548"/>
      <c r="TLP135" s="547"/>
      <c r="TLQ135" s="547"/>
      <c r="TLR135" s="547"/>
      <c r="TLS135" s="549"/>
      <c r="TLT135" s="548"/>
      <c r="TLU135" s="549"/>
      <c r="TLV135" s="549"/>
      <c r="TLW135" s="549"/>
      <c r="TLX135" s="549"/>
      <c r="TLY135" s="548"/>
      <c r="TLZ135" s="548"/>
      <c r="TMA135" s="548"/>
      <c r="TMB135" s="548"/>
      <c r="TMC135" s="8"/>
      <c r="TMD135" s="8"/>
      <c r="TME135" s="503"/>
      <c r="TMF135" s="8"/>
      <c r="TMG135" s="8"/>
      <c r="TMH135" s="547"/>
      <c r="TMI135" s="547"/>
      <c r="TMJ135" s="547"/>
      <c r="TMK135" s="547"/>
      <c r="TML135" s="548"/>
      <c r="TMM135" s="547"/>
      <c r="TMN135" s="547"/>
      <c r="TMO135" s="547"/>
      <c r="TMP135" s="547"/>
      <c r="TMQ135" s="548"/>
      <c r="TMR135" s="547"/>
      <c r="TMS135" s="547"/>
      <c r="TMT135" s="547"/>
      <c r="TMU135" s="547"/>
      <c r="TMV135" s="548"/>
      <c r="TMW135" s="547"/>
      <c r="TMX135" s="547"/>
      <c r="TMY135" s="547"/>
      <c r="TMZ135" s="549"/>
      <c r="TNA135" s="548"/>
      <c r="TNB135" s="549"/>
      <c r="TNC135" s="549"/>
      <c r="TND135" s="549"/>
      <c r="TNE135" s="549"/>
      <c r="TNF135" s="548"/>
      <c r="TNG135" s="548"/>
      <c r="TNH135" s="548"/>
      <c r="TNI135" s="548"/>
      <c r="TNJ135" s="8"/>
      <c r="TNK135" s="8"/>
      <c r="TNL135" s="503"/>
      <c r="TNM135" s="8"/>
      <c r="TNN135" s="8"/>
      <c r="TNO135" s="547"/>
      <c r="TNP135" s="547"/>
      <c r="TNQ135" s="547"/>
      <c r="TNR135" s="547"/>
      <c r="TNS135" s="548"/>
      <c r="TNT135" s="547"/>
      <c r="TNU135" s="547"/>
      <c r="TNV135" s="547"/>
      <c r="TNW135" s="547"/>
      <c r="TNX135" s="548"/>
      <c r="TNY135" s="547"/>
      <c r="TNZ135" s="547"/>
      <c r="TOA135" s="547"/>
      <c r="TOB135" s="547"/>
      <c r="TOC135" s="548"/>
      <c r="TOD135" s="547"/>
      <c r="TOE135" s="547"/>
      <c r="TOF135" s="547"/>
      <c r="TOG135" s="549"/>
      <c r="TOH135" s="548"/>
      <c r="TOI135" s="549"/>
      <c r="TOJ135" s="549"/>
      <c r="TOK135" s="549"/>
      <c r="TOL135" s="549"/>
      <c r="TOM135" s="548"/>
      <c r="TON135" s="548"/>
      <c r="TOO135" s="548"/>
      <c r="TOP135" s="548"/>
      <c r="TOQ135" s="8"/>
      <c r="TOR135" s="8"/>
      <c r="TOS135" s="503"/>
      <c r="TOT135" s="8"/>
      <c r="TOU135" s="8"/>
      <c r="TOV135" s="547"/>
      <c r="TOW135" s="547"/>
      <c r="TOX135" s="547"/>
      <c r="TOY135" s="547"/>
      <c r="TOZ135" s="548"/>
      <c r="TPA135" s="547"/>
      <c r="TPB135" s="547"/>
      <c r="TPC135" s="547"/>
      <c r="TPD135" s="547"/>
      <c r="TPE135" s="548"/>
      <c r="TPF135" s="547"/>
      <c r="TPG135" s="547"/>
      <c r="TPH135" s="547"/>
      <c r="TPI135" s="547"/>
      <c r="TPJ135" s="548"/>
      <c r="TPK135" s="547"/>
      <c r="TPL135" s="547"/>
      <c r="TPM135" s="547"/>
      <c r="TPN135" s="549"/>
      <c r="TPO135" s="548"/>
      <c r="TPP135" s="549"/>
      <c r="TPQ135" s="549"/>
      <c r="TPR135" s="549"/>
      <c r="TPS135" s="549"/>
      <c r="TPT135" s="548"/>
      <c r="TPU135" s="548"/>
      <c r="TPV135" s="548"/>
      <c r="TPW135" s="548"/>
      <c r="TPX135" s="8"/>
      <c r="TPY135" s="8"/>
      <c r="TPZ135" s="503"/>
      <c r="TQA135" s="8"/>
      <c r="TQB135" s="8"/>
      <c r="TQC135" s="547"/>
      <c r="TQD135" s="547"/>
      <c r="TQE135" s="547"/>
      <c r="TQF135" s="547"/>
      <c r="TQG135" s="548"/>
      <c r="TQH135" s="547"/>
      <c r="TQI135" s="547"/>
      <c r="TQJ135" s="547"/>
      <c r="TQK135" s="547"/>
      <c r="TQL135" s="548"/>
      <c r="TQM135" s="547"/>
      <c r="TQN135" s="547"/>
      <c r="TQO135" s="547"/>
      <c r="TQP135" s="547"/>
      <c r="TQQ135" s="548"/>
      <c r="TQR135" s="547"/>
      <c r="TQS135" s="547"/>
      <c r="TQT135" s="547"/>
      <c r="TQU135" s="549"/>
      <c r="TQV135" s="548"/>
      <c r="TQW135" s="549"/>
      <c r="TQX135" s="549"/>
      <c r="TQY135" s="549"/>
      <c r="TQZ135" s="549"/>
      <c r="TRA135" s="548"/>
      <c r="TRB135" s="548"/>
      <c r="TRC135" s="548"/>
      <c r="TRD135" s="548"/>
      <c r="TRE135" s="8"/>
      <c r="TRF135" s="8"/>
      <c r="TRG135" s="503"/>
      <c r="TRH135" s="8"/>
      <c r="TRI135" s="8"/>
      <c r="TRJ135" s="547"/>
      <c r="TRK135" s="547"/>
      <c r="TRL135" s="547"/>
      <c r="TRM135" s="547"/>
      <c r="TRN135" s="548"/>
      <c r="TRO135" s="547"/>
      <c r="TRP135" s="547"/>
      <c r="TRQ135" s="547"/>
      <c r="TRR135" s="547"/>
      <c r="TRS135" s="548"/>
      <c r="TRT135" s="547"/>
      <c r="TRU135" s="547"/>
      <c r="TRV135" s="547"/>
      <c r="TRW135" s="547"/>
      <c r="TRX135" s="548"/>
      <c r="TRY135" s="547"/>
      <c r="TRZ135" s="547"/>
      <c r="TSA135" s="547"/>
      <c r="TSB135" s="549"/>
      <c r="TSC135" s="548"/>
      <c r="TSD135" s="549"/>
      <c r="TSE135" s="549"/>
      <c r="TSF135" s="549"/>
      <c r="TSG135" s="549"/>
      <c r="TSH135" s="548"/>
      <c r="TSI135" s="548"/>
      <c r="TSJ135" s="548"/>
      <c r="TSK135" s="548"/>
      <c r="TSL135" s="8"/>
      <c r="TSM135" s="8"/>
      <c r="TSN135" s="503"/>
      <c r="TSO135" s="8"/>
      <c r="TSP135" s="8"/>
      <c r="TSQ135" s="547"/>
      <c r="TSR135" s="547"/>
      <c r="TSS135" s="547"/>
      <c r="TST135" s="547"/>
      <c r="TSU135" s="548"/>
      <c r="TSV135" s="547"/>
      <c r="TSW135" s="547"/>
      <c r="TSX135" s="547"/>
      <c r="TSY135" s="547"/>
      <c r="TSZ135" s="548"/>
      <c r="TTA135" s="547"/>
      <c r="TTB135" s="547"/>
      <c r="TTC135" s="547"/>
      <c r="TTD135" s="547"/>
      <c r="TTE135" s="548"/>
      <c r="TTF135" s="547"/>
      <c r="TTG135" s="547"/>
      <c r="TTH135" s="547"/>
      <c r="TTI135" s="549"/>
      <c r="TTJ135" s="548"/>
      <c r="TTK135" s="549"/>
      <c r="TTL135" s="549"/>
      <c r="TTM135" s="549"/>
      <c r="TTN135" s="549"/>
      <c r="TTO135" s="548"/>
      <c r="TTP135" s="548"/>
      <c r="TTQ135" s="548"/>
      <c r="TTR135" s="548"/>
      <c r="TTS135" s="8"/>
      <c r="TTT135" s="8"/>
      <c r="TTU135" s="503"/>
      <c r="TTV135" s="8"/>
      <c r="TTW135" s="8"/>
      <c r="TTX135" s="547"/>
      <c r="TTY135" s="547"/>
      <c r="TTZ135" s="547"/>
      <c r="TUA135" s="547"/>
      <c r="TUB135" s="548"/>
      <c r="TUC135" s="547"/>
      <c r="TUD135" s="547"/>
      <c r="TUE135" s="547"/>
      <c r="TUF135" s="547"/>
      <c r="TUG135" s="548"/>
      <c r="TUH135" s="547"/>
      <c r="TUI135" s="547"/>
      <c r="TUJ135" s="547"/>
      <c r="TUK135" s="547"/>
      <c r="TUL135" s="548"/>
      <c r="TUM135" s="547"/>
      <c r="TUN135" s="547"/>
      <c r="TUO135" s="547"/>
      <c r="TUP135" s="549"/>
      <c r="TUQ135" s="548"/>
      <c r="TUR135" s="549"/>
      <c r="TUS135" s="549"/>
      <c r="TUT135" s="549"/>
      <c r="TUU135" s="549"/>
      <c r="TUV135" s="548"/>
      <c r="TUW135" s="548"/>
      <c r="TUX135" s="548"/>
      <c r="TUY135" s="548"/>
      <c r="TUZ135" s="8"/>
      <c r="TVA135" s="8"/>
      <c r="TVB135" s="503"/>
      <c r="TVC135" s="8"/>
      <c r="TVD135" s="8"/>
      <c r="TVE135" s="547"/>
      <c r="TVF135" s="547"/>
      <c r="TVG135" s="547"/>
      <c r="TVH135" s="547"/>
      <c r="TVI135" s="548"/>
      <c r="TVJ135" s="547"/>
      <c r="TVK135" s="547"/>
      <c r="TVL135" s="547"/>
      <c r="TVM135" s="547"/>
      <c r="TVN135" s="548"/>
      <c r="TVO135" s="547"/>
      <c r="TVP135" s="547"/>
      <c r="TVQ135" s="547"/>
      <c r="TVR135" s="547"/>
      <c r="TVS135" s="548"/>
      <c r="TVT135" s="547"/>
      <c r="TVU135" s="547"/>
      <c r="TVV135" s="547"/>
      <c r="TVW135" s="549"/>
      <c r="TVX135" s="548"/>
      <c r="TVY135" s="549"/>
      <c r="TVZ135" s="549"/>
      <c r="TWA135" s="549"/>
      <c r="TWB135" s="549"/>
      <c r="TWC135" s="548"/>
      <c r="TWD135" s="548"/>
      <c r="TWE135" s="548"/>
      <c r="TWF135" s="548"/>
      <c r="TWG135" s="8"/>
      <c r="TWH135" s="8"/>
      <c r="TWI135" s="503"/>
      <c r="TWJ135" s="8"/>
      <c r="TWK135" s="8"/>
      <c r="TWL135" s="547"/>
      <c r="TWM135" s="547"/>
      <c r="TWN135" s="547"/>
      <c r="TWO135" s="547"/>
      <c r="TWP135" s="548"/>
      <c r="TWQ135" s="547"/>
      <c r="TWR135" s="547"/>
      <c r="TWS135" s="547"/>
      <c r="TWT135" s="547"/>
      <c r="TWU135" s="548"/>
      <c r="TWV135" s="547"/>
      <c r="TWW135" s="547"/>
      <c r="TWX135" s="547"/>
      <c r="TWY135" s="547"/>
      <c r="TWZ135" s="548"/>
      <c r="TXA135" s="547"/>
      <c r="TXB135" s="547"/>
      <c r="TXC135" s="547"/>
      <c r="TXD135" s="549"/>
      <c r="TXE135" s="548"/>
      <c r="TXF135" s="549"/>
      <c r="TXG135" s="549"/>
      <c r="TXH135" s="549"/>
      <c r="TXI135" s="549"/>
      <c r="TXJ135" s="548"/>
      <c r="TXK135" s="548"/>
      <c r="TXL135" s="548"/>
      <c r="TXM135" s="548"/>
      <c r="TXN135" s="8"/>
      <c r="TXO135" s="8"/>
      <c r="TXP135" s="503"/>
      <c r="TXQ135" s="8"/>
      <c r="TXR135" s="8"/>
      <c r="TXS135" s="547"/>
      <c r="TXT135" s="547"/>
      <c r="TXU135" s="547"/>
      <c r="TXV135" s="547"/>
      <c r="TXW135" s="548"/>
      <c r="TXX135" s="547"/>
      <c r="TXY135" s="547"/>
      <c r="TXZ135" s="547"/>
      <c r="TYA135" s="547"/>
      <c r="TYB135" s="548"/>
      <c r="TYC135" s="547"/>
      <c r="TYD135" s="547"/>
      <c r="TYE135" s="547"/>
      <c r="TYF135" s="547"/>
      <c r="TYG135" s="548"/>
      <c r="TYH135" s="547"/>
      <c r="TYI135" s="547"/>
      <c r="TYJ135" s="547"/>
      <c r="TYK135" s="549"/>
      <c r="TYL135" s="548"/>
      <c r="TYM135" s="549"/>
      <c r="TYN135" s="549"/>
      <c r="TYO135" s="549"/>
      <c r="TYP135" s="549"/>
      <c r="TYQ135" s="548"/>
      <c r="TYR135" s="548"/>
      <c r="TYS135" s="548"/>
      <c r="TYT135" s="548"/>
      <c r="TYU135" s="8"/>
      <c r="TYV135" s="8"/>
      <c r="TYW135" s="503"/>
      <c r="TYX135" s="8"/>
      <c r="TYY135" s="8"/>
      <c r="TYZ135" s="547"/>
      <c r="TZA135" s="547"/>
      <c r="TZB135" s="547"/>
      <c r="TZC135" s="547"/>
      <c r="TZD135" s="548"/>
      <c r="TZE135" s="547"/>
      <c r="TZF135" s="547"/>
      <c r="TZG135" s="547"/>
      <c r="TZH135" s="547"/>
      <c r="TZI135" s="548"/>
      <c r="TZJ135" s="547"/>
      <c r="TZK135" s="547"/>
      <c r="TZL135" s="547"/>
      <c r="TZM135" s="547"/>
      <c r="TZN135" s="548"/>
      <c r="TZO135" s="547"/>
      <c r="TZP135" s="547"/>
      <c r="TZQ135" s="547"/>
      <c r="TZR135" s="549"/>
      <c r="TZS135" s="548"/>
      <c r="TZT135" s="549"/>
      <c r="TZU135" s="549"/>
      <c r="TZV135" s="549"/>
      <c r="TZW135" s="549"/>
      <c r="TZX135" s="548"/>
      <c r="TZY135" s="548"/>
      <c r="TZZ135" s="548"/>
      <c r="UAA135" s="548"/>
      <c r="UAB135" s="8"/>
      <c r="UAC135" s="8"/>
      <c r="UAD135" s="503"/>
      <c r="UAE135" s="8"/>
      <c r="UAF135" s="8"/>
      <c r="UAG135" s="547"/>
      <c r="UAH135" s="547"/>
      <c r="UAI135" s="547"/>
      <c r="UAJ135" s="547"/>
      <c r="UAK135" s="548"/>
      <c r="UAL135" s="547"/>
      <c r="UAM135" s="547"/>
      <c r="UAN135" s="547"/>
      <c r="UAO135" s="547"/>
      <c r="UAP135" s="548"/>
      <c r="UAQ135" s="547"/>
      <c r="UAR135" s="547"/>
      <c r="UAS135" s="547"/>
      <c r="UAT135" s="547"/>
      <c r="UAU135" s="548"/>
      <c r="UAV135" s="547"/>
      <c r="UAW135" s="547"/>
      <c r="UAX135" s="547"/>
      <c r="UAY135" s="549"/>
      <c r="UAZ135" s="548"/>
      <c r="UBA135" s="549"/>
      <c r="UBB135" s="549"/>
      <c r="UBC135" s="549"/>
      <c r="UBD135" s="549"/>
      <c r="UBE135" s="548"/>
      <c r="UBF135" s="548"/>
      <c r="UBG135" s="548"/>
      <c r="UBH135" s="548"/>
      <c r="UBI135" s="8"/>
      <c r="UBJ135" s="8"/>
      <c r="UBK135" s="503"/>
      <c r="UBL135" s="8"/>
      <c r="UBM135" s="8"/>
      <c r="UBN135" s="547"/>
      <c r="UBO135" s="547"/>
      <c r="UBP135" s="547"/>
      <c r="UBQ135" s="547"/>
      <c r="UBR135" s="548"/>
      <c r="UBS135" s="547"/>
      <c r="UBT135" s="547"/>
      <c r="UBU135" s="547"/>
      <c r="UBV135" s="547"/>
      <c r="UBW135" s="548"/>
      <c r="UBX135" s="547"/>
      <c r="UBY135" s="547"/>
      <c r="UBZ135" s="547"/>
      <c r="UCA135" s="547"/>
      <c r="UCB135" s="548"/>
      <c r="UCC135" s="547"/>
      <c r="UCD135" s="547"/>
      <c r="UCE135" s="547"/>
      <c r="UCF135" s="549"/>
      <c r="UCG135" s="548"/>
      <c r="UCH135" s="549"/>
      <c r="UCI135" s="549"/>
      <c r="UCJ135" s="549"/>
      <c r="UCK135" s="549"/>
      <c r="UCL135" s="548"/>
      <c r="UCM135" s="548"/>
      <c r="UCN135" s="548"/>
      <c r="UCO135" s="548"/>
      <c r="UCP135" s="8"/>
      <c r="UCQ135" s="8"/>
      <c r="UCR135" s="503"/>
      <c r="UCS135" s="8"/>
      <c r="UCT135" s="8"/>
      <c r="UCU135" s="547"/>
      <c r="UCV135" s="547"/>
      <c r="UCW135" s="547"/>
      <c r="UCX135" s="547"/>
      <c r="UCY135" s="548"/>
      <c r="UCZ135" s="547"/>
      <c r="UDA135" s="547"/>
      <c r="UDB135" s="547"/>
      <c r="UDC135" s="547"/>
      <c r="UDD135" s="548"/>
      <c r="UDE135" s="547"/>
      <c r="UDF135" s="547"/>
      <c r="UDG135" s="547"/>
      <c r="UDH135" s="547"/>
      <c r="UDI135" s="548"/>
      <c r="UDJ135" s="547"/>
      <c r="UDK135" s="547"/>
      <c r="UDL135" s="547"/>
      <c r="UDM135" s="549"/>
      <c r="UDN135" s="548"/>
      <c r="UDO135" s="549"/>
      <c r="UDP135" s="549"/>
      <c r="UDQ135" s="549"/>
      <c r="UDR135" s="549"/>
      <c r="UDS135" s="548"/>
      <c r="UDT135" s="548"/>
      <c r="UDU135" s="548"/>
      <c r="UDV135" s="548"/>
      <c r="UDW135" s="8"/>
      <c r="UDX135" s="8"/>
      <c r="UDY135" s="503"/>
      <c r="UDZ135" s="8"/>
      <c r="UEA135" s="8"/>
      <c r="UEB135" s="547"/>
      <c r="UEC135" s="547"/>
      <c r="UED135" s="547"/>
      <c r="UEE135" s="547"/>
      <c r="UEF135" s="548"/>
      <c r="UEG135" s="547"/>
      <c r="UEH135" s="547"/>
      <c r="UEI135" s="547"/>
      <c r="UEJ135" s="547"/>
      <c r="UEK135" s="548"/>
      <c r="UEL135" s="547"/>
      <c r="UEM135" s="547"/>
      <c r="UEN135" s="547"/>
      <c r="UEO135" s="547"/>
      <c r="UEP135" s="548"/>
      <c r="UEQ135" s="547"/>
      <c r="UER135" s="547"/>
      <c r="UES135" s="547"/>
      <c r="UET135" s="549"/>
      <c r="UEU135" s="548"/>
      <c r="UEV135" s="549"/>
      <c r="UEW135" s="549"/>
      <c r="UEX135" s="549"/>
      <c r="UEY135" s="549"/>
      <c r="UEZ135" s="548"/>
      <c r="UFA135" s="548"/>
      <c r="UFB135" s="548"/>
      <c r="UFC135" s="548"/>
      <c r="UFD135" s="8"/>
      <c r="UFE135" s="8"/>
      <c r="UFF135" s="503"/>
      <c r="UFG135" s="8"/>
      <c r="UFH135" s="8"/>
      <c r="UFI135" s="547"/>
      <c r="UFJ135" s="547"/>
      <c r="UFK135" s="547"/>
      <c r="UFL135" s="547"/>
      <c r="UFM135" s="548"/>
      <c r="UFN135" s="547"/>
      <c r="UFO135" s="547"/>
      <c r="UFP135" s="547"/>
      <c r="UFQ135" s="547"/>
      <c r="UFR135" s="548"/>
      <c r="UFS135" s="547"/>
      <c r="UFT135" s="547"/>
      <c r="UFU135" s="547"/>
      <c r="UFV135" s="547"/>
      <c r="UFW135" s="548"/>
      <c r="UFX135" s="547"/>
      <c r="UFY135" s="547"/>
      <c r="UFZ135" s="547"/>
      <c r="UGA135" s="549"/>
      <c r="UGB135" s="548"/>
      <c r="UGC135" s="549"/>
      <c r="UGD135" s="549"/>
      <c r="UGE135" s="549"/>
      <c r="UGF135" s="549"/>
      <c r="UGG135" s="548"/>
      <c r="UGH135" s="548"/>
      <c r="UGI135" s="548"/>
      <c r="UGJ135" s="548"/>
      <c r="UGK135" s="8"/>
      <c r="UGL135" s="8"/>
      <c r="UGM135" s="503"/>
      <c r="UGN135" s="8"/>
      <c r="UGO135" s="8"/>
      <c r="UGP135" s="547"/>
      <c r="UGQ135" s="547"/>
      <c r="UGR135" s="547"/>
      <c r="UGS135" s="547"/>
      <c r="UGT135" s="548"/>
      <c r="UGU135" s="547"/>
      <c r="UGV135" s="547"/>
      <c r="UGW135" s="547"/>
      <c r="UGX135" s="547"/>
      <c r="UGY135" s="548"/>
      <c r="UGZ135" s="547"/>
      <c r="UHA135" s="547"/>
      <c r="UHB135" s="547"/>
      <c r="UHC135" s="547"/>
      <c r="UHD135" s="548"/>
      <c r="UHE135" s="547"/>
      <c r="UHF135" s="547"/>
      <c r="UHG135" s="547"/>
      <c r="UHH135" s="549"/>
      <c r="UHI135" s="548"/>
      <c r="UHJ135" s="549"/>
      <c r="UHK135" s="549"/>
      <c r="UHL135" s="549"/>
      <c r="UHM135" s="549"/>
      <c r="UHN135" s="548"/>
      <c r="UHO135" s="548"/>
      <c r="UHP135" s="548"/>
      <c r="UHQ135" s="548"/>
      <c r="UHR135" s="8"/>
      <c r="UHS135" s="8"/>
      <c r="UHT135" s="503"/>
      <c r="UHU135" s="8"/>
      <c r="UHV135" s="8"/>
      <c r="UHW135" s="547"/>
      <c r="UHX135" s="547"/>
      <c r="UHY135" s="547"/>
      <c r="UHZ135" s="547"/>
      <c r="UIA135" s="548"/>
      <c r="UIB135" s="547"/>
      <c r="UIC135" s="547"/>
      <c r="UID135" s="547"/>
      <c r="UIE135" s="547"/>
      <c r="UIF135" s="548"/>
      <c r="UIG135" s="547"/>
      <c r="UIH135" s="547"/>
      <c r="UII135" s="547"/>
      <c r="UIJ135" s="547"/>
      <c r="UIK135" s="548"/>
      <c r="UIL135" s="547"/>
      <c r="UIM135" s="547"/>
      <c r="UIN135" s="547"/>
      <c r="UIO135" s="549"/>
      <c r="UIP135" s="548"/>
      <c r="UIQ135" s="549"/>
      <c r="UIR135" s="549"/>
      <c r="UIS135" s="549"/>
      <c r="UIT135" s="549"/>
      <c r="UIU135" s="548"/>
      <c r="UIV135" s="548"/>
      <c r="UIW135" s="548"/>
      <c r="UIX135" s="548"/>
      <c r="UIY135" s="8"/>
      <c r="UIZ135" s="8"/>
      <c r="UJA135" s="503"/>
      <c r="UJB135" s="8"/>
      <c r="UJC135" s="8"/>
      <c r="UJD135" s="547"/>
      <c r="UJE135" s="547"/>
      <c r="UJF135" s="547"/>
      <c r="UJG135" s="547"/>
      <c r="UJH135" s="548"/>
      <c r="UJI135" s="547"/>
      <c r="UJJ135" s="547"/>
      <c r="UJK135" s="547"/>
      <c r="UJL135" s="547"/>
      <c r="UJM135" s="548"/>
      <c r="UJN135" s="547"/>
      <c r="UJO135" s="547"/>
      <c r="UJP135" s="547"/>
      <c r="UJQ135" s="547"/>
      <c r="UJR135" s="548"/>
      <c r="UJS135" s="547"/>
      <c r="UJT135" s="547"/>
      <c r="UJU135" s="547"/>
      <c r="UJV135" s="549"/>
      <c r="UJW135" s="548"/>
      <c r="UJX135" s="549"/>
      <c r="UJY135" s="549"/>
      <c r="UJZ135" s="549"/>
      <c r="UKA135" s="549"/>
      <c r="UKB135" s="548"/>
      <c r="UKC135" s="548"/>
      <c r="UKD135" s="548"/>
      <c r="UKE135" s="548"/>
      <c r="UKF135" s="8"/>
      <c r="UKG135" s="8"/>
      <c r="UKH135" s="503"/>
      <c r="UKI135" s="8"/>
      <c r="UKJ135" s="8"/>
      <c r="UKK135" s="547"/>
      <c r="UKL135" s="547"/>
      <c r="UKM135" s="547"/>
      <c r="UKN135" s="547"/>
      <c r="UKO135" s="548"/>
      <c r="UKP135" s="547"/>
      <c r="UKQ135" s="547"/>
      <c r="UKR135" s="547"/>
      <c r="UKS135" s="547"/>
      <c r="UKT135" s="548"/>
      <c r="UKU135" s="547"/>
      <c r="UKV135" s="547"/>
      <c r="UKW135" s="547"/>
      <c r="UKX135" s="547"/>
      <c r="UKY135" s="548"/>
      <c r="UKZ135" s="547"/>
      <c r="ULA135" s="547"/>
      <c r="ULB135" s="547"/>
      <c r="ULC135" s="549"/>
      <c r="ULD135" s="548"/>
      <c r="ULE135" s="549"/>
      <c r="ULF135" s="549"/>
      <c r="ULG135" s="549"/>
      <c r="ULH135" s="549"/>
      <c r="ULI135" s="548"/>
      <c r="ULJ135" s="548"/>
      <c r="ULK135" s="548"/>
      <c r="ULL135" s="548"/>
      <c r="ULM135" s="8"/>
      <c r="ULN135" s="8"/>
      <c r="ULO135" s="503"/>
      <c r="ULP135" s="8"/>
      <c r="ULQ135" s="8"/>
      <c r="ULR135" s="547"/>
      <c r="ULS135" s="547"/>
      <c r="ULT135" s="547"/>
      <c r="ULU135" s="547"/>
      <c r="ULV135" s="548"/>
      <c r="ULW135" s="547"/>
      <c r="ULX135" s="547"/>
      <c r="ULY135" s="547"/>
      <c r="ULZ135" s="547"/>
      <c r="UMA135" s="548"/>
      <c r="UMB135" s="547"/>
      <c r="UMC135" s="547"/>
      <c r="UMD135" s="547"/>
      <c r="UME135" s="547"/>
      <c r="UMF135" s="548"/>
      <c r="UMG135" s="547"/>
      <c r="UMH135" s="547"/>
      <c r="UMI135" s="547"/>
      <c r="UMJ135" s="549"/>
      <c r="UMK135" s="548"/>
      <c r="UML135" s="549"/>
      <c r="UMM135" s="549"/>
      <c r="UMN135" s="549"/>
      <c r="UMO135" s="549"/>
      <c r="UMP135" s="548"/>
      <c r="UMQ135" s="548"/>
      <c r="UMR135" s="548"/>
      <c r="UMS135" s="548"/>
      <c r="UMT135" s="8"/>
      <c r="UMU135" s="8"/>
      <c r="UMV135" s="503"/>
      <c r="UMW135" s="8"/>
      <c r="UMX135" s="8"/>
      <c r="UMY135" s="547"/>
      <c r="UMZ135" s="547"/>
      <c r="UNA135" s="547"/>
      <c r="UNB135" s="547"/>
      <c r="UNC135" s="548"/>
      <c r="UND135" s="547"/>
      <c r="UNE135" s="547"/>
      <c r="UNF135" s="547"/>
      <c r="UNG135" s="547"/>
      <c r="UNH135" s="548"/>
      <c r="UNI135" s="547"/>
      <c r="UNJ135" s="547"/>
      <c r="UNK135" s="547"/>
      <c r="UNL135" s="547"/>
      <c r="UNM135" s="548"/>
      <c r="UNN135" s="547"/>
      <c r="UNO135" s="547"/>
      <c r="UNP135" s="547"/>
      <c r="UNQ135" s="549"/>
      <c r="UNR135" s="548"/>
      <c r="UNS135" s="549"/>
      <c r="UNT135" s="549"/>
      <c r="UNU135" s="549"/>
      <c r="UNV135" s="549"/>
      <c r="UNW135" s="548"/>
      <c r="UNX135" s="548"/>
      <c r="UNY135" s="548"/>
      <c r="UNZ135" s="548"/>
      <c r="UOA135" s="8"/>
      <c r="UOB135" s="8"/>
      <c r="UOC135" s="503"/>
      <c r="UOD135" s="8"/>
      <c r="UOE135" s="8"/>
      <c r="UOF135" s="547"/>
      <c r="UOG135" s="547"/>
      <c r="UOH135" s="547"/>
      <c r="UOI135" s="547"/>
      <c r="UOJ135" s="548"/>
      <c r="UOK135" s="547"/>
      <c r="UOL135" s="547"/>
      <c r="UOM135" s="547"/>
      <c r="UON135" s="547"/>
      <c r="UOO135" s="548"/>
      <c r="UOP135" s="547"/>
      <c r="UOQ135" s="547"/>
      <c r="UOR135" s="547"/>
      <c r="UOS135" s="547"/>
      <c r="UOT135" s="548"/>
      <c r="UOU135" s="547"/>
      <c r="UOV135" s="547"/>
      <c r="UOW135" s="547"/>
      <c r="UOX135" s="549"/>
      <c r="UOY135" s="548"/>
      <c r="UOZ135" s="549"/>
      <c r="UPA135" s="549"/>
      <c r="UPB135" s="549"/>
      <c r="UPC135" s="549"/>
      <c r="UPD135" s="548"/>
      <c r="UPE135" s="548"/>
      <c r="UPF135" s="548"/>
      <c r="UPG135" s="548"/>
      <c r="UPH135" s="8"/>
      <c r="UPI135" s="8"/>
      <c r="UPJ135" s="503"/>
      <c r="UPK135" s="8"/>
      <c r="UPL135" s="8"/>
      <c r="UPM135" s="547"/>
      <c r="UPN135" s="547"/>
      <c r="UPO135" s="547"/>
      <c r="UPP135" s="547"/>
      <c r="UPQ135" s="548"/>
      <c r="UPR135" s="547"/>
      <c r="UPS135" s="547"/>
      <c r="UPT135" s="547"/>
      <c r="UPU135" s="547"/>
      <c r="UPV135" s="548"/>
      <c r="UPW135" s="547"/>
      <c r="UPX135" s="547"/>
      <c r="UPY135" s="547"/>
      <c r="UPZ135" s="547"/>
      <c r="UQA135" s="548"/>
      <c r="UQB135" s="547"/>
      <c r="UQC135" s="547"/>
      <c r="UQD135" s="547"/>
      <c r="UQE135" s="549"/>
      <c r="UQF135" s="548"/>
      <c r="UQG135" s="549"/>
      <c r="UQH135" s="549"/>
      <c r="UQI135" s="549"/>
      <c r="UQJ135" s="549"/>
      <c r="UQK135" s="548"/>
      <c r="UQL135" s="548"/>
      <c r="UQM135" s="548"/>
      <c r="UQN135" s="548"/>
      <c r="UQO135" s="8"/>
      <c r="UQP135" s="8"/>
      <c r="UQQ135" s="503"/>
      <c r="UQR135" s="8"/>
      <c r="UQS135" s="8"/>
      <c r="UQT135" s="547"/>
      <c r="UQU135" s="547"/>
      <c r="UQV135" s="547"/>
      <c r="UQW135" s="547"/>
      <c r="UQX135" s="548"/>
      <c r="UQY135" s="547"/>
      <c r="UQZ135" s="547"/>
      <c r="URA135" s="547"/>
      <c r="URB135" s="547"/>
      <c r="URC135" s="548"/>
      <c r="URD135" s="547"/>
      <c r="URE135" s="547"/>
      <c r="URF135" s="547"/>
      <c r="URG135" s="547"/>
      <c r="URH135" s="548"/>
      <c r="URI135" s="547"/>
      <c r="URJ135" s="547"/>
      <c r="URK135" s="547"/>
      <c r="URL135" s="549"/>
      <c r="URM135" s="548"/>
      <c r="URN135" s="549"/>
      <c r="URO135" s="549"/>
      <c r="URP135" s="549"/>
      <c r="URQ135" s="549"/>
      <c r="URR135" s="548"/>
      <c r="URS135" s="548"/>
      <c r="URT135" s="548"/>
      <c r="URU135" s="548"/>
      <c r="URV135" s="8"/>
      <c r="URW135" s="8"/>
      <c r="URX135" s="503"/>
      <c r="URY135" s="8"/>
      <c r="URZ135" s="8"/>
      <c r="USA135" s="547"/>
      <c r="USB135" s="547"/>
      <c r="USC135" s="547"/>
      <c r="USD135" s="547"/>
      <c r="USE135" s="548"/>
      <c r="USF135" s="547"/>
      <c r="USG135" s="547"/>
      <c r="USH135" s="547"/>
      <c r="USI135" s="547"/>
      <c r="USJ135" s="548"/>
      <c r="USK135" s="547"/>
      <c r="USL135" s="547"/>
      <c r="USM135" s="547"/>
      <c r="USN135" s="547"/>
      <c r="USO135" s="548"/>
      <c r="USP135" s="547"/>
      <c r="USQ135" s="547"/>
      <c r="USR135" s="547"/>
      <c r="USS135" s="549"/>
      <c r="UST135" s="548"/>
      <c r="USU135" s="549"/>
      <c r="USV135" s="549"/>
      <c r="USW135" s="549"/>
      <c r="USX135" s="549"/>
      <c r="USY135" s="548"/>
      <c r="USZ135" s="548"/>
      <c r="UTA135" s="548"/>
      <c r="UTB135" s="548"/>
      <c r="UTC135" s="8"/>
      <c r="UTD135" s="8"/>
      <c r="UTE135" s="503"/>
      <c r="UTF135" s="8"/>
      <c r="UTG135" s="8"/>
      <c r="UTH135" s="547"/>
      <c r="UTI135" s="547"/>
      <c r="UTJ135" s="547"/>
      <c r="UTK135" s="547"/>
      <c r="UTL135" s="548"/>
      <c r="UTM135" s="547"/>
      <c r="UTN135" s="547"/>
      <c r="UTO135" s="547"/>
      <c r="UTP135" s="547"/>
      <c r="UTQ135" s="548"/>
      <c r="UTR135" s="547"/>
      <c r="UTS135" s="547"/>
      <c r="UTT135" s="547"/>
      <c r="UTU135" s="547"/>
      <c r="UTV135" s="548"/>
      <c r="UTW135" s="547"/>
      <c r="UTX135" s="547"/>
      <c r="UTY135" s="547"/>
      <c r="UTZ135" s="549"/>
      <c r="UUA135" s="548"/>
      <c r="UUB135" s="549"/>
      <c r="UUC135" s="549"/>
      <c r="UUD135" s="549"/>
      <c r="UUE135" s="549"/>
      <c r="UUF135" s="548"/>
      <c r="UUG135" s="548"/>
      <c r="UUH135" s="548"/>
      <c r="UUI135" s="548"/>
      <c r="UUJ135" s="8"/>
      <c r="UUK135" s="8"/>
      <c r="UUL135" s="503"/>
      <c r="UUM135" s="8"/>
      <c r="UUN135" s="8"/>
      <c r="UUO135" s="547"/>
      <c r="UUP135" s="547"/>
      <c r="UUQ135" s="547"/>
      <c r="UUR135" s="547"/>
      <c r="UUS135" s="548"/>
      <c r="UUT135" s="547"/>
      <c r="UUU135" s="547"/>
      <c r="UUV135" s="547"/>
      <c r="UUW135" s="547"/>
      <c r="UUX135" s="548"/>
      <c r="UUY135" s="547"/>
      <c r="UUZ135" s="547"/>
      <c r="UVA135" s="547"/>
      <c r="UVB135" s="547"/>
      <c r="UVC135" s="548"/>
      <c r="UVD135" s="547"/>
      <c r="UVE135" s="547"/>
      <c r="UVF135" s="547"/>
      <c r="UVG135" s="549"/>
      <c r="UVH135" s="548"/>
      <c r="UVI135" s="549"/>
      <c r="UVJ135" s="549"/>
      <c r="UVK135" s="549"/>
      <c r="UVL135" s="549"/>
      <c r="UVM135" s="548"/>
      <c r="UVN135" s="548"/>
      <c r="UVO135" s="548"/>
      <c r="UVP135" s="548"/>
      <c r="UVQ135" s="8"/>
      <c r="UVR135" s="8"/>
      <c r="UVS135" s="503"/>
      <c r="UVT135" s="8"/>
      <c r="UVU135" s="8"/>
      <c r="UVV135" s="547"/>
      <c r="UVW135" s="547"/>
      <c r="UVX135" s="547"/>
      <c r="UVY135" s="547"/>
      <c r="UVZ135" s="548"/>
      <c r="UWA135" s="547"/>
      <c r="UWB135" s="547"/>
      <c r="UWC135" s="547"/>
      <c r="UWD135" s="547"/>
      <c r="UWE135" s="548"/>
      <c r="UWF135" s="547"/>
      <c r="UWG135" s="547"/>
      <c r="UWH135" s="547"/>
      <c r="UWI135" s="547"/>
      <c r="UWJ135" s="548"/>
      <c r="UWK135" s="547"/>
      <c r="UWL135" s="547"/>
      <c r="UWM135" s="547"/>
      <c r="UWN135" s="549"/>
      <c r="UWO135" s="548"/>
      <c r="UWP135" s="549"/>
      <c r="UWQ135" s="549"/>
      <c r="UWR135" s="549"/>
      <c r="UWS135" s="549"/>
      <c r="UWT135" s="548"/>
      <c r="UWU135" s="548"/>
      <c r="UWV135" s="548"/>
      <c r="UWW135" s="548"/>
      <c r="UWX135" s="8"/>
      <c r="UWY135" s="8"/>
      <c r="UWZ135" s="503"/>
      <c r="UXA135" s="8"/>
      <c r="UXB135" s="8"/>
      <c r="UXC135" s="547"/>
      <c r="UXD135" s="547"/>
      <c r="UXE135" s="547"/>
      <c r="UXF135" s="547"/>
      <c r="UXG135" s="548"/>
      <c r="UXH135" s="547"/>
      <c r="UXI135" s="547"/>
      <c r="UXJ135" s="547"/>
      <c r="UXK135" s="547"/>
      <c r="UXL135" s="548"/>
      <c r="UXM135" s="547"/>
      <c r="UXN135" s="547"/>
      <c r="UXO135" s="547"/>
      <c r="UXP135" s="547"/>
      <c r="UXQ135" s="548"/>
      <c r="UXR135" s="547"/>
      <c r="UXS135" s="547"/>
      <c r="UXT135" s="547"/>
      <c r="UXU135" s="549"/>
      <c r="UXV135" s="548"/>
      <c r="UXW135" s="549"/>
      <c r="UXX135" s="549"/>
      <c r="UXY135" s="549"/>
      <c r="UXZ135" s="549"/>
      <c r="UYA135" s="548"/>
      <c r="UYB135" s="548"/>
      <c r="UYC135" s="548"/>
      <c r="UYD135" s="548"/>
      <c r="UYE135" s="8"/>
      <c r="UYF135" s="8"/>
      <c r="UYG135" s="503"/>
      <c r="UYH135" s="8"/>
      <c r="UYI135" s="8"/>
      <c r="UYJ135" s="547"/>
      <c r="UYK135" s="547"/>
      <c r="UYL135" s="547"/>
      <c r="UYM135" s="547"/>
      <c r="UYN135" s="548"/>
      <c r="UYO135" s="547"/>
      <c r="UYP135" s="547"/>
      <c r="UYQ135" s="547"/>
      <c r="UYR135" s="547"/>
      <c r="UYS135" s="548"/>
      <c r="UYT135" s="547"/>
      <c r="UYU135" s="547"/>
      <c r="UYV135" s="547"/>
      <c r="UYW135" s="547"/>
      <c r="UYX135" s="548"/>
      <c r="UYY135" s="547"/>
      <c r="UYZ135" s="547"/>
      <c r="UZA135" s="547"/>
      <c r="UZB135" s="549"/>
      <c r="UZC135" s="548"/>
      <c r="UZD135" s="549"/>
      <c r="UZE135" s="549"/>
      <c r="UZF135" s="549"/>
      <c r="UZG135" s="549"/>
      <c r="UZH135" s="548"/>
      <c r="UZI135" s="548"/>
      <c r="UZJ135" s="548"/>
      <c r="UZK135" s="548"/>
      <c r="UZL135" s="8"/>
      <c r="UZM135" s="8"/>
      <c r="UZN135" s="503"/>
      <c r="UZO135" s="8"/>
      <c r="UZP135" s="8"/>
      <c r="UZQ135" s="547"/>
      <c r="UZR135" s="547"/>
      <c r="UZS135" s="547"/>
      <c r="UZT135" s="547"/>
      <c r="UZU135" s="548"/>
      <c r="UZV135" s="547"/>
      <c r="UZW135" s="547"/>
      <c r="UZX135" s="547"/>
      <c r="UZY135" s="547"/>
      <c r="UZZ135" s="548"/>
      <c r="VAA135" s="547"/>
      <c r="VAB135" s="547"/>
      <c r="VAC135" s="547"/>
      <c r="VAD135" s="547"/>
      <c r="VAE135" s="548"/>
      <c r="VAF135" s="547"/>
      <c r="VAG135" s="547"/>
      <c r="VAH135" s="547"/>
      <c r="VAI135" s="549"/>
      <c r="VAJ135" s="548"/>
      <c r="VAK135" s="549"/>
      <c r="VAL135" s="549"/>
      <c r="VAM135" s="549"/>
      <c r="VAN135" s="549"/>
      <c r="VAO135" s="548"/>
      <c r="VAP135" s="548"/>
      <c r="VAQ135" s="548"/>
      <c r="VAR135" s="548"/>
      <c r="VAS135" s="8"/>
      <c r="VAT135" s="8"/>
      <c r="VAU135" s="503"/>
      <c r="VAV135" s="8"/>
      <c r="VAW135" s="8"/>
      <c r="VAX135" s="547"/>
      <c r="VAY135" s="547"/>
      <c r="VAZ135" s="547"/>
      <c r="VBA135" s="547"/>
      <c r="VBB135" s="548"/>
      <c r="VBC135" s="547"/>
      <c r="VBD135" s="547"/>
      <c r="VBE135" s="547"/>
      <c r="VBF135" s="547"/>
      <c r="VBG135" s="548"/>
      <c r="VBH135" s="547"/>
      <c r="VBI135" s="547"/>
      <c r="VBJ135" s="547"/>
      <c r="VBK135" s="547"/>
      <c r="VBL135" s="548"/>
      <c r="VBM135" s="547"/>
      <c r="VBN135" s="547"/>
      <c r="VBO135" s="547"/>
      <c r="VBP135" s="549"/>
      <c r="VBQ135" s="548"/>
      <c r="VBR135" s="549"/>
      <c r="VBS135" s="549"/>
      <c r="VBT135" s="549"/>
      <c r="VBU135" s="549"/>
      <c r="VBV135" s="548"/>
      <c r="VBW135" s="548"/>
      <c r="VBX135" s="548"/>
      <c r="VBY135" s="548"/>
      <c r="VBZ135" s="8"/>
      <c r="VCA135" s="8"/>
      <c r="VCB135" s="503"/>
      <c r="VCC135" s="8"/>
      <c r="VCD135" s="8"/>
      <c r="VCE135" s="547"/>
      <c r="VCF135" s="547"/>
      <c r="VCG135" s="547"/>
      <c r="VCH135" s="547"/>
      <c r="VCI135" s="548"/>
      <c r="VCJ135" s="547"/>
      <c r="VCK135" s="547"/>
      <c r="VCL135" s="547"/>
      <c r="VCM135" s="547"/>
      <c r="VCN135" s="548"/>
      <c r="VCO135" s="547"/>
      <c r="VCP135" s="547"/>
      <c r="VCQ135" s="547"/>
      <c r="VCR135" s="547"/>
      <c r="VCS135" s="548"/>
      <c r="VCT135" s="547"/>
      <c r="VCU135" s="547"/>
      <c r="VCV135" s="547"/>
      <c r="VCW135" s="549"/>
      <c r="VCX135" s="548"/>
      <c r="VCY135" s="549"/>
      <c r="VCZ135" s="549"/>
      <c r="VDA135" s="549"/>
      <c r="VDB135" s="549"/>
      <c r="VDC135" s="548"/>
      <c r="VDD135" s="548"/>
      <c r="VDE135" s="548"/>
      <c r="VDF135" s="548"/>
      <c r="VDG135" s="8"/>
      <c r="VDH135" s="8"/>
      <c r="VDI135" s="503"/>
      <c r="VDJ135" s="8"/>
      <c r="VDK135" s="8"/>
      <c r="VDL135" s="547"/>
      <c r="VDM135" s="547"/>
      <c r="VDN135" s="547"/>
      <c r="VDO135" s="547"/>
      <c r="VDP135" s="548"/>
      <c r="VDQ135" s="547"/>
      <c r="VDR135" s="547"/>
      <c r="VDS135" s="547"/>
      <c r="VDT135" s="547"/>
      <c r="VDU135" s="548"/>
      <c r="VDV135" s="547"/>
      <c r="VDW135" s="547"/>
      <c r="VDX135" s="547"/>
      <c r="VDY135" s="547"/>
      <c r="VDZ135" s="548"/>
      <c r="VEA135" s="547"/>
      <c r="VEB135" s="547"/>
      <c r="VEC135" s="547"/>
      <c r="VED135" s="549"/>
      <c r="VEE135" s="548"/>
      <c r="VEF135" s="549"/>
      <c r="VEG135" s="549"/>
      <c r="VEH135" s="549"/>
      <c r="VEI135" s="549"/>
      <c r="VEJ135" s="548"/>
      <c r="VEK135" s="548"/>
      <c r="VEL135" s="548"/>
      <c r="VEM135" s="548"/>
      <c r="VEN135" s="8"/>
      <c r="VEO135" s="8"/>
      <c r="VEP135" s="503"/>
      <c r="VEQ135" s="8"/>
      <c r="VER135" s="8"/>
      <c r="VES135" s="547"/>
      <c r="VET135" s="547"/>
      <c r="VEU135" s="547"/>
      <c r="VEV135" s="547"/>
      <c r="VEW135" s="548"/>
      <c r="VEX135" s="547"/>
      <c r="VEY135" s="547"/>
      <c r="VEZ135" s="547"/>
      <c r="VFA135" s="547"/>
      <c r="VFB135" s="548"/>
      <c r="VFC135" s="547"/>
      <c r="VFD135" s="547"/>
      <c r="VFE135" s="547"/>
      <c r="VFF135" s="547"/>
      <c r="VFG135" s="548"/>
      <c r="VFH135" s="547"/>
      <c r="VFI135" s="547"/>
      <c r="VFJ135" s="547"/>
      <c r="VFK135" s="549"/>
      <c r="VFL135" s="548"/>
      <c r="VFM135" s="549"/>
      <c r="VFN135" s="549"/>
      <c r="VFO135" s="549"/>
      <c r="VFP135" s="549"/>
      <c r="VFQ135" s="548"/>
      <c r="VFR135" s="548"/>
      <c r="VFS135" s="548"/>
      <c r="VFT135" s="548"/>
      <c r="VFU135" s="8"/>
      <c r="VFV135" s="8"/>
      <c r="VFW135" s="503"/>
      <c r="VFX135" s="8"/>
      <c r="VFY135" s="8"/>
      <c r="VFZ135" s="547"/>
      <c r="VGA135" s="547"/>
      <c r="VGB135" s="547"/>
      <c r="VGC135" s="547"/>
      <c r="VGD135" s="548"/>
      <c r="VGE135" s="547"/>
      <c r="VGF135" s="547"/>
      <c r="VGG135" s="547"/>
      <c r="VGH135" s="547"/>
      <c r="VGI135" s="548"/>
      <c r="VGJ135" s="547"/>
      <c r="VGK135" s="547"/>
      <c r="VGL135" s="547"/>
      <c r="VGM135" s="547"/>
      <c r="VGN135" s="548"/>
      <c r="VGO135" s="547"/>
      <c r="VGP135" s="547"/>
      <c r="VGQ135" s="547"/>
      <c r="VGR135" s="549"/>
      <c r="VGS135" s="548"/>
      <c r="VGT135" s="549"/>
      <c r="VGU135" s="549"/>
      <c r="VGV135" s="549"/>
      <c r="VGW135" s="549"/>
      <c r="VGX135" s="548"/>
      <c r="VGY135" s="548"/>
      <c r="VGZ135" s="548"/>
      <c r="VHA135" s="548"/>
      <c r="VHB135" s="8"/>
      <c r="VHC135" s="8"/>
      <c r="VHD135" s="503"/>
      <c r="VHE135" s="8"/>
      <c r="VHF135" s="8"/>
      <c r="VHG135" s="547"/>
      <c r="VHH135" s="547"/>
      <c r="VHI135" s="547"/>
      <c r="VHJ135" s="547"/>
      <c r="VHK135" s="548"/>
      <c r="VHL135" s="547"/>
      <c r="VHM135" s="547"/>
      <c r="VHN135" s="547"/>
      <c r="VHO135" s="547"/>
      <c r="VHP135" s="548"/>
      <c r="VHQ135" s="547"/>
      <c r="VHR135" s="547"/>
      <c r="VHS135" s="547"/>
      <c r="VHT135" s="547"/>
      <c r="VHU135" s="548"/>
      <c r="VHV135" s="547"/>
      <c r="VHW135" s="547"/>
      <c r="VHX135" s="547"/>
      <c r="VHY135" s="549"/>
      <c r="VHZ135" s="548"/>
      <c r="VIA135" s="549"/>
      <c r="VIB135" s="549"/>
      <c r="VIC135" s="549"/>
      <c r="VID135" s="549"/>
      <c r="VIE135" s="548"/>
      <c r="VIF135" s="548"/>
      <c r="VIG135" s="548"/>
      <c r="VIH135" s="548"/>
      <c r="VII135" s="8"/>
      <c r="VIJ135" s="8"/>
      <c r="VIK135" s="503"/>
      <c r="VIL135" s="8"/>
      <c r="VIM135" s="8"/>
      <c r="VIN135" s="547"/>
      <c r="VIO135" s="547"/>
      <c r="VIP135" s="547"/>
      <c r="VIQ135" s="547"/>
      <c r="VIR135" s="548"/>
      <c r="VIS135" s="547"/>
      <c r="VIT135" s="547"/>
      <c r="VIU135" s="547"/>
      <c r="VIV135" s="547"/>
      <c r="VIW135" s="548"/>
      <c r="VIX135" s="547"/>
      <c r="VIY135" s="547"/>
      <c r="VIZ135" s="547"/>
      <c r="VJA135" s="547"/>
      <c r="VJB135" s="548"/>
      <c r="VJC135" s="547"/>
      <c r="VJD135" s="547"/>
      <c r="VJE135" s="547"/>
      <c r="VJF135" s="549"/>
      <c r="VJG135" s="548"/>
      <c r="VJH135" s="549"/>
      <c r="VJI135" s="549"/>
      <c r="VJJ135" s="549"/>
      <c r="VJK135" s="549"/>
      <c r="VJL135" s="548"/>
      <c r="VJM135" s="548"/>
      <c r="VJN135" s="548"/>
      <c r="VJO135" s="548"/>
      <c r="VJP135" s="8"/>
      <c r="VJQ135" s="8"/>
      <c r="VJR135" s="503"/>
      <c r="VJS135" s="8"/>
      <c r="VJT135" s="8"/>
      <c r="VJU135" s="547"/>
      <c r="VJV135" s="547"/>
      <c r="VJW135" s="547"/>
      <c r="VJX135" s="547"/>
      <c r="VJY135" s="548"/>
      <c r="VJZ135" s="547"/>
      <c r="VKA135" s="547"/>
      <c r="VKB135" s="547"/>
      <c r="VKC135" s="547"/>
      <c r="VKD135" s="548"/>
      <c r="VKE135" s="547"/>
      <c r="VKF135" s="547"/>
      <c r="VKG135" s="547"/>
      <c r="VKH135" s="547"/>
      <c r="VKI135" s="548"/>
      <c r="VKJ135" s="547"/>
      <c r="VKK135" s="547"/>
      <c r="VKL135" s="547"/>
      <c r="VKM135" s="549"/>
      <c r="VKN135" s="548"/>
      <c r="VKO135" s="549"/>
      <c r="VKP135" s="549"/>
      <c r="VKQ135" s="549"/>
      <c r="VKR135" s="549"/>
      <c r="VKS135" s="548"/>
      <c r="VKT135" s="548"/>
      <c r="VKU135" s="548"/>
      <c r="VKV135" s="548"/>
      <c r="VKW135" s="8"/>
      <c r="VKX135" s="8"/>
      <c r="VKY135" s="503"/>
      <c r="VKZ135" s="8"/>
      <c r="VLA135" s="8"/>
      <c r="VLB135" s="547"/>
      <c r="VLC135" s="547"/>
      <c r="VLD135" s="547"/>
      <c r="VLE135" s="547"/>
      <c r="VLF135" s="548"/>
      <c r="VLG135" s="547"/>
      <c r="VLH135" s="547"/>
      <c r="VLI135" s="547"/>
      <c r="VLJ135" s="547"/>
      <c r="VLK135" s="548"/>
      <c r="VLL135" s="547"/>
      <c r="VLM135" s="547"/>
      <c r="VLN135" s="547"/>
      <c r="VLO135" s="547"/>
      <c r="VLP135" s="548"/>
      <c r="VLQ135" s="547"/>
      <c r="VLR135" s="547"/>
      <c r="VLS135" s="547"/>
      <c r="VLT135" s="549"/>
      <c r="VLU135" s="548"/>
      <c r="VLV135" s="549"/>
      <c r="VLW135" s="549"/>
      <c r="VLX135" s="549"/>
      <c r="VLY135" s="549"/>
      <c r="VLZ135" s="548"/>
      <c r="VMA135" s="548"/>
      <c r="VMB135" s="548"/>
      <c r="VMC135" s="548"/>
      <c r="VMD135" s="8"/>
      <c r="VME135" s="8"/>
      <c r="VMF135" s="503"/>
      <c r="VMG135" s="8"/>
      <c r="VMH135" s="8"/>
      <c r="VMI135" s="547"/>
      <c r="VMJ135" s="547"/>
      <c r="VMK135" s="547"/>
      <c r="VML135" s="547"/>
      <c r="VMM135" s="548"/>
      <c r="VMN135" s="547"/>
      <c r="VMO135" s="547"/>
      <c r="VMP135" s="547"/>
      <c r="VMQ135" s="547"/>
      <c r="VMR135" s="548"/>
      <c r="VMS135" s="547"/>
      <c r="VMT135" s="547"/>
      <c r="VMU135" s="547"/>
      <c r="VMV135" s="547"/>
      <c r="VMW135" s="548"/>
      <c r="VMX135" s="547"/>
      <c r="VMY135" s="547"/>
      <c r="VMZ135" s="547"/>
      <c r="VNA135" s="549"/>
      <c r="VNB135" s="548"/>
      <c r="VNC135" s="549"/>
      <c r="VND135" s="549"/>
      <c r="VNE135" s="549"/>
      <c r="VNF135" s="549"/>
      <c r="VNG135" s="548"/>
      <c r="VNH135" s="548"/>
      <c r="VNI135" s="548"/>
      <c r="VNJ135" s="548"/>
      <c r="VNK135" s="8"/>
      <c r="VNL135" s="8"/>
      <c r="VNM135" s="503"/>
      <c r="VNN135" s="8"/>
      <c r="VNO135" s="8"/>
      <c r="VNP135" s="547"/>
      <c r="VNQ135" s="547"/>
      <c r="VNR135" s="547"/>
      <c r="VNS135" s="547"/>
      <c r="VNT135" s="548"/>
      <c r="VNU135" s="547"/>
      <c r="VNV135" s="547"/>
      <c r="VNW135" s="547"/>
      <c r="VNX135" s="547"/>
      <c r="VNY135" s="548"/>
      <c r="VNZ135" s="547"/>
      <c r="VOA135" s="547"/>
      <c r="VOB135" s="547"/>
      <c r="VOC135" s="547"/>
      <c r="VOD135" s="548"/>
      <c r="VOE135" s="547"/>
      <c r="VOF135" s="547"/>
      <c r="VOG135" s="547"/>
      <c r="VOH135" s="549"/>
      <c r="VOI135" s="548"/>
      <c r="VOJ135" s="549"/>
      <c r="VOK135" s="549"/>
      <c r="VOL135" s="549"/>
      <c r="VOM135" s="549"/>
      <c r="VON135" s="548"/>
      <c r="VOO135" s="548"/>
      <c r="VOP135" s="548"/>
      <c r="VOQ135" s="548"/>
      <c r="VOR135" s="8"/>
      <c r="VOS135" s="8"/>
      <c r="VOT135" s="503"/>
      <c r="VOU135" s="8"/>
      <c r="VOV135" s="8"/>
      <c r="VOW135" s="547"/>
      <c r="VOX135" s="547"/>
      <c r="VOY135" s="547"/>
      <c r="VOZ135" s="547"/>
      <c r="VPA135" s="548"/>
      <c r="VPB135" s="547"/>
      <c r="VPC135" s="547"/>
      <c r="VPD135" s="547"/>
      <c r="VPE135" s="547"/>
      <c r="VPF135" s="548"/>
      <c r="VPG135" s="547"/>
      <c r="VPH135" s="547"/>
      <c r="VPI135" s="547"/>
      <c r="VPJ135" s="547"/>
      <c r="VPK135" s="548"/>
      <c r="VPL135" s="547"/>
      <c r="VPM135" s="547"/>
      <c r="VPN135" s="547"/>
      <c r="VPO135" s="549"/>
      <c r="VPP135" s="548"/>
      <c r="VPQ135" s="549"/>
      <c r="VPR135" s="549"/>
      <c r="VPS135" s="549"/>
      <c r="VPT135" s="549"/>
      <c r="VPU135" s="548"/>
      <c r="VPV135" s="548"/>
      <c r="VPW135" s="548"/>
      <c r="VPX135" s="548"/>
      <c r="VPY135" s="8"/>
      <c r="VPZ135" s="8"/>
      <c r="VQA135" s="503"/>
      <c r="VQB135" s="8"/>
      <c r="VQC135" s="8"/>
      <c r="VQD135" s="547"/>
      <c r="VQE135" s="547"/>
      <c r="VQF135" s="547"/>
      <c r="VQG135" s="547"/>
      <c r="VQH135" s="548"/>
      <c r="VQI135" s="547"/>
      <c r="VQJ135" s="547"/>
      <c r="VQK135" s="547"/>
      <c r="VQL135" s="547"/>
      <c r="VQM135" s="548"/>
      <c r="VQN135" s="547"/>
      <c r="VQO135" s="547"/>
      <c r="VQP135" s="547"/>
      <c r="VQQ135" s="547"/>
      <c r="VQR135" s="548"/>
      <c r="VQS135" s="547"/>
      <c r="VQT135" s="547"/>
      <c r="VQU135" s="547"/>
      <c r="VQV135" s="549"/>
      <c r="VQW135" s="548"/>
      <c r="VQX135" s="549"/>
      <c r="VQY135" s="549"/>
      <c r="VQZ135" s="549"/>
      <c r="VRA135" s="549"/>
      <c r="VRB135" s="548"/>
      <c r="VRC135" s="548"/>
      <c r="VRD135" s="548"/>
      <c r="VRE135" s="548"/>
      <c r="VRF135" s="8"/>
      <c r="VRG135" s="8"/>
      <c r="VRH135" s="503"/>
      <c r="VRI135" s="8"/>
      <c r="VRJ135" s="8"/>
      <c r="VRK135" s="547"/>
      <c r="VRL135" s="547"/>
      <c r="VRM135" s="547"/>
      <c r="VRN135" s="547"/>
      <c r="VRO135" s="548"/>
      <c r="VRP135" s="547"/>
      <c r="VRQ135" s="547"/>
      <c r="VRR135" s="547"/>
      <c r="VRS135" s="547"/>
      <c r="VRT135" s="548"/>
      <c r="VRU135" s="547"/>
      <c r="VRV135" s="547"/>
      <c r="VRW135" s="547"/>
      <c r="VRX135" s="547"/>
      <c r="VRY135" s="548"/>
      <c r="VRZ135" s="547"/>
      <c r="VSA135" s="547"/>
      <c r="VSB135" s="547"/>
      <c r="VSC135" s="549"/>
      <c r="VSD135" s="548"/>
      <c r="VSE135" s="549"/>
      <c r="VSF135" s="549"/>
      <c r="VSG135" s="549"/>
      <c r="VSH135" s="549"/>
      <c r="VSI135" s="548"/>
      <c r="VSJ135" s="548"/>
      <c r="VSK135" s="548"/>
      <c r="VSL135" s="548"/>
      <c r="VSM135" s="8"/>
      <c r="VSN135" s="8"/>
      <c r="VSO135" s="503"/>
      <c r="VSP135" s="8"/>
      <c r="VSQ135" s="8"/>
      <c r="VSR135" s="547"/>
      <c r="VSS135" s="547"/>
      <c r="VST135" s="547"/>
      <c r="VSU135" s="547"/>
      <c r="VSV135" s="548"/>
      <c r="VSW135" s="547"/>
      <c r="VSX135" s="547"/>
      <c r="VSY135" s="547"/>
      <c r="VSZ135" s="547"/>
      <c r="VTA135" s="548"/>
      <c r="VTB135" s="547"/>
      <c r="VTC135" s="547"/>
      <c r="VTD135" s="547"/>
      <c r="VTE135" s="547"/>
      <c r="VTF135" s="548"/>
      <c r="VTG135" s="547"/>
      <c r="VTH135" s="547"/>
      <c r="VTI135" s="547"/>
      <c r="VTJ135" s="549"/>
      <c r="VTK135" s="548"/>
      <c r="VTL135" s="549"/>
      <c r="VTM135" s="549"/>
      <c r="VTN135" s="549"/>
      <c r="VTO135" s="549"/>
      <c r="VTP135" s="548"/>
      <c r="VTQ135" s="548"/>
      <c r="VTR135" s="548"/>
      <c r="VTS135" s="548"/>
      <c r="VTT135" s="8"/>
      <c r="VTU135" s="8"/>
      <c r="VTV135" s="503"/>
      <c r="VTW135" s="8"/>
      <c r="VTX135" s="8"/>
      <c r="VTY135" s="547"/>
      <c r="VTZ135" s="547"/>
      <c r="VUA135" s="547"/>
      <c r="VUB135" s="547"/>
      <c r="VUC135" s="548"/>
      <c r="VUD135" s="547"/>
      <c r="VUE135" s="547"/>
      <c r="VUF135" s="547"/>
      <c r="VUG135" s="547"/>
      <c r="VUH135" s="548"/>
      <c r="VUI135" s="547"/>
      <c r="VUJ135" s="547"/>
      <c r="VUK135" s="547"/>
      <c r="VUL135" s="547"/>
      <c r="VUM135" s="548"/>
      <c r="VUN135" s="547"/>
      <c r="VUO135" s="547"/>
      <c r="VUP135" s="547"/>
      <c r="VUQ135" s="549"/>
      <c r="VUR135" s="548"/>
      <c r="VUS135" s="549"/>
      <c r="VUT135" s="549"/>
      <c r="VUU135" s="549"/>
      <c r="VUV135" s="549"/>
      <c r="VUW135" s="548"/>
      <c r="VUX135" s="548"/>
      <c r="VUY135" s="548"/>
      <c r="VUZ135" s="548"/>
      <c r="VVA135" s="8"/>
      <c r="VVB135" s="8"/>
      <c r="VVC135" s="503"/>
      <c r="VVD135" s="8"/>
      <c r="VVE135" s="8"/>
      <c r="VVF135" s="547"/>
      <c r="VVG135" s="547"/>
      <c r="VVH135" s="547"/>
      <c r="VVI135" s="547"/>
      <c r="VVJ135" s="548"/>
      <c r="VVK135" s="547"/>
      <c r="VVL135" s="547"/>
      <c r="VVM135" s="547"/>
      <c r="VVN135" s="547"/>
      <c r="VVO135" s="548"/>
      <c r="VVP135" s="547"/>
      <c r="VVQ135" s="547"/>
      <c r="VVR135" s="547"/>
      <c r="VVS135" s="547"/>
      <c r="VVT135" s="548"/>
      <c r="VVU135" s="547"/>
      <c r="VVV135" s="547"/>
      <c r="VVW135" s="547"/>
      <c r="VVX135" s="549"/>
      <c r="VVY135" s="548"/>
      <c r="VVZ135" s="549"/>
      <c r="VWA135" s="549"/>
      <c r="VWB135" s="549"/>
      <c r="VWC135" s="549"/>
      <c r="VWD135" s="548"/>
      <c r="VWE135" s="548"/>
      <c r="VWF135" s="548"/>
      <c r="VWG135" s="548"/>
      <c r="VWH135" s="8"/>
      <c r="VWI135" s="8"/>
      <c r="VWJ135" s="503"/>
      <c r="VWK135" s="8"/>
      <c r="VWL135" s="8"/>
      <c r="VWM135" s="547"/>
      <c r="VWN135" s="547"/>
      <c r="VWO135" s="547"/>
      <c r="VWP135" s="547"/>
      <c r="VWQ135" s="548"/>
      <c r="VWR135" s="547"/>
      <c r="VWS135" s="547"/>
      <c r="VWT135" s="547"/>
      <c r="VWU135" s="547"/>
      <c r="VWV135" s="548"/>
      <c r="VWW135" s="547"/>
      <c r="VWX135" s="547"/>
      <c r="VWY135" s="547"/>
      <c r="VWZ135" s="547"/>
      <c r="VXA135" s="548"/>
      <c r="VXB135" s="547"/>
      <c r="VXC135" s="547"/>
      <c r="VXD135" s="547"/>
      <c r="VXE135" s="549"/>
      <c r="VXF135" s="548"/>
      <c r="VXG135" s="549"/>
      <c r="VXH135" s="549"/>
      <c r="VXI135" s="549"/>
      <c r="VXJ135" s="549"/>
      <c r="VXK135" s="548"/>
      <c r="VXL135" s="548"/>
      <c r="VXM135" s="548"/>
      <c r="VXN135" s="548"/>
      <c r="VXO135" s="8"/>
      <c r="VXP135" s="8"/>
      <c r="VXQ135" s="503"/>
      <c r="VXR135" s="8"/>
      <c r="VXS135" s="8"/>
      <c r="VXT135" s="547"/>
      <c r="VXU135" s="547"/>
      <c r="VXV135" s="547"/>
      <c r="VXW135" s="547"/>
      <c r="VXX135" s="548"/>
      <c r="VXY135" s="547"/>
      <c r="VXZ135" s="547"/>
      <c r="VYA135" s="547"/>
      <c r="VYB135" s="547"/>
      <c r="VYC135" s="548"/>
      <c r="VYD135" s="547"/>
      <c r="VYE135" s="547"/>
      <c r="VYF135" s="547"/>
      <c r="VYG135" s="547"/>
      <c r="VYH135" s="548"/>
      <c r="VYI135" s="547"/>
      <c r="VYJ135" s="547"/>
      <c r="VYK135" s="547"/>
      <c r="VYL135" s="549"/>
      <c r="VYM135" s="548"/>
      <c r="VYN135" s="549"/>
      <c r="VYO135" s="549"/>
      <c r="VYP135" s="549"/>
      <c r="VYQ135" s="549"/>
      <c r="VYR135" s="548"/>
      <c r="VYS135" s="548"/>
      <c r="VYT135" s="548"/>
      <c r="VYU135" s="548"/>
      <c r="VYV135" s="8"/>
      <c r="VYW135" s="8"/>
      <c r="VYX135" s="503"/>
      <c r="VYY135" s="8"/>
      <c r="VYZ135" s="8"/>
      <c r="VZA135" s="547"/>
      <c r="VZB135" s="547"/>
      <c r="VZC135" s="547"/>
      <c r="VZD135" s="547"/>
      <c r="VZE135" s="548"/>
      <c r="VZF135" s="547"/>
      <c r="VZG135" s="547"/>
      <c r="VZH135" s="547"/>
      <c r="VZI135" s="547"/>
      <c r="VZJ135" s="548"/>
      <c r="VZK135" s="547"/>
      <c r="VZL135" s="547"/>
      <c r="VZM135" s="547"/>
      <c r="VZN135" s="547"/>
      <c r="VZO135" s="548"/>
      <c r="VZP135" s="547"/>
      <c r="VZQ135" s="547"/>
      <c r="VZR135" s="547"/>
      <c r="VZS135" s="549"/>
      <c r="VZT135" s="548"/>
      <c r="VZU135" s="549"/>
      <c r="VZV135" s="549"/>
      <c r="VZW135" s="549"/>
      <c r="VZX135" s="549"/>
      <c r="VZY135" s="548"/>
      <c r="VZZ135" s="548"/>
      <c r="WAA135" s="548"/>
      <c r="WAB135" s="548"/>
      <c r="WAC135" s="8"/>
      <c r="WAD135" s="8"/>
      <c r="WAE135" s="503"/>
      <c r="WAF135" s="8"/>
      <c r="WAG135" s="8"/>
      <c r="WAH135" s="547"/>
      <c r="WAI135" s="547"/>
      <c r="WAJ135" s="547"/>
      <c r="WAK135" s="547"/>
      <c r="WAL135" s="548"/>
      <c r="WAM135" s="547"/>
      <c r="WAN135" s="547"/>
      <c r="WAO135" s="547"/>
      <c r="WAP135" s="547"/>
      <c r="WAQ135" s="548"/>
      <c r="WAR135" s="547"/>
      <c r="WAS135" s="547"/>
      <c r="WAT135" s="547"/>
      <c r="WAU135" s="547"/>
      <c r="WAV135" s="548"/>
      <c r="WAW135" s="547"/>
      <c r="WAX135" s="547"/>
      <c r="WAY135" s="547"/>
      <c r="WAZ135" s="549"/>
      <c r="WBA135" s="548"/>
      <c r="WBB135" s="549"/>
      <c r="WBC135" s="549"/>
      <c r="WBD135" s="549"/>
      <c r="WBE135" s="549"/>
      <c r="WBF135" s="548"/>
      <c r="WBG135" s="548"/>
      <c r="WBH135" s="548"/>
      <c r="WBI135" s="548"/>
      <c r="WBJ135" s="8"/>
      <c r="WBK135" s="8"/>
      <c r="WBL135" s="503"/>
      <c r="WBM135" s="8"/>
      <c r="WBN135" s="8"/>
      <c r="WBO135" s="547"/>
      <c r="WBP135" s="547"/>
      <c r="WBQ135" s="547"/>
      <c r="WBR135" s="547"/>
      <c r="WBS135" s="548"/>
      <c r="WBT135" s="547"/>
      <c r="WBU135" s="547"/>
      <c r="WBV135" s="547"/>
      <c r="WBW135" s="547"/>
      <c r="WBX135" s="548"/>
      <c r="WBY135" s="547"/>
      <c r="WBZ135" s="547"/>
      <c r="WCA135" s="547"/>
      <c r="WCB135" s="547"/>
      <c r="WCC135" s="548"/>
      <c r="WCD135" s="547"/>
      <c r="WCE135" s="547"/>
      <c r="WCF135" s="547"/>
      <c r="WCG135" s="549"/>
      <c r="WCH135" s="548"/>
      <c r="WCI135" s="549"/>
      <c r="WCJ135" s="549"/>
      <c r="WCK135" s="549"/>
      <c r="WCL135" s="549"/>
      <c r="WCM135" s="548"/>
      <c r="WCN135" s="548"/>
      <c r="WCO135" s="548"/>
      <c r="WCP135" s="548"/>
      <c r="WCQ135" s="8"/>
      <c r="WCR135" s="8"/>
      <c r="WCS135" s="503"/>
      <c r="WCT135" s="8"/>
      <c r="WCU135" s="8"/>
      <c r="WCV135" s="547"/>
      <c r="WCW135" s="547"/>
      <c r="WCX135" s="547"/>
      <c r="WCY135" s="547"/>
      <c r="WCZ135" s="548"/>
      <c r="WDA135" s="547"/>
      <c r="WDB135" s="547"/>
      <c r="WDC135" s="547"/>
      <c r="WDD135" s="547"/>
      <c r="WDE135" s="548"/>
      <c r="WDF135" s="547"/>
      <c r="WDG135" s="547"/>
      <c r="WDH135" s="547"/>
      <c r="WDI135" s="547"/>
      <c r="WDJ135" s="548"/>
      <c r="WDK135" s="547"/>
      <c r="WDL135" s="547"/>
      <c r="WDM135" s="547"/>
      <c r="WDN135" s="549"/>
      <c r="WDO135" s="548"/>
      <c r="WDP135" s="549"/>
      <c r="WDQ135" s="549"/>
      <c r="WDR135" s="549"/>
      <c r="WDS135" s="549"/>
      <c r="WDT135" s="548"/>
      <c r="WDU135" s="548"/>
      <c r="WDV135" s="548"/>
      <c r="WDW135" s="548"/>
      <c r="WDX135" s="8"/>
      <c r="WDY135" s="8"/>
      <c r="WDZ135" s="503"/>
      <c r="WEA135" s="8"/>
      <c r="WEB135" s="8"/>
      <c r="WEC135" s="547"/>
      <c r="WED135" s="547"/>
      <c r="WEE135" s="547"/>
      <c r="WEF135" s="547"/>
      <c r="WEG135" s="548"/>
      <c r="WEH135" s="547"/>
      <c r="WEI135" s="547"/>
      <c r="WEJ135" s="547"/>
      <c r="WEK135" s="547"/>
      <c r="WEL135" s="548"/>
      <c r="WEM135" s="547"/>
      <c r="WEN135" s="547"/>
      <c r="WEO135" s="547"/>
      <c r="WEP135" s="547"/>
      <c r="WEQ135" s="548"/>
      <c r="WER135" s="547"/>
      <c r="WES135" s="547"/>
      <c r="WET135" s="547"/>
      <c r="WEU135" s="549"/>
      <c r="WEV135" s="548"/>
      <c r="WEW135" s="549"/>
      <c r="WEX135" s="549"/>
      <c r="WEY135" s="549"/>
      <c r="WEZ135" s="549"/>
      <c r="WFA135" s="548"/>
      <c r="WFB135" s="548"/>
      <c r="WFC135" s="548"/>
      <c r="WFD135" s="548"/>
      <c r="WFE135" s="8"/>
      <c r="WFF135" s="8"/>
      <c r="WFG135" s="503"/>
      <c r="WFH135" s="8"/>
      <c r="WFI135" s="8"/>
      <c r="WFJ135" s="547"/>
      <c r="WFK135" s="547"/>
      <c r="WFL135" s="547"/>
      <c r="WFM135" s="547"/>
      <c r="WFN135" s="548"/>
      <c r="WFO135" s="547"/>
      <c r="WFP135" s="547"/>
      <c r="WFQ135" s="547"/>
      <c r="WFR135" s="547"/>
      <c r="WFS135" s="548"/>
      <c r="WFT135" s="547"/>
      <c r="WFU135" s="547"/>
      <c r="WFV135" s="547"/>
      <c r="WFW135" s="547"/>
      <c r="WFX135" s="548"/>
      <c r="WFY135" s="547"/>
      <c r="WFZ135" s="547"/>
      <c r="WGA135" s="547"/>
      <c r="WGB135" s="549"/>
      <c r="WGC135" s="548"/>
      <c r="WGD135" s="549"/>
      <c r="WGE135" s="549"/>
      <c r="WGF135" s="549"/>
      <c r="WGG135" s="549"/>
      <c r="WGH135" s="548"/>
      <c r="WGI135" s="548"/>
      <c r="WGJ135" s="548"/>
      <c r="WGK135" s="548"/>
      <c r="WGL135" s="8"/>
      <c r="WGM135" s="8"/>
      <c r="WGN135" s="503"/>
      <c r="WGO135" s="8"/>
      <c r="WGP135" s="8"/>
      <c r="WGQ135" s="547"/>
      <c r="WGR135" s="547"/>
      <c r="WGS135" s="547"/>
      <c r="WGT135" s="547"/>
      <c r="WGU135" s="548"/>
      <c r="WGV135" s="547"/>
      <c r="WGW135" s="547"/>
      <c r="WGX135" s="547"/>
      <c r="WGY135" s="547"/>
      <c r="WGZ135" s="548"/>
      <c r="WHA135" s="547"/>
      <c r="WHB135" s="547"/>
      <c r="WHC135" s="547"/>
      <c r="WHD135" s="547"/>
      <c r="WHE135" s="548"/>
      <c r="WHF135" s="547"/>
      <c r="WHG135" s="547"/>
      <c r="WHH135" s="547"/>
      <c r="WHI135" s="549"/>
      <c r="WHJ135" s="548"/>
      <c r="WHK135" s="549"/>
      <c r="WHL135" s="549"/>
      <c r="WHM135" s="549"/>
      <c r="WHN135" s="549"/>
      <c r="WHO135" s="548"/>
      <c r="WHP135" s="548"/>
      <c r="WHQ135" s="548"/>
      <c r="WHR135" s="548"/>
      <c r="WHS135" s="8"/>
      <c r="WHT135" s="8"/>
      <c r="WHU135" s="503"/>
      <c r="WHV135" s="8"/>
      <c r="WHW135" s="8"/>
      <c r="WHX135" s="547"/>
      <c r="WHY135" s="547"/>
      <c r="WHZ135" s="547"/>
      <c r="WIA135" s="547"/>
      <c r="WIB135" s="548"/>
      <c r="WIC135" s="547"/>
      <c r="WID135" s="547"/>
      <c r="WIE135" s="547"/>
      <c r="WIF135" s="547"/>
      <c r="WIG135" s="548"/>
      <c r="WIH135" s="547"/>
      <c r="WII135" s="547"/>
      <c r="WIJ135" s="547"/>
      <c r="WIK135" s="547"/>
      <c r="WIL135" s="548"/>
      <c r="WIM135" s="547"/>
      <c r="WIN135" s="547"/>
      <c r="WIO135" s="547"/>
      <c r="WIP135" s="549"/>
      <c r="WIQ135" s="548"/>
      <c r="WIR135" s="549"/>
      <c r="WIS135" s="549"/>
      <c r="WIT135" s="549"/>
      <c r="WIU135" s="549"/>
      <c r="WIV135" s="548"/>
      <c r="WIW135" s="548"/>
      <c r="WIX135" s="548"/>
      <c r="WIY135" s="548"/>
      <c r="WIZ135" s="8"/>
      <c r="WJA135" s="8"/>
      <c r="WJB135" s="503"/>
      <c r="WJC135" s="8"/>
      <c r="WJD135" s="8"/>
      <c r="WJE135" s="547"/>
      <c r="WJF135" s="547"/>
      <c r="WJG135" s="547"/>
      <c r="WJH135" s="547"/>
      <c r="WJI135" s="548"/>
      <c r="WJJ135" s="547"/>
      <c r="WJK135" s="547"/>
      <c r="WJL135" s="547"/>
      <c r="WJM135" s="547"/>
      <c r="WJN135" s="548"/>
      <c r="WJO135" s="547"/>
      <c r="WJP135" s="547"/>
      <c r="WJQ135" s="547"/>
      <c r="WJR135" s="547"/>
      <c r="WJS135" s="548"/>
      <c r="WJT135" s="547"/>
      <c r="WJU135" s="547"/>
      <c r="WJV135" s="547"/>
      <c r="WJW135" s="549"/>
      <c r="WJX135" s="548"/>
      <c r="WJY135" s="549"/>
      <c r="WJZ135" s="549"/>
      <c r="WKA135" s="549"/>
      <c r="WKB135" s="549"/>
      <c r="WKC135" s="548"/>
      <c r="WKD135" s="548"/>
      <c r="WKE135" s="548"/>
      <c r="WKF135" s="548"/>
      <c r="WKG135" s="8"/>
      <c r="WKH135" s="8"/>
      <c r="WKI135" s="503"/>
      <c r="WKJ135" s="8"/>
      <c r="WKK135" s="8"/>
      <c r="WKL135" s="547"/>
      <c r="WKM135" s="547"/>
      <c r="WKN135" s="547"/>
      <c r="WKO135" s="547"/>
      <c r="WKP135" s="548"/>
      <c r="WKQ135" s="547"/>
      <c r="WKR135" s="547"/>
      <c r="WKS135" s="547"/>
      <c r="WKT135" s="547"/>
      <c r="WKU135" s="548"/>
      <c r="WKV135" s="547"/>
      <c r="WKW135" s="547"/>
      <c r="WKX135" s="547"/>
      <c r="WKY135" s="547"/>
      <c r="WKZ135" s="548"/>
      <c r="WLA135" s="547"/>
      <c r="WLB135" s="547"/>
      <c r="WLC135" s="547"/>
      <c r="WLD135" s="549"/>
      <c r="WLE135" s="548"/>
      <c r="WLF135" s="549"/>
      <c r="WLG135" s="549"/>
      <c r="WLH135" s="549"/>
      <c r="WLI135" s="549"/>
      <c r="WLJ135" s="548"/>
      <c r="WLK135" s="548"/>
      <c r="WLL135" s="548"/>
      <c r="WLM135" s="548"/>
      <c r="WLN135" s="8"/>
      <c r="WLO135" s="8"/>
      <c r="WLP135" s="503"/>
      <c r="WLQ135" s="8"/>
      <c r="WLR135" s="8"/>
      <c r="WLS135" s="547"/>
      <c r="WLT135" s="547"/>
      <c r="WLU135" s="547"/>
      <c r="WLV135" s="547"/>
      <c r="WLW135" s="548"/>
      <c r="WLX135" s="547"/>
      <c r="WLY135" s="547"/>
      <c r="WLZ135" s="547"/>
      <c r="WMA135" s="547"/>
      <c r="WMB135" s="548"/>
      <c r="WMC135" s="547"/>
      <c r="WMD135" s="547"/>
      <c r="WME135" s="547"/>
      <c r="WMF135" s="547"/>
      <c r="WMG135" s="548"/>
      <c r="WMH135" s="547"/>
      <c r="WMI135" s="547"/>
      <c r="WMJ135" s="547"/>
      <c r="WMK135" s="549"/>
      <c r="WML135" s="548"/>
      <c r="WMM135" s="549"/>
      <c r="WMN135" s="549"/>
      <c r="WMO135" s="549"/>
      <c r="WMP135" s="549"/>
      <c r="WMQ135" s="548"/>
      <c r="WMR135" s="548"/>
      <c r="WMS135" s="548"/>
      <c r="WMT135" s="548"/>
      <c r="WMU135" s="8"/>
      <c r="WMV135" s="8"/>
      <c r="WMW135" s="503"/>
      <c r="WMX135" s="8"/>
      <c r="WMY135" s="8"/>
      <c r="WMZ135" s="547"/>
      <c r="WNA135" s="547"/>
      <c r="WNB135" s="547"/>
      <c r="WNC135" s="547"/>
      <c r="WND135" s="548"/>
      <c r="WNE135" s="547"/>
      <c r="WNF135" s="547"/>
      <c r="WNG135" s="547"/>
      <c r="WNH135" s="547"/>
      <c r="WNI135" s="548"/>
      <c r="WNJ135" s="547"/>
      <c r="WNK135" s="547"/>
      <c r="WNL135" s="547"/>
      <c r="WNM135" s="547"/>
      <c r="WNN135" s="548"/>
      <c r="WNO135" s="547"/>
      <c r="WNP135" s="547"/>
      <c r="WNQ135" s="547"/>
      <c r="WNR135" s="549"/>
      <c r="WNS135" s="548"/>
      <c r="WNT135" s="549"/>
      <c r="WNU135" s="549"/>
      <c r="WNV135" s="549"/>
      <c r="WNW135" s="549"/>
      <c r="WNX135" s="548"/>
      <c r="WNY135" s="548"/>
      <c r="WNZ135" s="548"/>
      <c r="WOA135" s="548"/>
      <c r="WOB135" s="8"/>
      <c r="WOC135" s="8"/>
      <c r="WOD135" s="503"/>
      <c r="WOE135" s="8"/>
      <c r="WOF135" s="8"/>
      <c r="WOG135" s="547"/>
      <c r="WOH135" s="547"/>
      <c r="WOI135" s="547"/>
      <c r="WOJ135" s="547"/>
      <c r="WOK135" s="548"/>
      <c r="WOL135" s="547"/>
      <c r="WOM135" s="547"/>
      <c r="WON135" s="547"/>
      <c r="WOO135" s="547"/>
      <c r="WOP135" s="548"/>
      <c r="WOQ135" s="547"/>
      <c r="WOR135" s="547"/>
      <c r="WOS135" s="547"/>
      <c r="WOT135" s="547"/>
      <c r="WOU135" s="548"/>
      <c r="WOV135" s="547"/>
      <c r="WOW135" s="547"/>
      <c r="WOX135" s="547"/>
      <c r="WOY135" s="549"/>
      <c r="WOZ135" s="548"/>
      <c r="WPA135" s="549"/>
      <c r="WPB135" s="549"/>
      <c r="WPC135" s="549"/>
      <c r="WPD135" s="549"/>
      <c r="WPE135" s="548"/>
      <c r="WPF135" s="548"/>
      <c r="WPG135" s="548"/>
      <c r="WPH135" s="548"/>
      <c r="WPI135" s="8"/>
      <c r="WPJ135" s="8"/>
      <c r="WPK135" s="503"/>
      <c r="WPL135" s="8"/>
      <c r="WPM135" s="8"/>
      <c r="WPN135" s="547"/>
      <c r="WPO135" s="547"/>
      <c r="WPP135" s="547"/>
      <c r="WPQ135" s="547"/>
      <c r="WPR135" s="548"/>
      <c r="WPS135" s="547"/>
      <c r="WPT135" s="547"/>
      <c r="WPU135" s="547"/>
      <c r="WPV135" s="547"/>
      <c r="WPW135" s="548"/>
      <c r="WPX135" s="547"/>
      <c r="WPY135" s="547"/>
      <c r="WPZ135" s="547"/>
      <c r="WQA135" s="547"/>
      <c r="WQB135" s="548"/>
      <c r="WQC135" s="547"/>
      <c r="WQD135" s="547"/>
      <c r="WQE135" s="547"/>
      <c r="WQF135" s="549"/>
      <c r="WQG135" s="548"/>
      <c r="WQH135" s="549"/>
      <c r="WQI135" s="549"/>
      <c r="WQJ135" s="549"/>
      <c r="WQK135" s="549"/>
      <c r="WQL135" s="548"/>
      <c r="WQM135" s="548"/>
      <c r="WQN135" s="548"/>
      <c r="WQO135" s="548"/>
      <c r="WQP135" s="8"/>
      <c r="WQQ135" s="8"/>
      <c r="WQR135" s="503"/>
      <c r="WQS135" s="8"/>
      <c r="WQT135" s="8"/>
      <c r="WQU135" s="547"/>
      <c r="WQV135" s="547"/>
      <c r="WQW135" s="547"/>
      <c r="WQX135" s="547"/>
      <c r="WQY135" s="548"/>
      <c r="WQZ135" s="547"/>
      <c r="WRA135" s="547"/>
      <c r="WRB135" s="547"/>
      <c r="WRC135" s="547"/>
      <c r="WRD135" s="548"/>
      <c r="WRE135" s="547"/>
      <c r="WRF135" s="547"/>
      <c r="WRG135" s="547"/>
      <c r="WRH135" s="547"/>
      <c r="WRI135" s="548"/>
      <c r="WRJ135" s="547"/>
      <c r="WRK135" s="547"/>
      <c r="WRL135" s="547"/>
      <c r="WRM135" s="549"/>
      <c r="WRN135" s="548"/>
      <c r="WRO135" s="549"/>
      <c r="WRP135" s="549"/>
      <c r="WRQ135" s="549"/>
      <c r="WRR135" s="549"/>
      <c r="WRS135" s="548"/>
      <c r="WRT135" s="548"/>
      <c r="WRU135" s="548"/>
      <c r="WRV135" s="548"/>
      <c r="WRW135" s="8"/>
      <c r="WRX135" s="8"/>
      <c r="WRY135" s="503"/>
      <c r="WRZ135" s="8"/>
      <c r="WSA135" s="8"/>
      <c r="WSB135" s="547"/>
      <c r="WSC135" s="547"/>
      <c r="WSD135" s="547"/>
      <c r="WSE135" s="547"/>
      <c r="WSF135" s="548"/>
      <c r="WSG135" s="547"/>
      <c r="WSH135" s="547"/>
      <c r="WSI135" s="547"/>
      <c r="WSJ135" s="547"/>
      <c r="WSK135" s="548"/>
      <c r="WSL135" s="547"/>
      <c r="WSM135" s="547"/>
      <c r="WSN135" s="547"/>
      <c r="WSO135" s="547"/>
      <c r="WSP135" s="548"/>
      <c r="WSQ135" s="547"/>
      <c r="WSR135" s="547"/>
      <c r="WSS135" s="547"/>
      <c r="WST135" s="549"/>
      <c r="WSU135" s="548"/>
      <c r="WSV135" s="549"/>
      <c r="WSW135" s="549"/>
      <c r="WSX135" s="549"/>
      <c r="WSY135" s="549"/>
      <c r="WSZ135" s="548"/>
      <c r="WTA135" s="548"/>
      <c r="WTB135" s="548"/>
      <c r="WTC135" s="548"/>
      <c r="WTD135" s="8"/>
      <c r="WTE135" s="8"/>
      <c r="WTF135" s="503"/>
      <c r="WTG135" s="8"/>
      <c r="WTH135" s="8"/>
      <c r="WTI135" s="547"/>
      <c r="WTJ135" s="547"/>
      <c r="WTK135" s="547"/>
      <c r="WTL135" s="547"/>
      <c r="WTM135" s="548"/>
      <c r="WTN135" s="547"/>
      <c r="WTO135" s="547"/>
      <c r="WTP135" s="547"/>
      <c r="WTQ135" s="547"/>
      <c r="WTR135" s="548"/>
      <c r="WTS135" s="547"/>
      <c r="WTT135" s="547"/>
      <c r="WTU135" s="547"/>
      <c r="WTV135" s="547"/>
      <c r="WTW135" s="548"/>
      <c r="WTX135" s="547"/>
      <c r="WTY135" s="547"/>
      <c r="WTZ135" s="547"/>
      <c r="WUA135" s="549"/>
      <c r="WUB135" s="548"/>
      <c r="WUC135" s="549"/>
      <c r="WUD135" s="549"/>
      <c r="WUE135" s="549"/>
      <c r="WUF135" s="549"/>
      <c r="WUG135" s="548"/>
      <c r="WUH135" s="548"/>
      <c r="WUI135" s="548"/>
      <c r="WUJ135" s="548"/>
      <c r="WUK135" s="8"/>
      <c r="WUL135" s="8"/>
      <c r="WUM135" s="503"/>
      <c r="WUN135" s="8"/>
      <c r="WUO135" s="8"/>
      <c r="WUP135" s="547"/>
      <c r="WUQ135" s="547"/>
      <c r="WUR135" s="547"/>
      <c r="WUS135" s="547"/>
      <c r="WUT135" s="548"/>
      <c r="WUU135" s="547"/>
      <c r="WUV135" s="547"/>
      <c r="WUW135" s="547"/>
      <c r="WUX135" s="547"/>
      <c r="WUY135" s="548"/>
      <c r="WUZ135" s="547"/>
      <c r="WVA135" s="547"/>
      <c r="WVB135" s="547"/>
      <c r="WVC135" s="547"/>
      <c r="WVD135" s="548"/>
      <c r="WVE135" s="547"/>
      <c r="WVF135" s="547"/>
      <c r="WVG135" s="547"/>
      <c r="WVH135" s="549"/>
      <c r="WVI135" s="548"/>
      <c r="WVJ135" s="549"/>
      <c r="WVK135" s="549"/>
      <c r="WVL135" s="549"/>
      <c r="WVM135" s="549"/>
      <c r="WVN135" s="548"/>
      <c r="WVO135" s="548"/>
      <c r="WVP135" s="548"/>
      <c r="WVQ135" s="548"/>
      <c r="WVR135" s="8"/>
      <c r="WVS135" s="8"/>
      <c r="WVT135" s="503"/>
      <c r="WVU135" s="8"/>
      <c r="WVV135" s="8"/>
      <c r="WVW135" s="547"/>
      <c r="WVX135" s="547"/>
      <c r="WVY135" s="547"/>
      <c r="WVZ135" s="547"/>
      <c r="WWA135" s="548"/>
      <c r="WWB135" s="547"/>
      <c r="WWC135" s="547"/>
      <c r="WWD135" s="547"/>
      <c r="WWE135" s="547"/>
      <c r="WWF135" s="548"/>
      <c r="WWG135" s="547"/>
      <c r="WWH135" s="547"/>
      <c r="WWI135" s="547"/>
      <c r="WWJ135" s="547"/>
      <c r="WWK135" s="548"/>
      <c r="WWL135" s="547"/>
      <c r="WWM135" s="547"/>
      <c r="WWN135" s="547"/>
      <c r="WWO135" s="549"/>
      <c r="WWP135" s="548"/>
      <c r="WWQ135" s="549"/>
      <c r="WWR135" s="549"/>
      <c r="WWS135" s="549"/>
      <c r="WWT135" s="549"/>
      <c r="WWU135" s="548"/>
      <c r="WWV135" s="548"/>
      <c r="WWW135" s="548"/>
      <c r="WWX135" s="548"/>
      <c r="WWY135" s="8"/>
      <c r="WWZ135" s="8"/>
      <c r="WXA135" s="503"/>
      <c r="WXB135" s="8"/>
      <c r="WXC135" s="8"/>
      <c r="WXD135" s="547"/>
      <c r="WXE135" s="547"/>
      <c r="WXF135" s="547"/>
      <c r="WXG135" s="547"/>
      <c r="WXH135" s="548"/>
      <c r="WXI135" s="547"/>
      <c r="WXJ135" s="547"/>
      <c r="WXK135" s="547"/>
      <c r="WXL135" s="547"/>
      <c r="WXM135" s="548"/>
      <c r="WXN135" s="547"/>
      <c r="WXO135" s="547"/>
      <c r="WXP135" s="547"/>
      <c r="WXQ135" s="547"/>
      <c r="WXR135" s="548"/>
      <c r="WXS135" s="547"/>
      <c r="WXT135" s="547"/>
      <c r="WXU135" s="547"/>
      <c r="WXV135" s="549"/>
      <c r="WXW135" s="548"/>
      <c r="WXX135" s="549"/>
      <c r="WXY135" s="549"/>
      <c r="WXZ135" s="549"/>
      <c r="WYA135" s="549"/>
      <c r="WYB135" s="548"/>
      <c r="WYC135" s="548"/>
      <c r="WYD135" s="548"/>
      <c r="WYE135" s="548"/>
      <c r="WYF135" s="8"/>
      <c r="WYG135" s="8"/>
      <c r="WYH135" s="503"/>
      <c r="WYI135" s="8"/>
      <c r="WYJ135" s="8"/>
      <c r="WYK135" s="547"/>
      <c r="WYL135" s="547"/>
      <c r="WYM135" s="547"/>
      <c r="WYN135" s="547"/>
      <c r="WYO135" s="548"/>
      <c r="WYP135" s="547"/>
      <c r="WYQ135" s="547"/>
      <c r="WYR135" s="547"/>
      <c r="WYS135" s="547"/>
      <c r="WYT135" s="548"/>
      <c r="WYU135" s="547"/>
      <c r="WYV135" s="547"/>
      <c r="WYW135" s="547"/>
      <c r="WYX135" s="547"/>
      <c r="WYY135" s="548"/>
      <c r="WYZ135" s="547"/>
      <c r="WZA135" s="547"/>
      <c r="WZB135" s="547"/>
      <c r="WZC135" s="549"/>
      <c r="WZD135" s="548"/>
      <c r="WZE135" s="549"/>
      <c r="WZF135" s="549"/>
      <c r="WZG135" s="549"/>
      <c r="WZH135" s="549"/>
      <c r="WZI135" s="548"/>
      <c r="WZJ135" s="548"/>
      <c r="WZK135" s="548"/>
      <c r="WZL135" s="548"/>
      <c r="WZM135" s="8"/>
      <c r="WZN135" s="8"/>
      <c r="WZO135" s="503"/>
      <c r="WZP135" s="8"/>
      <c r="WZQ135" s="8"/>
      <c r="WZR135" s="547"/>
      <c r="WZS135" s="547"/>
      <c r="WZT135" s="547"/>
      <c r="WZU135" s="547"/>
      <c r="WZV135" s="548"/>
      <c r="WZW135" s="547"/>
      <c r="WZX135" s="547"/>
      <c r="WZY135" s="547"/>
      <c r="WZZ135" s="547"/>
      <c r="XAA135" s="548"/>
      <c r="XAB135" s="547"/>
      <c r="XAC135" s="547"/>
      <c r="XAD135" s="547"/>
      <c r="XAE135" s="547"/>
      <c r="XAF135" s="548"/>
      <c r="XAG135" s="547"/>
      <c r="XAH135" s="547"/>
      <c r="XAI135" s="547"/>
      <c r="XAJ135" s="549"/>
      <c r="XAK135" s="548"/>
      <c r="XAL135" s="549"/>
      <c r="XAM135" s="549"/>
      <c r="XAN135" s="549"/>
      <c r="XAO135" s="549"/>
      <c r="XAP135" s="548"/>
      <c r="XAQ135" s="548"/>
      <c r="XAR135" s="548"/>
      <c r="XAS135" s="548"/>
      <c r="XAT135" s="8"/>
      <c r="XAU135" s="8"/>
      <c r="XAV135" s="503"/>
      <c r="XAW135" s="8"/>
      <c r="XAX135" s="8"/>
      <c r="XAY135" s="547"/>
      <c r="XAZ135" s="547"/>
      <c r="XBA135" s="547"/>
      <c r="XBB135" s="547"/>
      <c r="XBC135" s="548"/>
      <c r="XBD135" s="547"/>
      <c r="XBE135" s="547"/>
      <c r="XBF135" s="547"/>
      <c r="XBG135" s="547"/>
      <c r="XBH135" s="548"/>
      <c r="XBI135" s="547"/>
      <c r="XBJ135" s="547"/>
      <c r="XBK135" s="547"/>
      <c r="XBL135" s="547"/>
      <c r="XBM135" s="548"/>
      <c r="XBN135" s="547"/>
      <c r="XBO135" s="547"/>
      <c r="XBP135" s="547"/>
      <c r="XBQ135" s="549"/>
      <c r="XBR135" s="548"/>
      <c r="XBS135" s="549"/>
      <c r="XBT135" s="549"/>
      <c r="XBU135" s="549"/>
      <c r="XBV135" s="549"/>
      <c r="XBW135" s="548"/>
      <c r="XBX135" s="548"/>
      <c r="XBY135" s="548"/>
      <c r="XBZ135" s="548"/>
      <c r="XCA135" s="8"/>
      <c r="XCB135" s="8"/>
      <c r="XCC135" s="503"/>
      <c r="XCD135" s="8"/>
      <c r="XCE135" s="8"/>
      <c r="XCF135" s="547"/>
      <c r="XCG135" s="547"/>
      <c r="XCH135" s="547"/>
      <c r="XCI135" s="547"/>
      <c r="XCJ135" s="548"/>
      <c r="XCK135" s="547"/>
      <c r="XCL135" s="547"/>
      <c r="XCM135" s="547"/>
      <c r="XCN135" s="547"/>
      <c r="XCO135" s="548"/>
      <c r="XCP135" s="547"/>
      <c r="XCQ135" s="547"/>
      <c r="XCR135" s="547"/>
      <c r="XCS135" s="547"/>
      <c r="XCT135" s="548"/>
      <c r="XCU135" s="547"/>
      <c r="XCV135" s="547"/>
      <c r="XCW135" s="547"/>
      <c r="XCX135" s="549"/>
      <c r="XCY135" s="548"/>
      <c r="XCZ135" s="549"/>
      <c r="XDA135" s="549"/>
      <c r="XDB135" s="549"/>
      <c r="XDC135" s="549"/>
      <c r="XDD135" s="548"/>
      <c r="XDE135" s="548"/>
      <c r="XDF135" s="548"/>
      <c r="XDG135" s="548"/>
      <c r="XDH135" s="8"/>
      <c r="XDI135" s="8"/>
      <c r="XDJ135" s="503"/>
      <c r="XDK135" s="8"/>
      <c r="XDL135" s="8"/>
      <c r="XDM135" s="547"/>
      <c r="XDN135" s="547"/>
      <c r="XDO135" s="547"/>
      <c r="XDP135" s="547"/>
      <c r="XDQ135" s="548"/>
      <c r="XDR135" s="547"/>
      <c r="XDS135" s="547"/>
      <c r="XDT135" s="547"/>
      <c r="XDU135" s="547"/>
      <c r="XDV135" s="548"/>
      <c r="XDW135" s="547"/>
      <c r="XDX135" s="547"/>
      <c r="XDY135" s="547"/>
      <c r="XDZ135" s="547"/>
      <c r="XEA135" s="548"/>
      <c r="XEB135" s="547"/>
      <c r="XEC135" s="547"/>
      <c r="XED135" s="547"/>
      <c r="XEE135" s="549"/>
      <c r="XEF135" s="548"/>
      <c r="XEG135" s="549"/>
      <c r="XEH135" s="549"/>
      <c r="XEI135" s="549"/>
      <c r="XEJ135" s="549"/>
      <c r="XEK135" s="548"/>
      <c r="XEL135" s="548"/>
      <c r="XEM135" s="548"/>
      <c r="XEN135" s="548"/>
      <c r="XEO135" s="8"/>
      <c r="XEP135" s="8"/>
      <c r="XEQ135" s="503"/>
      <c r="XER135" s="8"/>
      <c r="XES135" s="8"/>
      <c r="XET135" s="547"/>
      <c r="XEU135" s="547"/>
      <c r="XEV135" s="547"/>
      <c r="XEW135" s="547"/>
      <c r="XEX135" s="548"/>
      <c r="XEY135" s="547"/>
      <c r="XEZ135" s="547"/>
      <c r="XFA135" s="547"/>
      <c r="XFB135" s="547"/>
      <c r="XFC135" s="548"/>
      <c r="XFD135" s="547"/>
    </row>
    <row r="136" ht="12.75" customHeight="1" spans="1:16384" s="361" customFormat="1" x14ac:dyDescent="0.25">
      <c r="A136" s="8"/>
      <c r="B136" s="8"/>
      <c r="C136" s="458" t="s">
        <v>239</v>
      </c>
      <c r="D136" s="8"/>
      <c r="E136" s="8"/>
      <c r="F136" s="547"/>
      <c r="G136" s="547"/>
      <c r="H136" s="547"/>
      <c r="I136" s="547"/>
      <c r="J136" s="548"/>
      <c r="K136" s="547"/>
      <c r="L136" s="547"/>
      <c r="M136" s="547"/>
      <c r="N136" s="547"/>
      <c r="O136" s="548"/>
      <c r="P136" s="547"/>
      <c r="Q136" s="547"/>
      <c r="R136" s="547"/>
      <c r="S136" s="547"/>
      <c r="T136" s="548"/>
      <c r="U136" s="550">
        <f>U137-0.02</f>
        <v>0.75</v>
      </c>
      <c r="V136" s="550">
        <f t="shared" ref="V136:X136" si="64">V137-0.02</f>
        <v>0.75</v>
      </c>
      <c r="W136" s="550">
        <f t="shared" si="64"/>
        <v>0.75</v>
      </c>
      <c r="X136" s="550">
        <f t="shared" si="64"/>
        <v>0.76</v>
      </c>
      <c r="Y136" s="548"/>
      <c r="Z136" s="550">
        <f>Z137-0.02</f>
        <v>0.75</v>
      </c>
      <c r="AA136" s="550">
        <f t="shared" ref="AA136:AC136" si="65">AA137-0.02</f>
        <v>0.75</v>
      </c>
      <c r="AB136" s="550">
        <f t="shared" si="65"/>
        <v>0.75</v>
      </c>
      <c r="AC136" s="550">
        <f t="shared" si="65"/>
        <v>0.76</v>
      </c>
      <c r="AD136" s="502"/>
      <c r="AE136" s="551">
        <f>AE137-0.01</f>
        <v>0.824</v>
      </c>
      <c r="AF136" s="551">
        <f t="shared" ref="AF136:AG136" si="66">AF137-0.01</f>
        <v>0.8099999999999999</v>
      </c>
      <c r="AG136" s="551">
        <f t="shared" si="66"/>
        <v>0.8</v>
      </c>
      <c r="AH136" s="8"/>
      <c r="AI136" s="8"/>
      <c r="AJ136" s="458"/>
      <c r="AK136" s="8"/>
      <c r="AL136" s="8"/>
      <c r="AM136" s="548"/>
      <c r="AN136" s="548"/>
      <c r="AO136" s="548"/>
      <c r="AP136" s="548"/>
      <c r="AQ136" s="548"/>
      <c r="AR136" s="548"/>
      <c r="AS136" s="548"/>
      <c r="AT136" s="548"/>
      <c r="AU136" s="548"/>
      <c r="AV136" s="548"/>
      <c r="AW136" s="548"/>
      <c r="AX136" s="548"/>
      <c r="AY136" s="548"/>
      <c r="AZ136" s="548"/>
      <c r="BA136" s="548"/>
      <c r="BB136" s="548"/>
      <c r="BC136" s="548"/>
      <c r="BD136" s="548"/>
      <c r="BE136" s="553"/>
      <c r="BF136" s="548"/>
      <c r="BG136" s="553"/>
      <c r="BH136" s="553"/>
      <c r="BI136" s="553"/>
      <c r="BJ136" s="553"/>
      <c r="BK136" s="548"/>
      <c r="BL136" s="553"/>
      <c r="BM136" s="553"/>
      <c r="BN136" s="553"/>
      <c r="BO136" s="8"/>
      <c r="BP136" s="8"/>
      <c r="BQ136" s="131"/>
      <c r="BR136" s="8"/>
      <c r="BS136" s="8"/>
      <c r="BT136" s="548"/>
      <c r="BU136" s="548"/>
      <c r="BV136" s="548"/>
      <c r="BW136" s="547"/>
      <c r="BX136" s="548"/>
      <c r="BY136" s="547"/>
      <c r="BZ136" s="547"/>
      <c r="CA136" s="547"/>
      <c r="CB136" s="547"/>
      <c r="CC136" s="548"/>
      <c r="CD136" s="547"/>
      <c r="CE136" s="547"/>
      <c r="CF136" s="547"/>
      <c r="CG136" s="547"/>
      <c r="CH136" s="548"/>
      <c r="CI136" s="547"/>
      <c r="CJ136" s="547"/>
      <c r="CK136" s="547"/>
      <c r="CL136" s="552"/>
      <c r="CM136" s="548"/>
      <c r="CN136" s="552"/>
      <c r="CO136" s="552"/>
      <c r="CP136" s="552"/>
      <c r="CQ136" s="552"/>
      <c r="CR136" s="548"/>
      <c r="CS136" s="553"/>
      <c r="CT136" s="553"/>
      <c r="CU136" s="553"/>
      <c r="CV136" s="8"/>
      <c r="CW136" s="8"/>
      <c r="CX136" s="458"/>
      <c r="CY136" s="8"/>
      <c r="CZ136" s="8"/>
      <c r="DA136" s="547"/>
      <c r="DB136" s="547"/>
      <c r="DC136" s="547"/>
      <c r="DD136" s="547"/>
      <c r="DE136" s="548"/>
      <c r="DF136" s="547"/>
      <c r="DG136" s="547"/>
      <c r="DH136" s="547"/>
      <c r="DI136" s="547"/>
      <c r="DJ136" s="548"/>
      <c r="DK136" s="547"/>
      <c r="DL136" s="547"/>
      <c r="DM136" s="547"/>
      <c r="DN136" s="547"/>
      <c r="DO136" s="548"/>
      <c r="DP136" s="547"/>
      <c r="DQ136" s="547"/>
      <c r="DR136" s="547"/>
      <c r="DS136" s="552"/>
      <c r="DT136" s="548"/>
      <c r="DU136" s="552"/>
      <c r="DV136" s="552"/>
      <c r="DW136" s="552"/>
      <c r="DX136" s="552"/>
      <c r="DY136" s="548"/>
      <c r="DZ136" s="553"/>
      <c r="EA136" s="553"/>
      <c r="EB136" s="553"/>
      <c r="EC136" s="8"/>
      <c r="ED136" s="8"/>
      <c r="EE136" s="458"/>
      <c r="EF136" s="8"/>
      <c r="EG136" s="8"/>
      <c r="EH136" s="547"/>
      <c r="EI136" s="547"/>
      <c r="EJ136" s="547"/>
      <c r="EK136" s="547"/>
      <c r="EL136" s="548"/>
      <c r="EM136" s="547"/>
      <c r="EN136" s="547"/>
      <c r="EO136" s="547"/>
      <c r="EP136" s="547"/>
      <c r="EQ136" s="548"/>
      <c r="ER136" s="547"/>
      <c r="ES136" s="547"/>
      <c r="ET136" s="547"/>
      <c r="EU136" s="547"/>
      <c r="EV136" s="548"/>
      <c r="EW136" s="547"/>
      <c r="EX136" s="547"/>
      <c r="EY136" s="547"/>
      <c r="EZ136" s="552"/>
      <c r="FA136" s="548"/>
      <c r="FB136" s="552"/>
      <c r="FC136" s="552"/>
      <c r="FD136" s="552"/>
      <c r="FE136" s="552"/>
      <c r="FF136" s="548"/>
      <c r="FG136" s="553"/>
      <c r="FH136" s="553"/>
      <c r="FI136" s="553"/>
      <c r="FJ136" s="8"/>
      <c r="FK136" s="8"/>
      <c r="FL136" s="458"/>
      <c r="FM136" s="8"/>
      <c r="FN136" s="8"/>
      <c r="FO136" s="547"/>
      <c r="FP136" s="547"/>
      <c r="FQ136" s="547"/>
      <c r="FR136" s="547"/>
      <c r="FS136" s="548"/>
      <c r="FT136" s="547"/>
      <c r="FU136" s="547"/>
      <c r="FV136" s="547"/>
      <c r="FW136" s="547"/>
      <c r="FX136" s="548"/>
      <c r="FY136" s="547"/>
      <c r="FZ136" s="547"/>
      <c r="GA136" s="547"/>
      <c r="GB136" s="547"/>
      <c r="GC136" s="548"/>
      <c r="GD136" s="547"/>
      <c r="GE136" s="547"/>
      <c r="GF136" s="547"/>
      <c r="GG136" s="552"/>
      <c r="GH136" s="548"/>
      <c r="GI136" s="552"/>
      <c r="GJ136" s="552"/>
      <c r="GK136" s="552"/>
      <c r="GL136" s="552"/>
      <c r="GM136" s="548"/>
      <c r="GN136" s="553"/>
      <c r="GO136" s="553"/>
      <c r="GP136" s="553"/>
      <c r="GQ136" s="8"/>
      <c r="GR136" s="8"/>
      <c r="GS136" s="458"/>
      <c r="GT136" s="8"/>
      <c r="GU136" s="8"/>
      <c r="GV136" s="547"/>
      <c r="GW136" s="547"/>
      <c r="GX136" s="547"/>
      <c r="GY136" s="547"/>
      <c r="GZ136" s="548"/>
      <c r="HA136" s="547"/>
      <c r="HB136" s="547"/>
      <c r="HC136" s="547"/>
      <c r="HD136" s="547"/>
      <c r="HE136" s="548"/>
      <c r="HF136" s="547"/>
      <c r="HG136" s="547"/>
      <c r="HH136" s="547"/>
      <c r="HI136" s="547"/>
      <c r="HJ136" s="548"/>
      <c r="HK136" s="547"/>
      <c r="HL136" s="547"/>
      <c r="HM136" s="547"/>
      <c r="HN136" s="552"/>
      <c r="HO136" s="548"/>
      <c r="HP136" s="552"/>
      <c r="HQ136" s="552"/>
      <c r="HR136" s="552"/>
      <c r="HS136" s="552"/>
      <c r="HT136" s="548"/>
      <c r="HU136" s="553"/>
      <c r="HV136" s="553"/>
      <c r="HW136" s="553"/>
      <c r="HX136" s="8"/>
      <c r="HY136" s="8"/>
      <c r="HZ136" s="458"/>
      <c r="IA136" s="8"/>
      <c r="IB136" s="8"/>
      <c r="IC136" s="547"/>
      <c r="ID136" s="547"/>
      <c r="IE136" s="547"/>
      <c r="IF136" s="547"/>
      <c r="IG136" s="548"/>
      <c r="IH136" s="547"/>
      <c r="II136" s="547"/>
      <c r="IJ136" s="547"/>
      <c r="IK136" s="547"/>
      <c r="IL136" s="548"/>
      <c r="IM136" s="547"/>
      <c r="IN136" s="547"/>
      <c r="IO136" s="547"/>
      <c r="IP136" s="547"/>
      <c r="IQ136" s="548"/>
      <c r="IR136" s="547"/>
      <c r="IS136" s="547"/>
      <c r="IT136" s="547"/>
      <c r="IU136" s="552"/>
      <c r="IV136" s="548"/>
      <c r="IW136" s="552"/>
      <c r="IX136" s="552"/>
      <c r="IY136" s="552"/>
      <c r="IZ136" s="552"/>
      <c r="JA136" s="548"/>
      <c r="JB136" s="553"/>
      <c r="JC136" s="553"/>
      <c r="JD136" s="553"/>
      <c r="JE136" s="8"/>
      <c r="JF136" s="8"/>
      <c r="JG136" s="458"/>
      <c r="JH136" s="8"/>
      <c r="JI136" s="8"/>
      <c r="JJ136" s="547"/>
      <c r="JK136" s="547"/>
      <c r="JL136" s="547"/>
      <c r="JM136" s="547"/>
      <c r="JN136" s="548"/>
      <c r="JO136" s="547"/>
      <c r="JP136" s="547"/>
      <c r="JQ136" s="547"/>
      <c r="JR136" s="547"/>
      <c r="JS136" s="548"/>
      <c r="JT136" s="547"/>
      <c r="JU136" s="547"/>
      <c r="JV136" s="547"/>
      <c r="JW136" s="547"/>
      <c r="JX136" s="548"/>
      <c r="JY136" s="547"/>
      <c r="JZ136" s="547"/>
      <c r="KA136" s="547"/>
      <c r="KB136" s="552"/>
      <c r="KC136" s="548"/>
      <c r="KD136" s="552"/>
      <c r="KE136" s="552"/>
      <c r="KF136" s="552"/>
      <c r="KG136" s="552"/>
      <c r="KH136" s="548"/>
      <c r="KI136" s="553"/>
      <c r="KJ136" s="553"/>
      <c r="KK136" s="553"/>
      <c r="KL136" s="8"/>
      <c r="KM136" s="8"/>
      <c r="KN136" s="458"/>
      <c r="KO136" s="8"/>
      <c r="KP136" s="8"/>
      <c r="KQ136" s="547"/>
      <c r="KR136" s="547"/>
      <c r="KS136" s="547"/>
      <c r="KT136" s="547"/>
      <c r="KU136" s="548"/>
      <c r="KV136" s="547"/>
      <c r="KW136" s="547"/>
      <c r="KX136" s="547"/>
      <c r="KY136" s="547"/>
      <c r="KZ136" s="548"/>
      <c r="LA136" s="547"/>
      <c r="LB136" s="547"/>
      <c r="LC136" s="547"/>
      <c r="LD136" s="547"/>
      <c r="LE136" s="548"/>
      <c r="LF136" s="547"/>
      <c r="LG136" s="547"/>
      <c r="LH136" s="547"/>
      <c r="LI136" s="552"/>
      <c r="LJ136" s="548"/>
      <c r="LK136" s="552"/>
      <c r="LL136" s="552"/>
      <c r="LM136" s="552"/>
      <c r="LN136" s="552"/>
      <c r="LO136" s="548"/>
      <c r="LP136" s="553"/>
      <c r="LQ136" s="553"/>
      <c r="LR136" s="553"/>
      <c r="LS136" s="8"/>
      <c r="LT136" s="8"/>
      <c r="LU136" s="458"/>
      <c r="LV136" s="8"/>
      <c r="LW136" s="8"/>
      <c r="LX136" s="547"/>
      <c r="LY136" s="547"/>
      <c r="LZ136" s="547"/>
      <c r="MA136" s="547"/>
      <c r="MB136" s="548"/>
      <c r="MC136" s="547"/>
      <c r="MD136" s="547"/>
      <c r="ME136" s="547"/>
      <c r="MF136" s="547"/>
      <c r="MG136" s="548"/>
      <c r="MH136" s="547"/>
      <c r="MI136" s="547"/>
      <c r="MJ136" s="547"/>
      <c r="MK136" s="547"/>
      <c r="ML136" s="548"/>
      <c r="MM136" s="547"/>
      <c r="MN136" s="547"/>
      <c r="MO136" s="547"/>
      <c r="MP136" s="552"/>
      <c r="MQ136" s="548"/>
      <c r="MR136" s="552"/>
      <c r="MS136" s="552"/>
      <c r="MT136" s="552"/>
      <c r="MU136" s="552"/>
      <c r="MV136" s="548"/>
      <c r="MW136" s="553"/>
      <c r="MX136" s="553"/>
      <c r="MY136" s="553"/>
      <c r="MZ136" s="8"/>
      <c r="NA136" s="8"/>
      <c r="NB136" s="458"/>
      <c r="NC136" s="8"/>
      <c r="ND136" s="8"/>
      <c r="NE136" s="547"/>
      <c r="NF136" s="547"/>
      <c r="NG136" s="547"/>
      <c r="NH136" s="547"/>
      <c r="NI136" s="548"/>
      <c r="NJ136" s="547"/>
      <c r="NK136" s="547"/>
      <c r="NL136" s="547"/>
      <c r="NM136" s="547"/>
      <c r="NN136" s="548"/>
      <c r="NO136" s="547"/>
      <c r="NP136" s="547"/>
      <c r="NQ136" s="547"/>
      <c r="NR136" s="547"/>
      <c r="NS136" s="548"/>
      <c r="NT136" s="547"/>
      <c r="NU136" s="547"/>
      <c r="NV136" s="547"/>
      <c r="NW136" s="552"/>
      <c r="NX136" s="548"/>
      <c r="NY136" s="552"/>
      <c r="NZ136" s="552"/>
      <c r="OA136" s="552"/>
      <c r="OB136" s="552"/>
      <c r="OC136" s="548"/>
      <c r="OD136" s="553"/>
      <c r="OE136" s="553"/>
      <c r="OF136" s="553"/>
      <c r="OG136" s="8"/>
      <c r="OH136" s="8"/>
      <c r="OI136" s="458"/>
      <c r="OJ136" s="8"/>
      <c r="OK136" s="8"/>
      <c r="OL136" s="547"/>
      <c r="OM136" s="547"/>
      <c r="ON136" s="547"/>
      <c r="OO136" s="547"/>
      <c r="OP136" s="548"/>
      <c r="OQ136" s="547"/>
      <c r="OR136" s="547"/>
      <c r="OS136" s="547"/>
      <c r="OT136" s="547"/>
      <c r="OU136" s="548"/>
      <c r="OV136" s="547"/>
      <c r="OW136" s="547"/>
      <c r="OX136" s="547"/>
      <c r="OY136" s="547"/>
      <c r="OZ136" s="548"/>
      <c r="PA136" s="547"/>
      <c r="PB136" s="547"/>
      <c r="PC136" s="547"/>
      <c r="PD136" s="552"/>
      <c r="PE136" s="548"/>
      <c r="PF136" s="552"/>
      <c r="PG136" s="552"/>
      <c r="PH136" s="552"/>
      <c r="PI136" s="552"/>
      <c r="PJ136" s="548"/>
      <c r="PK136" s="553"/>
      <c r="PL136" s="553"/>
      <c r="PM136" s="553"/>
      <c r="PN136" s="8"/>
      <c r="PO136" s="8"/>
      <c r="PP136" s="458"/>
      <c r="PQ136" s="8"/>
      <c r="PR136" s="8"/>
      <c r="PS136" s="547"/>
      <c r="PT136" s="547"/>
      <c r="PU136" s="547"/>
      <c r="PV136" s="547"/>
      <c r="PW136" s="548"/>
      <c r="PX136" s="547"/>
      <c r="PY136" s="547"/>
      <c r="PZ136" s="547"/>
      <c r="QA136" s="547"/>
      <c r="QB136" s="548"/>
      <c r="QC136" s="547"/>
      <c r="QD136" s="547"/>
      <c r="QE136" s="547"/>
      <c r="QF136" s="547"/>
      <c r="QG136" s="548"/>
      <c r="QH136" s="547"/>
      <c r="QI136" s="547"/>
      <c r="QJ136" s="547"/>
      <c r="QK136" s="552"/>
      <c r="QL136" s="548"/>
      <c r="QM136" s="552"/>
      <c r="QN136" s="552"/>
      <c r="QO136" s="552"/>
      <c r="QP136" s="552"/>
      <c r="QQ136" s="548"/>
      <c r="QR136" s="553"/>
      <c r="QS136" s="553"/>
      <c r="QT136" s="553"/>
      <c r="QU136" s="8"/>
      <c r="QV136" s="8"/>
      <c r="QW136" s="458"/>
      <c r="QX136" s="8"/>
      <c r="QY136" s="8"/>
      <c r="QZ136" s="547"/>
      <c r="RA136" s="547"/>
      <c r="RB136" s="547"/>
      <c r="RC136" s="547"/>
      <c r="RD136" s="548"/>
      <c r="RE136" s="547"/>
      <c r="RF136" s="547"/>
      <c r="RG136" s="547"/>
      <c r="RH136" s="547"/>
      <c r="RI136" s="548"/>
      <c r="RJ136" s="547"/>
      <c r="RK136" s="547"/>
      <c r="RL136" s="547"/>
      <c r="RM136" s="547"/>
      <c r="RN136" s="548"/>
      <c r="RO136" s="547"/>
      <c r="RP136" s="547"/>
      <c r="RQ136" s="547"/>
      <c r="RR136" s="552"/>
      <c r="RS136" s="548"/>
      <c r="RT136" s="552"/>
      <c r="RU136" s="552"/>
      <c r="RV136" s="552"/>
      <c r="RW136" s="552"/>
      <c r="RX136" s="548"/>
      <c r="RY136" s="553"/>
      <c r="RZ136" s="553"/>
      <c r="SA136" s="553"/>
      <c r="SB136" s="8"/>
      <c r="SC136" s="8"/>
      <c r="SD136" s="458"/>
      <c r="SE136" s="8"/>
      <c r="SF136" s="8"/>
      <c r="SG136" s="547"/>
      <c r="SH136" s="547"/>
      <c r="SI136" s="547"/>
      <c r="SJ136" s="547"/>
      <c r="SK136" s="548"/>
      <c r="SL136" s="547"/>
      <c r="SM136" s="547"/>
      <c r="SN136" s="547"/>
      <c r="SO136" s="547"/>
      <c r="SP136" s="548"/>
      <c r="SQ136" s="547"/>
      <c r="SR136" s="547"/>
      <c r="SS136" s="547"/>
      <c r="ST136" s="547"/>
      <c r="SU136" s="548"/>
      <c r="SV136" s="547"/>
      <c r="SW136" s="547"/>
      <c r="SX136" s="547"/>
      <c r="SY136" s="552"/>
      <c r="SZ136" s="548"/>
      <c r="TA136" s="552"/>
      <c r="TB136" s="552"/>
      <c r="TC136" s="552"/>
      <c r="TD136" s="552"/>
      <c r="TE136" s="548"/>
      <c r="TF136" s="553"/>
      <c r="TG136" s="553"/>
      <c r="TH136" s="553"/>
      <c r="TI136" s="8"/>
      <c r="TJ136" s="8"/>
      <c r="TK136" s="458"/>
      <c r="TL136" s="8"/>
      <c r="TM136" s="8"/>
      <c r="TN136" s="547"/>
      <c r="TO136" s="547"/>
      <c r="TP136" s="547"/>
      <c r="TQ136" s="547"/>
      <c r="TR136" s="548"/>
      <c r="TS136" s="547"/>
      <c r="TT136" s="547"/>
      <c r="TU136" s="547"/>
      <c r="TV136" s="547"/>
      <c r="TW136" s="548"/>
      <c r="TX136" s="547"/>
      <c r="TY136" s="547"/>
      <c r="TZ136" s="547"/>
      <c r="UA136" s="547"/>
      <c r="UB136" s="548"/>
      <c r="UC136" s="547"/>
      <c r="UD136" s="547"/>
      <c r="UE136" s="547"/>
      <c r="UF136" s="552"/>
      <c r="UG136" s="548"/>
      <c r="UH136" s="552"/>
      <c r="UI136" s="552"/>
      <c r="UJ136" s="552"/>
      <c r="UK136" s="552"/>
      <c r="UL136" s="548"/>
      <c r="UM136" s="553"/>
      <c r="UN136" s="553"/>
      <c r="UO136" s="553"/>
      <c r="UP136" s="8"/>
      <c r="UQ136" s="8"/>
      <c r="UR136" s="458"/>
      <c r="US136" s="8"/>
      <c r="UT136" s="8"/>
      <c r="UU136" s="547"/>
      <c r="UV136" s="547"/>
      <c r="UW136" s="547"/>
      <c r="UX136" s="547"/>
      <c r="UY136" s="548"/>
      <c r="UZ136" s="547"/>
      <c r="VA136" s="547"/>
      <c r="VB136" s="547"/>
      <c r="VC136" s="547"/>
      <c r="VD136" s="548"/>
      <c r="VE136" s="547"/>
      <c r="VF136" s="547"/>
      <c r="VG136" s="547"/>
      <c r="VH136" s="547"/>
      <c r="VI136" s="548"/>
      <c r="VJ136" s="547"/>
      <c r="VK136" s="547"/>
      <c r="VL136" s="547"/>
      <c r="VM136" s="552"/>
      <c r="VN136" s="548"/>
      <c r="VO136" s="552"/>
      <c r="VP136" s="552"/>
      <c r="VQ136" s="552"/>
      <c r="VR136" s="552"/>
      <c r="VS136" s="548"/>
      <c r="VT136" s="553"/>
      <c r="VU136" s="553"/>
      <c r="VV136" s="553"/>
      <c r="VW136" s="8"/>
      <c r="VX136" s="8"/>
      <c r="VY136" s="458"/>
      <c r="VZ136" s="8"/>
      <c r="WA136" s="8"/>
      <c r="WB136" s="547"/>
      <c r="WC136" s="547"/>
      <c r="WD136" s="547"/>
      <c r="WE136" s="547"/>
      <c r="WF136" s="548"/>
      <c r="WG136" s="547"/>
      <c r="WH136" s="547"/>
      <c r="WI136" s="547"/>
      <c r="WJ136" s="547"/>
      <c r="WK136" s="548"/>
      <c r="WL136" s="547"/>
      <c r="WM136" s="547"/>
      <c r="WN136" s="547"/>
      <c r="WO136" s="547"/>
      <c r="WP136" s="548"/>
      <c r="WQ136" s="547"/>
      <c r="WR136" s="547"/>
      <c r="WS136" s="547"/>
      <c r="WT136" s="552"/>
      <c r="WU136" s="548"/>
      <c r="WV136" s="552"/>
      <c r="WW136" s="552"/>
      <c r="WX136" s="552"/>
      <c r="WY136" s="552"/>
      <c r="WZ136" s="548"/>
      <c r="XA136" s="553"/>
      <c r="XB136" s="553"/>
      <c r="XC136" s="553"/>
      <c r="XD136" s="8"/>
      <c r="XE136" s="8"/>
      <c r="XF136" s="458"/>
      <c r="XG136" s="8"/>
      <c r="XH136" s="8"/>
      <c r="XI136" s="547"/>
      <c r="XJ136" s="547"/>
      <c r="XK136" s="547"/>
      <c r="XL136" s="547"/>
      <c r="XM136" s="548"/>
      <c r="XN136" s="547"/>
      <c r="XO136" s="547"/>
      <c r="XP136" s="547"/>
      <c r="XQ136" s="547"/>
      <c r="XR136" s="548"/>
      <c r="XS136" s="547"/>
      <c r="XT136" s="547"/>
      <c r="XU136" s="547"/>
      <c r="XV136" s="547"/>
      <c r="XW136" s="548"/>
      <c r="XX136" s="547"/>
      <c r="XY136" s="547"/>
      <c r="XZ136" s="547"/>
      <c r="YA136" s="552"/>
      <c r="YB136" s="548"/>
      <c r="YC136" s="552"/>
      <c r="YD136" s="552"/>
      <c r="YE136" s="552"/>
      <c r="YF136" s="552"/>
      <c r="YG136" s="548"/>
      <c r="YH136" s="553"/>
      <c r="YI136" s="553"/>
      <c r="YJ136" s="553"/>
      <c r="YK136" s="8"/>
      <c r="YL136" s="8"/>
      <c r="YM136" s="458"/>
      <c r="YN136" s="8"/>
      <c r="YO136" s="8"/>
      <c r="YP136" s="547"/>
      <c r="YQ136" s="547"/>
      <c r="YR136" s="547"/>
      <c r="YS136" s="547"/>
      <c r="YT136" s="548"/>
      <c r="YU136" s="547"/>
      <c r="YV136" s="547"/>
      <c r="YW136" s="547"/>
      <c r="YX136" s="547"/>
      <c r="YY136" s="548"/>
      <c r="YZ136" s="547"/>
      <c r="ZA136" s="547"/>
      <c r="ZB136" s="547"/>
      <c r="ZC136" s="547"/>
      <c r="ZD136" s="548"/>
      <c r="ZE136" s="547"/>
      <c r="ZF136" s="547"/>
      <c r="ZG136" s="547"/>
      <c r="ZH136" s="552"/>
      <c r="ZI136" s="548"/>
      <c r="ZJ136" s="552"/>
      <c r="ZK136" s="552"/>
      <c r="ZL136" s="552"/>
      <c r="ZM136" s="552"/>
      <c r="ZN136" s="548"/>
      <c r="ZO136" s="553"/>
      <c r="ZP136" s="553"/>
      <c r="ZQ136" s="553"/>
      <c r="ZR136" s="8"/>
      <c r="ZS136" s="8"/>
      <c r="ZT136" s="458"/>
      <c r="ZU136" s="8"/>
      <c r="ZV136" s="8"/>
      <c r="ZW136" s="547"/>
      <c r="ZX136" s="547"/>
      <c r="ZY136" s="547"/>
      <c r="ZZ136" s="547"/>
      <c r="AAA136" s="548"/>
      <c r="AAB136" s="547"/>
      <c r="AAC136" s="547"/>
      <c r="AAD136" s="547"/>
      <c r="AAE136" s="547"/>
      <c r="AAF136" s="548"/>
      <c r="AAG136" s="547"/>
      <c r="AAH136" s="547"/>
      <c r="AAI136" s="547"/>
      <c r="AAJ136" s="547"/>
      <c r="AAK136" s="548"/>
      <c r="AAL136" s="547"/>
      <c r="AAM136" s="547"/>
      <c r="AAN136" s="547"/>
      <c r="AAO136" s="552"/>
      <c r="AAP136" s="548"/>
      <c r="AAQ136" s="552"/>
      <c r="AAR136" s="552"/>
      <c r="AAS136" s="552"/>
      <c r="AAT136" s="552"/>
      <c r="AAU136" s="548"/>
      <c r="AAV136" s="553"/>
      <c r="AAW136" s="553"/>
      <c r="AAX136" s="553"/>
      <c r="AAY136" s="8"/>
      <c r="AAZ136" s="8"/>
      <c r="ABA136" s="458"/>
      <c r="ABB136" s="8"/>
      <c r="ABC136" s="8"/>
      <c r="ABD136" s="547"/>
      <c r="ABE136" s="547"/>
      <c r="ABF136" s="547"/>
      <c r="ABG136" s="547"/>
      <c r="ABH136" s="548"/>
      <c r="ABI136" s="547"/>
      <c r="ABJ136" s="547"/>
      <c r="ABK136" s="547"/>
      <c r="ABL136" s="547"/>
      <c r="ABM136" s="548"/>
      <c r="ABN136" s="547"/>
      <c r="ABO136" s="547"/>
      <c r="ABP136" s="547"/>
      <c r="ABQ136" s="547"/>
      <c r="ABR136" s="548"/>
      <c r="ABS136" s="547"/>
      <c r="ABT136" s="547"/>
      <c r="ABU136" s="547"/>
      <c r="ABV136" s="552"/>
      <c r="ABW136" s="548"/>
      <c r="ABX136" s="552"/>
      <c r="ABY136" s="552"/>
      <c r="ABZ136" s="552"/>
      <c r="ACA136" s="552"/>
      <c r="ACB136" s="548"/>
      <c r="ACC136" s="553"/>
      <c r="ACD136" s="553"/>
      <c r="ACE136" s="553"/>
      <c r="ACF136" s="8"/>
      <c r="ACG136" s="8"/>
      <c r="ACH136" s="458"/>
      <c r="ACI136" s="8"/>
      <c r="ACJ136" s="8"/>
      <c r="ACK136" s="547"/>
      <c r="ACL136" s="547"/>
      <c r="ACM136" s="547"/>
      <c r="ACN136" s="547"/>
      <c r="ACO136" s="548"/>
      <c r="ACP136" s="547"/>
      <c r="ACQ136" s="547"/>
      <c r="ACR136" s="547"/>
      <c r="ACS136" s="547"/>
      <c r="ACT136" s="548"/>
      <c r="ACU136" s="547"/>
      <c r="ACV136" s="547"/>
      <c r="ACW136" s="547"/>
      <c r="ACX136" s="547"/>
      <c r="ACY136" s="548"/>
      <c r="ACZ136" s="547"/>
      <c r="ADA136" s="547"/>
      <c r="ADB136" s="547"/>
      <c r="ADC136" s="552"/>
      <c r="ADD136" s="548"/>
      <c r="ADE136" s="552"/>
      <c r="ADF136" s="552"/>
      <c r="ADG136" s="552"/>
      <c r="ADH136" s="552"/>
      <c r="ADI136" s="548"/>
      <c r="ADJ136" s="553"/>
      <c r="ADK136" s="553"/>
      <c r="ADL136" s="553"/>
      <c r="ADM136" s="8"/>
      <c r="ADN136" s="8"/>
      <c r="ADO136" s="458"/>
      <c r="ADP136" s="8"/>
      <c r="ADQ136" s="8"/>
      <c r="ADR136" s="547"/>
      <c r="ADS136" s="547"/>
      <c r="ADT136" s="547"/>
      <c r="ADU136" s="547"/>
      <c r="ADV136" s="548"/>
      <c r="ADW136" s="547"/>
      <c r="ADX136" s="547"/>
      <c r="ADY136" s="547"/>
      <c r="ADZ136" s="547"/>
      <c r="AEA136" s="548"/>
      <c r="AEB136" s="547"/>
      <c r="AEC136" s="547"/>
      <c r="AED136" s="547"/>
      <c r="AEE136" s="547"/>
      <c r="AEF136" s="548"/>
      <c r="AEG136" s="547"/>
      <c r="AEH136" s="547"/>
      <c r="AEI136" s="547"/>
      <c r="AEJ136" s="552"/>
      <c r="AEK136" s="548"/>
      <c r="AEL136" s="552"/>
      <c r="AEM136" s="552"/>
      <c r="AEN136" s="552"/>
      <c r="AEO136" s="552"/>
      <c r="AEP136" s="548"/>
      <c r="AEQ136" s="553"/>
      <c r="AER136" s="553"/>
      <c r="AES136" s="553"/>
      <c r="AET136" s="8"/>
      <c r="AEU136" s="8"/>
      <c r="AEV136" s="458"/>
      <c r="AEW136" s="8"/>
      <c r="AEX136" s="8"/>
      <c r="AEY136" s="547"/>
      <c r="AEZ136" s="547"/>
      <c r="AFA136" s="547"/>
      <c r="AFB136" s="547"/>
      <c r="AFC136" s="548"/>
      <c r="AFD136" s="547"/>
      <c r="AFE136" s="547"/>
      <c r="AFF136" s="547"/>
      <c r="AFG136" s="547"/>
      <c r="AFH136" s="548"/>
      <c r="AFI136" s="547"/>
      <c r="AFJ136" s="547"/>
      <c r="AFK136" s="547"/>
      <c r="AFL136" s="547"/>
      <c r="AFM136" s="548"/>
      <c r="AFN136" s="547"/>
      <c r="AFO136" s="547"/>
      <c r="AFP136" s="547"/>
      <c r="AFQ136" s="552"/>
      <c r="AFR136" s="548"/>
      <c r="AFS136" s="552"/>
      <c r="AFT136" s="552"/>
      <c r="AFU136" s="552"/>
      <c r="AFV136" s="552"/>
      <c r="AFW136" s="548"/>
      <c r="AFX136" s="553"/>
      <c r="AFY136" s="553"/>
      <c r="AFZ136" s="553"/>
      <c r="AGA136" s="8"/>
      <c r="AGB136" s="8"/>
      <c r="AGC136" s="458"/>
      <c r="AGD136" s="8"/>
      <c r="AGE136" s="8"/>
      <c r="AGF136" s="547"/>
      <c r="AGG136" s="547"/>
      <c r="AGH136" s="547"/>
      <c r="AGI136" s="547"/>
      <c r="AGJ136" s="548"/>
      <c r="AGK136" s="547"/>
      <c r="AGL136" s="547"/>
      <c r="AGM136" s="547"/>
      <c r="AGN136" s="547"/>
      <c r="AGO136" s="548"/>
      <c r="AGP136" s="547"/>
      <c r="AGQ136" s="547"/>
      <c r="AGR136" s="547"/>
      <c r="AGS136" s="547"/>
      <c r="AGT136" s="548"/>
      <c r="AGU136" s="547"/>
      <c r="AGV136" s="547"/>
      <c r="AGW136" s="547"/>
      <c r="AGX136" s="552"/>
      <c r="AGY136" s="548"/>
      <c r="AGZ136" s="552"/>
      <c r="AHA136" s="552"/>
      <c r="AHB136" s="552"/>
      <c r="AHC136" s="552"/>
      <c r="AHD136" s="548"/>
      <c r="AHE136" s="553"/>
      <c r="AHF136" s="553"/>
      <c r="AHG136" s="553"/>
      <c r="AHH136" s="8"/>
      <c r="AHI136" s="8"/>
      <c r="AHJ136" s="458"/>
      <c r="AHK136" s="8"/>
      <c r="AHL136" s="8"/>
      <c r="AHM136" s="547"/>
      <c r="AHN136" s="547"/>
      <c r="AHO136" s="547"/>
      <c r="AHP136" s="547"/>
      <c r="AHQ136" s="548"/>
      <c r="AHR136" s="547"/>
      <c r="AHS136" s="547"/>
      <c r="AHT136" s="547"/>
      <c r="AHU136" s="547"/>
      <c r="AHV136" s="548"/>
      <c r="AHW136" s="547"/>
      <c r="AHX136" s="547"/>
      <c r="AHY136" s="547"/>
      <c r="AHZ136" s="547"/>
      <c r="AIA136" s="548"/>
      <c r="AIB136" s="547"/>
      <c r="AIC136" s="547"/>
      <c r="AID136" s="547"/>
      <c r="AIE136" s="552"/>
      <c r="AIF136" s="548"/>
      <c r="AIG136" s="552"/>
      <c r="AIH136" s="552"/>
      <c r="AII136" s="552"/>
      <c r="AIJ136" s="552"/>
      <c r="AIK136" s="548"/>
      <c r="AIL136" s="553"/>
      <c r="AIM136" s="553"/>
      <c r="AIN136" s="553"/>
      <c r="AIO136" s="8"/>
      <c r="AIP136" s="8"/>
      <c r="AIQ136" s="458"/>
      <c r="AIR136" s="8"/>
      <c r="AIS136" s="8"/>
      <c r="AIT136" s="547"/>
      <c r="AIU136" s="547"/>
      <c r="AIV136" s="547"/>
      <c r="AIW136" s="547"/>
      <c r="AIX136" s="548"/>
      <c r="AIY136" s="547"/>
      <c r="AIZ136" s="547"/>
      <c r="AJA136" s="547"/>
      <c r="AJB136" s="547"/>
      <c r="AJC136" s="548"/>
      <c r="AJD136" s="547"/>
      <c r="AJE136" s="547"/>
      <c r="AJF136" s="547"/>
      <c r="AJG136" s="547"/>
      <c r="AJH136" s="548"/>
      <c r="AJI136" s="547"/>
      <c r="AJJ136" s="547"/>
      <c r="AJK136" s="547"/>
      <c r="AJL136" s="552"/>
      <c r="AJM136" s="548"/>
      <c r="AJN136" s="552"/>
      <c r="AJO136" s="552"/>
      <c r="AJP136" s="552"/>
      <c r="AJQ136" s="552"/>
      <c r="AJR136" s="548"/>
      <c r="AJS136" s="553"/>
      <c r="AJT136" s="553"/>
      <c r="AJU136" s="553"/>
      <c r="AJV136" s="8"/>
      <c r="AJW136" s="8"/>
      <c r="AJX136" s="458"/>
      <c r="AJY136" s="8"/>
      <c r="AJZ136" s="8"/>
      <c r="AKA136" s="547"/>
      <c r="AKB136" s="547"/>
      <c r="AKC136" s="547"/>
      <c r="AKD136" s="547"/>
      <c r="AKE136" s="548"/>
      <c r="AKF136" s="547"/>
      <c r="AKG136" s="547"/>
      <c r="AKH136" s="547"/>
      <c r="AKI136" s="547"/>
      <c r="AKJ136" s="548"/>
      <c r="AKK136" s="547"/>
      <c r="AKL136" s="547"/>
      <c r="AKM136" s="547"/>
      <c r="AKN136" s="547"/>
      <c r="AKO136" s="548"/>
      <c r="AKP136" s="547"/>
      <c r="AKQ136" s="547"/>
      <c r="AKR136" s="547"/>
      <c r="AKS136" s="552"/>
      <c r="AKT136" s="548"/>
      <c r="AKU136" s="552"/>
      <c r="AKV136" s="552"/>
      <c r="AKW136" s="552"/>
      <c r="AKX136" s="552"/>
      <c r="AKY136" s="548"/>
      <c r="AKZ136" s="553"/>
      <c r="ALA136" s="553"/>
      <c r="ALB136" s="553"/>
      <c r="ALC136" s="8"/>
      <c r="ALD136" s="8"/>
      <c r="ALE136" s="458"/>
      <c r="ALF136" s="8"/>
      <c r="ALG136" s="8"/>
      <c r="ALH136" s="547"/>
      <c r="ALI136" s="547"/>
      <c r="ALJ136" s="547"/>
      <c r="ALK136" s="547"/>
      <c r="ALL136" s="548"/>
      <c r="ALM136" s="547"/>
      <c r="ALN136" s="547"/>
      <c r="ALO136" s="547"/>
      <c r="ALP136" s="547"/>
      <c r="ALQ136" s="548"/>
      <c r="ALR136" s="547"/>
      <c r="ALS136" s="547"/>
      <c r="ALT136" s="547"/>
      <c r="ALU136" s="547"/>
      <c r="ALV136" s="548"/>
      <c r="ALW136" s="547"/>
      <c r="ALX136" s="547"/>
      <c r="ALY136" s="547"/>
      <c r="ALZ136" s="552"/>
      <c r="AMA136" s="548"/>
      <c r="AMB136" s="552"/>
      <c r="AMC136" s="552"/>
      <c r="AMD136" s="552"/>
      <c r="AME136" s="552"/>
      <c r="AMF136" s="548"/>
      <c r="AMG136" s="553"/>
      <c r="AMH136" s="553"/>
      <c r="AMI136" s="553"/>
      <c r="AMJ136" s="8"/>
      <c r="AMK136" s="8"/>
      <c r="AML136" s="458"/>
      <c r="AMM136" s="8"/>
      <c r="AMN136" s="8"/>
      <c r="AMO136" s="547"/>
      <c r="AMP136" s="547"/>
      <c r="AMQ136" s="547"/>
      <c r="AMR136" s="547"/>
      <c r="AMS136" s="548"/>
      <c r="AMT136" s="547"/>
      <c r="AMU136" s="547"/>
      <c r="AMV136" s="547"/>
      <c r="AMW136" s="547"/>
      <c r="AMX136" s="548"/>
      <c r="AMY136" s="547"/>
      <c r="AMZ136" s="547"/>
      <c r="ANA136" s="547"/>
      <c r="ANB136" s="547"/>
      <c r="ANC136" s="548"/>
      <c r="AND136" s="547"/>
      <c r="ANE136" s="547"/>
      <c r="ANF136" s="547"/>
      <c r="ANG136" s="552"/>
      <c r="ANH136" s="548"/>
      <c r="ANI136" s="552"/>
      <c r="ANJ136" s="552"/>
      <c r="ANK136" s="552"/>
      <c r="ANL136" s="552"/>
      <c r="ANM136" s="548"/>
      <c r="ANN136" s="553"/>
      <c r="ANO136" s="553"/>
      <c r="ANP136" s="553"/>
      <c r="ANQ136" s="8"/>
      <c r="ANR136" s="8"/>
      <c r="ANS136" s="458"/>
      <c r="ANT136" s="8"/>
      <c r="ANU136" s="8"/>
      <c r="ANV136" s="547"/>
      <c r="ANW136" s="547"/>
      <c r="ANX136" s="547"/>
      <c r="ANY136" s="547"/>
      <c r="ANZ136" s="548"/>
      <c r="AOA136" s="547"/>
      <c r="AOB136" s="547"/>
      <c r="AOC136" s="547"/>
      <c r="AOD136" s="547"/>
      <c r="AOE136" s="548"/>
      <c r="AOF136" s="547"/>
      <c r="AOG136" s="547"/>
      <c r="AOH136" s="547"/>
      <c r="AOI136" s="547"/>
      <c r="AOJ136" s="548"/>
      <c r="AOK136" s="547"/>
      <c r="AOL136" s="547"/>
      <c r="AOM136" s="547"/>
      <c r="AON136" s="552"/>
      <c r="AOO136" s="548"/>
      <c r="AOP136" s="552"/>
      <c r="AOQ136" s="552"/>
      <c r="AOR136" s="552"/>
      <c r="AOS136" s="552"/>
      <c r="AOT136" s="548"/>
      <c r="AOU136" s="553"/>
      <c r="AOV136" s="553"/>
      <c r="AOW136" s="553"/>
      <c r="AOX136" s="8"/>
      <c r="AOY136" s="8"/>
      <c r="AOZ136" s="458"/>
      <c r="APA136" s="8"/>
      <c r="APB136" s="8"/>
      <c r="APC136" s="547"/>
      <c r="APD136" s="547"/>
      <c r="APE136" s="547"/>
      <c r="APF136" s="547"/>
      <c r="APG136" s="548"/>
      <c r="APH136" s="547"/>
      <c r="API136" s="547"/>
      <c r="APJ136" s="547"/>
      <c r="APK136" s="547"/>
      <c r="APL136" s="548"/>
      <c r="APM136" s="547"/>
      <c r="APN136" s="547"/>
      <c r="APO136" s="547"/>
      <c r="APP136" s="547"/>
      <c r="APQ136" s="548"/>
      <c r="APR136" s="547"/>
      <c r="APS136" s="547"/>
      <c r="APT136" s="547"/>
      <c r="APU136" s="552"/>
      <c r="APV136" s="548"/>
      <c r="APW136" s="552"/>
      <c r="APX136" s="552"/>
      <c r="APY136" s="552"/>
      <c r="APZ136" s="552"/>
      <c r="AQA136" s="548"/>
      <c r="AQB136" s="553"/>
      <c r="AQC136" s="553"/>
      <c r="AQD136" s="553"/>
      <c r="AQE136" s="8"/>
      <c r="AQF136" s="8"/>
      <c r="AQG136" s="458"/>
      <c r="AQH136" s="8"/>
      <c r="AQI136" s="8"/>
      <c r="AQJ136" s="547"/>
      <c r="AQK136" s="547"/>
      <c r="AQL136" s="547"/>
      <c r="AQM136" s="547"/>
      <c r="AQN136" s="548"/>
      <c r="AQO136" s="547"/>
      <c r="AQP136" s="547"/>
      <c r="AQQ136" s="547"/>
      <c r="AQR136" s="547"/>
      <c r="AQS136" s="548"/>
      <c r="AQT136" s="547"/>
      <c r="AQU136" s="547"/>
      <c r="AQV136" s="547"/>
      <c r="AQW136" s="547"/>
      <c r="AQX136" s="548"/>
      <c r="AQY136" s="547"/>
      <c r="AQZ136" s="547"/>
      <c r="ARA136" s="547"/>
      <c r="ARB136" s="552"/>
      <c r="ARC136" s="548"/>
      <c r="ARD136" s="552"/>
      <c r="ARE136" s="552"/>
      <c r="ARF136" s="552"/>
      <c r="ARG136" s="552"/>
      <c r="ARH136" s="548"/>
      <c r="ARI136" s="553"/>
      <c r="ARJ136" s="553"/>
      <c r="ARK136" s="553"/>
      <c r="ARL136" s="8"/>
      <c r="ARM136" s="8"/>
      <c r="ARN136" s="458"/>
      <c r="ARO136" s="8"/>
      <c r="ARP136" s="8"/>
      <c r="ARQ136" s="547"/>
      <c r="ARR136" s="547"/>
      <c r="ARS136" s="547"/>
      <c r="ART136" s="547"/>
      <c r="ARU136" s="548"/>
      <c r="ARV136" s="547"/>
      <c r="ARW136" s="547"/>
      <c r="ARX136" s="547"/>
      <c r="ARY136" s="547"/>
      <c r="ARZ136" s="548"/>
      <c r="ASA136" s="547"/>
      <c r="ASB136" s="547"/>
      <c r="ASC136" s="547"/>
      <c r="ASD136" s="547"/>
      <c r="ASE136" s="548"/>
      <c r="ASF136" s="547"/>
      <c r="ASG136" s="547"/>
      <c r="ASH136" s="547"/>
      <c r="ASI136" s="552"/>
      <c r="ASJ136" s="548"/>
      <c r="ASK136" s="552"/>
      <c r="ASL136" s="552"/>
      <c r="ASM136" s="552"/>
      <c r="ASN136" s="552"/>
      <c r="ASO136" s="548"/>
      <c r="ASP136" s="553"/>
      <c r="ASQ136" s="553"/>
      <c r="ASR136" s="553"/>
      <c r="ASS136" s="8"/>
      <c r="AST136" s="8"/>
      <c r="ASU136" s="458"/>
      <c r="ASV136" s="8"/>
      <c r="ASW136" s="8"/>
      <c r="ASX136" s="547"/>
      <c r="ASY136" s="547"/>
      <c r="ASZ136" s="547"/>
      <c r="ATA136" s="547"/>
      <c r="ATB136" s="548"/>
      <c r="ATC136" s="547"/>
      <c r="ATD136" s="547"/>
      <c r="ATE136" s="547"/>
      <c r="ATF136" s="547"/>
      <c r="ATG136" s="548"/>
      <c r="ATH136" s="547"/>
      <c r="ATI136" s="547"/>
      <c r="ATJ136" s="547"/>
      <c r="ATK136" s="547"/>
      <c r="ATL136" s="548"/>
      <c r="ATM136" s="547"/>
      <c r="ATN136" s="547"/>
      <c r="ATO136" s="547"/>
      <c r="ATP136" s="552"/>
      <c r="ATQ136" s="548"/>
      <c r="ATR136" s="552"/>
      <c r="ATS136" s="552"/>
      <c r="ATT136" s="552"/>
      <c r="ATU136" s="552"/>
      <c r="ATV136" s="548"/>
      <c r="ATW136" s="553"/>
      <c r="ATX136" s="553"/>
      <c r="ATY136" s="553"/>
      <c r="ATZ136" s="8"/>
      <c r="AUA136" s="8"/>
      <c r="AUB136" s="458"/>
      <c r="AUC136" s="8"/>
      <c r="AUD136" s="8"/>
      <c r="AUE136" s="547"/>
      <c r="AUF136" s="547"/>
      <c r="AUG136" s="547"/>
      <c r="AUH136" s="547"/>
      <c r="AUI136" s="548"/>
      <c r="AUJ136" s="547"/>
      <c r="AUK136" s="547"/>
      <c r="AUL136" s="547"/>
      <c r="AUM136" s="547"/>
      <c r="AUN136" s="548"/>
      <c r="AUO136" s="547"/>
      <c r="AUP136" s="547"/>
      <c r="AUQ136" s="547"/>
      <c r="AUR136" s="547"/>
      <c r="AUS136" s="548"/>
      <c r="AUT136" s="547"/>
      <c r="AUU136" s="547"/>
      <c r="AUV136" s="547"/>
      <c r="AUW136" s="552"/>
      <c r="AUX136" s="548"/>
      <c r="AUY136" s="552"/>
      <c r="AUZ136" s="552"/>
      <c r="AVA136" s="552"/>
      <c r="AVB136" s="552"/>
      <c r="AVC136" s="548"/>
      <c r="AVD136" s="553"/>
      <c r="AVE136" s="553"/>
      <c r="AVF136" s="553"/>
      <c r="AVG136" s="8"/>
      <c r="AVH136" s="8"/>
      <c r="AVI136" s="458"/>
      <c r="AVJ136" s="8"/>
      <c r="AVK136" s="8"/>
      <c r="AVL136" s="547"/>
      <c r="AVM136" s="547"/>
      <c r="AVN136" s="547"/>
      <c r="AVO136" s="547"/>
      <c r="AVP136" s="548"/>
      <c r="AVQ136" s="547"/>
      <c r="AVR136" s="547"/>
      <c r="AVS136" s="547"/>
      <c r="AVT136" s="547"/>
      <c r="AVU136" s="548"/>
      <c r="AVV136" s="547"/>
      <c r="AVW136" s="547"/>
      <c r="AVX136" s="547"/>
      <c r="AVY136" s="547"/>
      <c r="AVZ136" s="548"/>
      <c r="AWA136" s="547"/>
      <c r="AWB136" s="547"/>
      <c r="AWC136" s="547"/>
      <c r="AWD136" s="552"/>
      <c r="AWE136" s="548"/>
      <c r="AWF136" s="552"/>
      <c r="AWG136" s="552"/>
      <c r="AWH136" s="552"/>
      <c r="AWI136" s="552"/>
      <c r="AWJ136" s="548"/>
      <c r="AWK136" s="553"/>
      <c r="AWL136" s="553"/>
      <c r="AWM136" s="553"/>
      <c r="AWN136" s="8"/>
      <c r="AWO136" s="8"/>
      <c r="AWP136" s="458"/>
      <c r="AWQ136" s="8"/>
      <c r="AWR136" s="8"/>
      <c r="AWS136" s="547"/>
      <c r="AWT136" s="547"/>
      <c r="AWU136" s="547"/>
      <c r="AWV136" s="547"/>
      <c r="AWW136" s="548"/>
      <c r="AWX136" s="547"/>
      <c r="AWY136" s="547"/>
      <c r="AWZ136" s="547"/>
      <c r="AXA136" s="547"/>
      <c r="AXB136" s="548"/>
      <c r="AXC136" s="547"/>
      <c r="AXD136" s="547"/>
      <c r="AXE136" s="547"/>
      <c r="AXF136" s="547"/>
      <c r="AXG136" s="548"/>
      <c r="AXH136" s="547"/>
      <c r="AXI136" s="547"/>
      <c r="AXJ136" s="547"/>
      <c r="AXK136" s="552"/>
      <c r="AXL136" s="548"/>
      <c r="AXM136" s="552"/>
      <c r="AXN136" s="552"/>
      <c r="AXO136" s="552"/>
      <c r="AXP136" s="552"/>
      <c r="AXQ136" s="548"/>
      <c r="AXR136" s="553"/>
      <c r="AXS136" s="553"/>
      <c r="AXT136" s="553"/>
      <c r="AXU136" s="8"/>
      <c r="AXV136" s="8"/>
      <c r="AXW136" s="458"/>
      <c r="AXX136" s="8"/>
      <c r="AXY136" s="8"/>
      <c r="AXZ136" s="547"/>
      <c r="AYA136" s="547"/>
      <c r="AYB136" s="547"/>
      <c r="AYC136" s="547"/>
      <c r="AYD136" s="548"/>
      <c r="AYE136" s="547"/>
      <c r="AYF136" s="547"/>
      <c r="AYG136" s="547"/>
      <c r="AYH136" s="547"/>
      <c r="AYI136" s="548"/>
      <c r="AYJ136" s="547"/>
      <c r="AYK136" s="547"/>
      <c r="AYL136" s="547"/>
      <c r="AYM136" s="547"/>
      <c r="AYN136" s="548"/>
      <c r="AYO136" s="547"/>
      <c r="AYP136" s="547"/>
      <c r="AYQ136" s="547"/>
      <c r="AYR136" s="552"/>
      <c r="AYS136" s="548"/>
      <c r="AYT136" s="552"/>
      <c r="AYU136" s="552"/>
      <c r="AYV136" s="552"/>
      <c r="AYW136" s="552"/>
      <c r="AYX136" s="548"/>
      <c r="AYY136" s="553"/>
      <c r="AYZ136" s="553"/>
      <c r="AZA136" s="553"/>
      <c r="AZB136" s="8"/>
      <c r="AZC136" s="8"/>
      <c r="AZD136" s="458"/>
      <c r="AZE136" s="8"/>
      <c r="AZF136" s="8"/>
      <c r="AZG136" s="547"/>
      <c r="AZH136" s="547"/>
      <c r="AZI136" s="547"/>
      <c r="AZJ136" s="547"/>
      <c r="AZK136" s="548"/>
      <c r="AZL136" s="547"/>
      <c r="AZM136" s="547"/>
      <c r="AZN136" s="547"/>
      <c r="AZO136" s="547"/>
      <c r="AZP136" s="548"/>
      <c r="AZQ136" s="547"/>
      <c r="AZR136" s="547"/>
      <c r="AZS136" s="547"/>
      <c r="AZT136" s="547"/>
      <c r="AZU136" s="548"/>
      <c r="AZV136" s="547"/>
      <c r="AZW136" s="547"/>
      <c r="AZX136" s="547"/>
      <c r="AZY136" s="552"/>
      <c r="AZZ136" s="548"/>
      <c r="BAA136" s="552"/>
      <c r="BAB136" s="552"/>
      <c r="BAC136" s="552"/>
      <c r="BAD136" s="552"/>
      <c r="BAE136" s="548"/>
      <c r="BAF136" s="553"/>
      <c r="BAG136" s="553"/>
      <c r="BAH136" s="553"/>
      <c r="BAI136" s="8"/>
      <c r="BAJ136" s="8"/>
      <c r="BAK136" s="458"/>
      <c r="BAL136" s="8"/>
      <c r="BAM136" s="8"/>
      <c r="BAN136" s="547"/>
      <c r="BAO136" s="547"/>
      <c r="BAP136" s="547"/>
      <c r="BAQ136" s="547"/>
      <c r="BAR136" s="548"/>
      <c r="BAS136" s="547"/>
      <c r="BAT136" s="547"/>
      <c r="BAU136" s="547"/>
      <c r="BAV136" s="547"/>
      <c r="BAW136" s="548"/>
      <c r="BAX136" s="547"/>
      <c r="BAY136" s="547"/>
      <c r="BAZ136" s="547"/>
      <c r="BBA136" s="547"/>
      <c r="BBB136" s="548"/>
      <c r="BBC136" s="547"/>
      <c r="BBD136" s="547"/>
      <c r="BBE136" s="547"/>
      <c r="BBF136" s="552"/>
      <c r="BBG136" s="548"/>
      <c r="BBH136" s="552"/>
      <c r="BBI136" s="552"/>
      <c r="BBJ136" s="552"/>
      <c r="BBK136" s="552"/>
      <c r="BBL136" s="548"/>
      <c r="BBM136" s="553"/>
      <c r="BBN136" s="553"/>
      <c r="BBO136" s="553"/>
      <c r="BBP136" s="8"/>
      <c r="BBQ136" s="8"/>
      <c r="BBR136" s="458"/>
      <c r="BBS136" s="8"/>
      <c r="BBT136" s="8"/>
      <c r="BBU136" s="547"/>
      <c r="BBV136" s="547"/>
      <c r="BBW136" s="547"/>
      <c r="BBX136" s="547"/>
      <c r="BBY136" s="548"/>
      <c r="BBZ136" s="547"/>
      <c r="BCA136" s="547"/>
      <c r="BCB136" s="547"/>
      <c r="BCC136" s="547"/>
      <c r="BCD136" s="548"/>
      <c r="BCE136" s="547"/>
      <c r="BCF136" s="547"/>
      <c r="BCG136" s="547"/>
      <c r="BCH136" s="547"/>
      <c r="BCI136" s="548"/>
      <c r="BCJ136" s="547"/>
      <c r="BCK136" s="547"/>
      <c r="BCL136" s="547"/>
      <c r="BCM136" s="552"/>
      <c r="BCN136" s="548"/>
      <c r="BCO136" s="552"/>
      <c r="BCP136" s="552"/>
      <c r="BCQ136" s="552"/>
      <c r="BCR136" s="552"/>
      <c r="BCS136" s="548"/>
      <c r="BCT136" s="553"/>
      <c r="BCU136" s="553"/>
      <c r="BCV136" s="553"/>
      <c r="BCW136" s="8"/>
      <c r="BCX136" s="8"/>
      <c r="BCY136" s="458"/>
      <c r="BCZ136" s="8"/>
      <c r="BDA136" s="8"/>
      <c r="BDB136" s="547"/>
      <c r="BDC136" s="547"/>
      <c r="BDD136" s="547"/>
      <c r="BDE136" s="547"/>
      <c r="BDF136" s="548"/>
      <c r="BDG136" s="547"/>
      <c r="BDH136" s="547"/>
      <c r="BDI136" s="547"/>
      <c r="BDJ136" s="547"/>
      <c r="BDK136" s="548"/>
      <c r="BDL136" s="547"/>
      <c r="BDM136" s="547"/>
      <c r="BDN136" s="547"/>
      <c r="BDO136" s="547"/>
      <c r="BDP136" s="548"/>
      <c r="BDQ136" s="547"/>
      <c r="BDR136" s="547"/>
      <c r="BDS136" s="547"/>
      <c r="BDT136" s="552"/>
      <c r="BDU136" s="548"/>
      <c r="BDV136" s="552"/>
      <c r="BDW136" s="552"/>
      <c r="BDX136" s="552"/>
      <c r="BDY136" s="552"/>
      <c r="BDZ136" s="548"/>
      <c r="BEA136" s="553"/>
      <c r="BEB136" s="553"/>
      <c r="BEC136" s="553"/>
      <c r="BED136" s="8"/>
      <c r="BEE136" s="8"/>
      <c r="BEF136" s="458"/>
      <c r="BEG136" s="8"/>
      <c r="BEH136" s="8"/>
      <c r="BEI136" s="547"/>
      <c r="BEJ136" s="547"/>
      <c r="BEK136" s="547"/>
      <c r="BEL136" s="547"/>
      <c r="BEM136" s="548"/>
      <c r="BEN136" s="547"/>
      <c r="BEO136" s="547"/>
      <c r="BEP136" s="547"/>
      <c r="BEQ136" s="547"/>
      <c r="BER136" s="548"/>
      <c r="BES136" s="547"/>
      <c r="BET136" s="547"/>
      <c r="BEU136" s="547"/>
      <c r="BEV136" s="547"/>
      <c r="BEW136" s="548"/>
      <c r="BEX136" s="547"/>
      <c r="BEY136" s="547"/>
      <c r="BEZ136" s="547"/>
      <c r="BFA136" s="552"/>
      <c r="BFB136" s="548"/>
      <c r="BFC136" s="552"/>
      <c r="BFD136" s="552"/>
      <c r="BFE136" s="552"/>
      <c r="BFF136" s="552"/>
      <c r="BFG136" s="548"/>
      <c r="BFH136" s="553"/>
      <c r="BFI136" s="553"/>
      <c r="BFJ136" s="553"/>
      <c r="BFK136" s="8"/>
      <c r="BFL136" s="8"/>
      <c r="BFM136" s="458"/>
      <c r="BFN136" s="8"/>
      <c r="BFO136" s="8"/>
      <c r="BFP136" s="547"/>
      <c r="BFQ136" s="547"/>
      <c r="BFR136" s="547"/>
      <c r="BFS136" s="547"/>
      <c r="BFT136" s="548"/>
      <c r="BFU136" s="547"/>
      <c r="BFV136" s="547"/>
      <c r="BFW136" s="547"/>
      <c r="BFX136" s="547"/>
      <c r="BFY136" s="548"/>
      <c r="BFZ136" s="547"/>
      <c r="BGA136" s="547"/>
      <c r="BGB136" s="547"/>
      <c r="BGC136" s="547"/>
      <c r="BGD136" s="548"/>
      <c r="BGE136" s="547"/>
      <c r="BGF136" s="547"/>
      <c r="BGG136" s="547"/>
      <c r="BGH136" s="552"/>
      <c r="BGI136" s="548"/>
      <c r="BGJ136" s="552"/>
      <c r="BGK136" s="552"/>
      <c r="BGL136" s="552"/>
      <c r="BGM136" s="552"/>
      <c r="BGN136" s="548"/>
      <c r="BGO136" s="553"/>
      <c r="BGP136" s="553"/>
      <c r="BGQ136" s="553"/>
      <c r="BGR136" s="8"/>
      <c r="BGS136" s="8"/>
      <c r="BGT136" s="458"/>
      <c r="BGU136" s="8"/>
      <c r="BGV136" s="8"/>
      <c r="BGW136" s="547"/>
      <c r="BGX136" s="547"/>
      <c r="BGY136" s="547"/>
      <c r="BGZ136" s="547"/>
      <c r="BHA136" s="548"/>
      <c r="BHB136" s="547"/>
      <c r="BHC136" s="547"/>
      <c r="BHD136" s="547"/>
      <c r="BHE136" s="547"/>
      <c r="BHF136" s="548"/>
      <c r="BHG136" s="547"/>
      <c r="BHH136" s="547"/>
      <c r="BHI136" s="547"/>
      <c r="BHJ136" s="547"/>
      <c r="BHK136" s="548"/>
      <c r="BHL136" s="547"/>
      <c r="BHM136" s="547"/>
      <c r="BHN136" s="547"/>
      <c r="BHO136" s="552"/>
      <c r="BHP136" s="548"/>
      <c r="BHQ136" s="552"/>
      <c r="BHR136" s="552"/>
      <c r="BHS136" s="552"/>
      <c r="BHT136" s="552"/>
      <c r="BHU136" s="548"/>
      <c r="BHV136" s="553"/>
      <c r="BHW136" s="553"/>
      <c r="BHX136" s="553"/>
      <c r="BHY136" s="8"/>
      <c r="BHZ136" s="8"/>
      <c r="BIA136" s="458"/>
      <c r="BIB136" s="8"/>
      <c r="BIC136" s="8"/>
      <c r="BID136" s="547"/>
      <c r="BIE136" s="547"/>
      <c r="BIF136" s="547"/>
      <c r="BIG136" s="547"/>
      <c r="BIH136" s="548"/>
      <c r="BII136" s="547"/>
      <c r="BIJ136" s="547"/>
      <c r="BIK136" s="547"/>
      <c r="BIL136" s="547"/>
      <c r="BIM136" s="548"/>
      <c r="BIN136" s="547"/>
      <c r="BIO136" s="547"/>
      <c r="BIP136" s="547"/>
      <c r="BIQ136" s="547"/>
      <c r="BIR136" s="548"/>
      <c r="BIS136" s="547"/>
      <c r="BIT136" s="547"/>
      <c r="BIU136" s="547"/>
      <c r="BIV136" s="552"/>
      <c r="BIW136" s="548"/>
      <c r="BIX136" s="552"/>
      <c r="BIY136" s="552"/>
      <c r="BIZ136" s="552"/>
      <c r="BJA136" s="552"/>
      <c r="BJB136" s="548"/>
      <c r="BJC136" s="553"/>
      <c r="BJD136" s="553"/>
      <c r="BJE136" s="553"/>
      <c r="BJF136" s="8"/>
      <c r="BJG136" s="8"/>
      <c r="BJH136" s="458"/>
      <c r="BJI136" s="8"/>
      <c r="BJJ136" s="8"/>
      <c r="BJK136" s="547"/>
      <c r="BJL136" s="547"/>
      <c r="BJM136" s="547"/>
      <c r="BJN136" s="547"/>
      <c r="BJO136" s="548"/>
      <c r="BJP136" s="547"/>
      <c r="BJQ136" s="547"/>
      <c r="BJR136" s="547"/>
      <c r="BJS136" s="547"/>
      <c r="BJT136" s="548"/>
      <c r="BJU136" s="547"/>
      <c r="BJV136" s="547"/>
      <c r="BJW136" s="547"/>
      <c r="BJX136" s="547"/>
      <c r="BJY136" s="548"/>
      <c r="BJZ136" s="547"/>
      <c r="BKA136" s="547"/>
      <c r="BKB136" s="547"/>
      <c r="BKC136" s="552"/>
      <c r="BKD136" s="548"/>
      <c r="BKE136" s="552"/>
      <c r="BKF136" s="552"/>
      <c r="BKG136" s="552"/>
      <c r="BKH136" s="552"/>
      <c r="BKI136" s="548"/>
      <c r="BKJ136" s="553"/>
      <c r="BKK136" s="553"/>
      <c r="BKL136" s="553"/>
      <c r="BKM136" s="8"/>
      <c r="BKN136" s="8"/>
      <c r="BKO136" s="458"/>
      <c r="BKP136" s="8"/>
      <c r="BKQ136" s="8"/>
      <c r="BKR136" s="547"/>
      <c r="BKS136" s="547"/>
      <c r="BKT136" s="547"/>
      <c r="BKU136" s="547"/>
      <c r="BKV136" s="548"/>
      <c r="BKW136" s="547"/>
      <c r="BKX136" s="547"/>
      <c r="BKY136" s="547"/>
      <c r="BKZ136" s="547"/>
      <c r="BLA136" s="548"/>
      <c r="BLB136" s="547"/>
      <c r="BLC136" s="547"/>
      <c r="BLD136" s="547"/>
      <c r="BLE136" s="547"/>
      <c r="BLF136" s="548"/>
      <c r="BLG136" s="547"/>
      <c r="BLH136" s="547"/>
      <c r="BLI136" s="547"/>
      <c r="BLJ136" s="552"/>
      <c r="BLK136" s="548"/>
      <c r="BLL136" s="552"/>
      <c r="BLM136" s="552"/>
      <c r="BLN136" s="552"/>
      <c r="BLO136" s="552"/>
      <c r="BLP136" s="548"/>
      <c r="BLQ136" s="553"/>
      <c r="BLR136" s="553"/>
      <c r="BLS136" s="553"/>
      <c r="BLT136" s="8"/>
      <c r="BLU136" s="8"/>
      <c r="BLV136" s="458"/>
      <c r="BLW136" s="8"/>
      <c r="BLX136" s="8"/>
      <c r="BLY136" s="547"/>
      <c r="BLZ136" s="547"/>
      <c r="BMA136" s="547"/>
      <c r="BMB136" s="547"/>
      <c r="BMC136" s="548"/>
      <c r="BMD136" s="547"/>
      <c r="BME136" s="547"/>
      <c r="BMF136" s="547"/>
      <c r="BMG136" s="547"/>
      <c r="BMH136" s="548"/>
      <c r="BMI136" s="547"/>
      <c r="BMJ136" s="547"/>
      <c r="BMK136" s="547"/>
      <c r="BML136" s="547"/>
      <c r="BMM136" s="548"/>
      <c r="BMN136" s="547"/>
      <c r="BMO136" s="547"/>
      <c r="BMP136" s="547"/>
      <c r="BMQ136" s="552"/>
      <c r="BMR136" s="548"/>
      <c r="BMS136" s="552"/>
      <c r="BMT136" s="552"/>
      <c r="BMU136" s="552"/>
      <c r="BMV136" s="552"/>
      <c r="BMW136" s="548"/>
      <c r="BMX136" s="553"/>
      <c r="BMY136" s="553"/>
      <c r="BMZ136" s="553"/>
      <c r="BNA136" s="8"/>
      <c r="BNB136" s="8"/>
      <c r="BNC136" s="458"/>
      <c r="BND136" s="8"/>
      <c r="BNE136" s="8"/>
      <c r="BNF136" s="547"/>
      <c r="BNG136" s="547"/>
      <c r="BNH136" s="547"/>
      <c r="BNI136" s="547"/>
      <c r="BNJ136" s="548"/>
      <c r="BNK136" s="547"/>
      <c r="BNL136" s="547"/>
      <c r="BNM136" s="547"/>
      <c r="BNN136" s="547"/>
      <c r="BNO136" s="548"/>
      <c r="BNP136" s="547"/>
      <c r="BNQ136" s="547"/>
      <c r="BNR136" s="547"/>
      <c r="BNS136" s="547"/>
      <c r="BNT136" s="548"/>
      <c r="BNU136" s="547"/>
      <c r="BNV136" s="547"/>
      <c r="BNW136" s="547"/>
      <c r="BNX136" s="552"/>
      <c r="BNY136" s="548"/>
      <c r="BNZ136" s="552"/>
      <c r="BOA136" s="552"/>
      <c r="BOB136" s="552"/>
      <c r="BOC136" s="552"/>
      <c r="BOD136" s="548"/>
      <c r="BOE136" s="553"/>
      <c r="BOF136" s="553"/>
      <c r="BOG136" s="553"/>
      <c r="BOH136" s="8"/>
      <c r="BOI136" s="8"/>
      <c r="BOJ136" s="458"/>
      <c r="BOK136" s="8"/>
      <c r="BOL136" s="8"/>
      <c r="BOM136" s="547"/>
      <c r="BON136" s="547"/>
      <c r="BOO136" s="547"/>
      <c r="BOP136" s="547"/>
      <c r="BOQ136" s="548"/>
      <c r="BOR136" s="547"/>
      <c r="BOS136" s="547"/>
      <c r="BOT136" s="547"/>
      <c r="BOU136" s="547"/>
      <c r="BOV136" s="548"/>
      <c r="BOW136" s="547"/>
      <c r="BOX136" s="547"/>
      <c r="BOY136" s="547"/>
      <c r="BOZ136" s="547"/>
      <c r="BPA136" s="548"/>
      <c r="BPB136" s="547"/>
      <c r="BPC136" s="547"/>
      <c r="BPD136" s="547"/>
      <c r="BPE136" s="552"/>
      <c r="BPF136" s="548"/>
      <c r="BPG136" s="552"/>
      <c r="BPH136" s="552"/>
      <c r="BPI136" s="552"/>
      <c r="BPJ136" s="552"/>
      <c r="BPK136" s="548"/>
      <c r="BPL136" s="553"/>
      <c r="BPM136" s="553"/>
      <c r="BPN136" s="553"/>
      <c r="BPO136" s="8"/>
      <c r="BPP136" s="8"/>
      <c r="BPQ136" s="458"/>
      <c r="BPR136" s="8"/>
      <c r="BPS136" s="8"/>
      <c r="BPT136" s="547"/>
      <c r="BPU136" s="547"/>
      <c r="BPV136" s="547"/>
      <c r="BPW136" s="547"/>
      <c r="BPX136" s="548"/>
      <c r="BPY136" s="547"/>
      <c r="BPZ136" s="547"/>
      <c r="BQA136" s="547"/>
      <c r="BQB136" s="547"/>
      <c r="BQC136" s="548"/>
      <c r="BQD136" s="547"/>
      <c r="BQE136" s="547"/>
      <c r="BQF136" s="547"/>
      <c r="BQG136" s="547"/>
      <c r="BQH136" s="548"/>
      <c r="BQI136" s="547"/>
      <c r="BQJ136" s="547"/>
      <c r="BQK136" s="547"/>
      <c r="BQL136" s="552"/>
      <c r="BQM136" s="548"/>
      <c r="BQN136" s="552"/>
      <c r="BQO136" s="552"/>
      <c r="BQP136" s="552"/>
      <c r="BQQ136" s="552"/>
      <c r="BQR136" s="548"/>
      <c r="BQS136" s="553"/>
      <c r="BQT136" s="553"/>
      <c r="BQU136" s="553"/>
      <c r="BQV136" s="8"/>
      <c r="BQW136" s="8"/>
      <c r="BQX136" s="458"/>
      <c r="BQY136" s="8"/>
      <c r="BQZ136" s="8"/>
      <c r="BRA136" s="547"/>
      <c r="BRB136" s="547"/>
      <c r="BRC136" s="547"/>
      <c r="BRD136" s="547"/>
      <c r="BRE136" s="548"/>
      <c r="BRF136" s="547"/>
      <c r="BRG136" s="547"/>
      <c r="BRH136" s="547"/>
      <c r="BRI136" s="547"/>
      <c r="BRJ136" s="548"/>
      <c r="BRK136" s="547"/>
      <c r="BRL136" s="547"/>
      <c r="BRM136" s="547"/>
      <c r="BRN136" s="547"/>
      <c r="BRO136" s="548"/>
      <c r="BRP136" s="547"/>
      <c r="BRQ136" s="547"/>
      <c r="BRR136" s="547"/>
      <c r="BRS136" s="552"/>
      <c r="BRT136" s="548"/>
      <c r="BRU136" s="552"/>
      <c r="BRV136" s="552"/>
      <c r="BRW136" s="552"/>
      <c r="BRX136" s="552"/>
      <c r="BRY136" s="548"/>
      <c r="BRZ136" s="553"/>
      <c r="BSA136" s="553"/>
      <c r="BSB136" s="553"/>
      <c r="BSC136" s="8"/>
      <c r="BSD136" s="8"/>
      <c r="BSE136" s="458"/>
      <c r="BSF136" s="8"/>
      <c r="BSG136" s="8"/>
      <c r="BSH136" s="547"/>
      <c r="BSI136" s="547"/>
      <c r="BSJ136" s="547"/>
      <c r="BSK136" s="547"/>
      <c r="BSL136" s="548"/>
      <c r="BSM136" s="547"/>
      <c r="BSN136" s="547"/>
      <c r="BSO136" s="547"/>
      <c r="BSP136" s="547"/>
      <c r="BSQ136" s="548"/>
      <c r="BSR136" s="547"/>
      <c r="BSS136" s="547"/>
      <c r="BST136" s="547"/>
      <c r="BSU136" s="547"/>
      <c r="BSV136" s="548"/>
      <c r="BSW136" s="547"/>
      <c r="BSX136" s="547"/>
      <c r="BSY136" s="547"/>
      <c r="BSZ136" s="552"/>
      <c r="BTA136" s="548"/>
      <c r="BTB136" s="552"/>
      <c r="BTC136" s="552"/>
      <c r="BTD136" s="552"/>
      <c r="BTE136" s="552"/>
      <c r="BTF136" s="548"/>
      <c r="BTG136" s="553"/>
      <c r="BTH136" s="553"/>
      <c r="BTI136" s="553"/>
      <c r="BTJ136" s="8"/>
      <c r="BTK136" s="8"/>
      <c r="BTL136" s="458"/>
      <c r="BTM136" s="8"/>
      <c r="BTN136" s="8"/>
      <c r="BTO136" s="547"/>
      <c r="BTP136" s="547"/>
      <c r="BTQ136" s="547"/>
      <c r="BTR136" s="547"/>
      <c r="BTS136" s="548"/>
      <c r="BTT136" s="547"/>
      <c r="BTU136" s="547"/>
      <c r="BTV136" s="547"/>
      <c r="BTW136" s="547"/>
      <c r="BTX136" s="548"/>
      <c r="BTY136" s="547"/>
      <c r="BTZ136" s="547"/>
      <c r="BUA136" s="547"/>
      <c r="BUB136" s="547"/>
      <c r="BUC136" s="548"/>
      <c r="BUD136" s="547"/>
      <c r="BUE136" s="547"/>
      <c r="BUF136" s="547"/>
      <c r="BUG136" s="552"/>
      <c r="BUH136" s="548"/>
      <c r="BUI136" s="552"/>
      <c r="BUJ136" s="552"/>
      <c r="BUK136" s="552"/>
      <c r="BUL136" s="552"/>
      <c r="BUM136" s="548"/>
      <c r="BUN136" s="553"/>
      <c r="BUO136" s="553"/>
      <c r="BUP136" s="553"/>
      <c r="BUQ136" s="8"/>
      <c r="BUR136" s="8"/>
      <c r="BUS136" s="458"/>
      <c r="BUT136" s="8"/>
      <c r="BUU136" s="8"/>
      <c r="BUV136" s="547"/>
      <c r="BUW136" s="547"/>
      <c r="BUX136" s="547"/>
      <c r="BUY136" s="547"/>
      <c r="BUZ136" s="548"/>
      <c r="BVA136" s="547"/>
      <c r="BVB136" s="547"/>
      <c r="BVC136" s="547"/>
      <c r="BVD136" s="547"/>
      <c r="BVE136" s="548"/>
      <c r="BVF136" s="547"/>
      <c r="BVG136" s="547"/>
      <c r="BVH136" s="547"/>
      <c r="BVI136" s="547"/>
      <c r="BVJ136" s="548"/>
      <c r="BVK136" s="547"/>
      <c r="BVL136" s="547"/>
      <c r="BVM136" s="547"/>
      <c r="BVN136" s="552"/>
      <c r="BVO136" s="548"/>
      <c r="BVP136" s="552"/>
      <c r="BVQ136" s="552"/>
      <c r="BVR136" s="552"/>
      <c r="BVS136" s="552"/>
      <c r="BVT136" s="548"/>
      <c r="BVU136" s="553"/>
      <c r="BVV136" s="553"/>
      <c r="BVW136" s="553"/>
      <c r="BVX136" s="8"/>
      <c r="BVY136" s="8"/>
      <c r="BVZ136" s="458"/>
      <c r="BWA136" s="8"/>
      <c r="BWB136" s="8"/>
      <c r="BWC136" s="547"/>
      <c r="BWD136" s="547"/>
      <c r="BWE136" s="547"/>
      <c r="BWF136" s="547"/>
      <c r="BWG136" s="548"/>
      <c r="BWH136" s="547"/>
      <c r="BWI136" s="547"/>
      <c r="BWJ136" s="547"/>
      <c r="BWK136" s="547"/>
      <c r="BWL136" s="548"/>
      <c r="BWM136" s="547"/>
      <c r="BWN136" s="547"/>
      <c r="BWO136" s="547"/>
      <c r="BWP136" s="547"/>
      <c r="BWQ136" s="548"/>
      <c r="BWR136" s="547"/>
      <c r="BWS136" s="547"/>
      <c r="BWT136" s="547"/>
      <c r="BWU136" s="552"/>
      <c r="BWV136" s="548"/>
      <c r="BWW136" s="552"/>
      <c r="BWX136" s="552"/>
      <c r="BWY136" s="552"/>
      <c r="BWZ136" s="552"/>
      <c r="BXA136" s="548"/>
      <c r="BXB136" s="553"/>
      <c r="BXC136" s="553"/>
      <c r="BXD136" s="553"/>
      <c r="BXE136" s="8"/>
      <c r="BXF136" s="8"/>
      <c r="BXG136" s="458"/>
      <c r="BXH136" s="8"/>
      <c r="BXI136" s="8"/>
      <c r="BXJ136" s="547"/>
      <c r="BXK136" s="547"/>
      <c r="BXL136" s="547"/>
      <c r="BXM136" s="547"/>
      <c r="BXN136" s="548"/>
      <c r="BXO136" s="547"/>
      <c r="BXP136" s="547"/>
      <c r="BXQ136" s="547"/>
      <c r="BXR136" s="547"/>
      <c r="BXS136" s="548"/>
      <c r="BXT136" s="547"/>
      <c r="BXU136" s="547"/>
      <c r="BXV136" s="547"/>
      <c r="BXW136" s="547"/>
      <c r="BXX136" s="548"/>
      <c r="BXY136" s="547"/>
      <c r="BXZ136" s="547"/>
      <c r="BYA136" s="547"/>
      <c r="BYB136" s="552"/>
      <c r="BYC136" s="548"/>
      <c r="BYD136" s="552"/>
      <c r="BYE136" s="552"/>
      <c r="BYF136" s="552"/>
      <c r="BYG136" s="552"/>
      <c r="BYH136" s="548"/>
      <c r="BYI136" s="553"/>
      <c r="BYJ136" s="553"/>
      <c r="BYK136" s="553"/>
      <c r="BYL136" s="8"/>
      <c r="BYM136" s="8"/>
      <c r="BYN136" s="458"/>
      <c r="BYO136" s="8"/>
      <c r="BYP136" s="8"/>
      <c r="BYQ136" s="547"/>
      <c r="BYR136" s="547"/>
      <c r="BYS136" s="547"/>
      <c r="BYT136" s="547"/>
      <c r="BYU136" s="548"/>
      <c r="BYV136" s="547"/>
      <c r="BYW136" s="547"/>
      <c r="BYX136" s="547"/>
      <c r="BYY136" s="547"/>
      <c r="BYZ136" s="548"/>
      <c r="BZA136" s="547"/>
      <c r="BZB136" s="547"/>
      <c r="BZC136" s="547"/>
      <c r="BZD136" s="547"/>
      <c r="BZE136" s="548"/>
      <c r="BZF136" s="547"/>
      <c r="BZG136" s="547"/>
      <c r="BZH136" s="547"/>
      <c r="BZI136" s="552"/>
      <c r="BZJ136" s="548"/>
      <c r="BZK136" s="552"/>
      <c r="BZL136" s="552"/>
      <c r="BZM136" s="552"/>
      <c r="BZN136" s="552"/>
      <c r="BZO136" s="548"/>
      <c r="BZP136" s="553"/>
      <c r="BZQ136" s="553"/>
      <c r="BZR136" s="553"/>
      <c r="BZS136" s="8"/>
      <c r="BZT136" s="8"/>
      <c r="BZU136" s="458"/>
      <c r="BZV136" s="8"/>
      <c r="BZW136" s="8"/>
      <c r="BZX136" s="547"/>
      <c r="BZY136" s="547"/>
      <c r="BZZ136" s="547"/>
      <c r="CAA136" s="547"/>
      <c r="CAB136" s="548"/>
      <c r="CAC136" s="547"/>
      <c r="CAD136" s="547"/>
      <c r="CAE136" s="547"/>
      <c r="CAF136" s="547"/>
      <c r="CAG136" s="548"/>
      <c r="CAH136" s="547"/>
      <c r="CAI136" s="547"/>
      <c r="CAJ136" s="547"/>
      <c r="CAK136" s="547"/>
      <c r="CAL136" s="548"/>
      <c r="CAM136" s="547"/>
      <c r="CAN136" s="547"/>
      <c r="CAO136" s="547"/>
      <c r="CAP136" s="552"/>
      <c r="CAQ136" s="548"/>
      <c r="CAR136" s="552"/>
      <c r="CAS136" s="552"/>
      <c r="CAT136" s="552"/>
      <c r="CAU136" s="552"/>
      <c r="CAV136" s="548"/>
      <c r="CAW136" s="553"/>
      <c r="CAX136" s="553"/>
      <c r="CAY136" s="553"/>
      <c r="CAZ136" s="8"/>
      <c r="CBA136" s="8"/>
      <c r="CBB136" s="458"/>
      <c r="CBC136" s="8"/>
      <c r="CBD136" s="8"/>
      <c r="CBE136" s="547"/>
      <c r="CBF136" s="547"/>
      <c r="CBG136" s="547"/>
      <c r="CBH136" s="547"/>
      <c r="CBI136" s="548"/>
      <c r="CBJ136" s="547"/>
      <c r="CBK136" s="547"/>
      <c r="CBL136" s="547"/>
      <c r="CBM136" s="547"/>
      <c r="CBN136" s="548"/>
      <c r="CBO136" s="547"/>
      <c r="CBP136" s="547"/>
      <c r="CBQ136" s="547"/>
      <c r="CBR136" s="547"/>
      <c r="CBS136" s="548"/>
      <c r="CBT136" s="547"/>
      <c r="CBU136" s="547"/>
      <c r="CBV136" s="547"/>
      <c r="CBW136" s="552"/>
      <c r="CBX136" s="548"/>
      <c r="CBY136" s="552"/>
      <c r="CBZ136" s="552"/>
      <c r="CCA136" s="552"/>
      <c r="CCB136" s="552"/>
      <c r="CCC136" s="548"/>
      <c r="CCD136" s="553"/>
      <c r="CCE136" s="553"/>
      <c r="CCF136" s="553"/>
      <c r="CCG136" s="8"/>
      <c r="CCH136" s="8"/>
      <c r="CCI136" s="458"/>
      <c r="CCJ136" s="8"/>
      <c r="CCK136" s="8"/>
      <c r="CCL136" s="547"/>
      <c r="CCM136" s="547"/>
      <c r="CCN136" s="547"/>
      <c r="CCO136" s="547"/>
      <c r="CCP136" s="548"/>
      <c r="CCQ136" s="547"/>
      <c r="CCR136" s="547"/>
      <c r="CCS136" s="547"/>
      <c r="CCT136" s="547"/>
      <c r="CCU136" s="548"/>
      <c r="CCV136" s="547"/>
      <c r="CCW136" s="547"/>
      <c r="CCX136" s="547"/>
      <c r="CCY136" s="547"/>
      <c r="CCZ136" s="548"/>
      <c r="CDA136" s="547"/>
      <c r="CDB136" s="547"/>
      <c r="CDC136" s="547"/>
      <c r="CDD136" s="552"/>
      <c r="CDE136" s="548"/>
      <c r="CDF136" s="552"/>
      <c r="CDG136" s="552"/>
      <c r="CDH136" s="552"/>
      <c r="CDI136" s="552"/>
      <c r="CDJ136" s="548"/>
      <c r="CDK136" s="553"/>
      <c r="CDL136" s="553"/>
      <c r="CDM136" s="553"/>
      <c r="CDN136" s="8"/>
      <c r="CDO136" s="8"/>
      <c r="CDP136" s="458"/>
      <c r="CDQ136" s="8"/>
      <c r="CDR136" s="8"/>
      <c r="CDS136" s="547"/>
      <c r="CDT136" s="547"/>
      <c r="CDU136" s="547"/>
      <c r="CDV136" s="547"/>
      <c r="CDW136" s="548"/>
      <c r="CDX136" s="547"/>
      <c r="CDY136" s="547"/>
      <c r="CDZ136" s="547"/>
      <c r="CEA136" s="547"/>
      <c r="CEB136" s="548"/>
      <c r="CEC136" s="547"/>
      <c r="CED136" s="547"/>
      <c r="CEE136" s="547"/>
      <c r="CEF136" s="547"/>
      <c r="CEG136" s="548"/>
      <c r="CEH136" s="547"/>
      <c r="CEI136" s="547"/>
      <c r="CEJ136" s="547"/>
      <c r="CEK136" s="552"/>
      <c r="CEL136" s="548"/>
      <c r="CEM136" s="552"/>
      <c r="CEN136" s="552"/>
      <c r="CEO136" s="552"/>
      <c r="CEP136" s="552"/>
      <c r="CEQ136" s="548"/>
      <c r="CER136" s="553"/>
      <c r="CES136" s="553"/>
      <c r="CET136" s="553"/>
      <c r="CEU136" s="8"/>
      <c r="CEV136" s="8"/>
      <c r="CEW136" s="458"/>
      <c r="CEX136" s="8"/>
      <c r="CEY136" s="8"/>
      <c r="CEZ136" s="547"/>
      <c r="CFA136" s="547"/>
      <c r="CFB136" s="547"/>
      <c r="CFC136" s="547"/>
      <c r="CFD136" s="548"/>
      <c r="CFE136" s="547"/>
      <c r="CFF136" s="547"/>
      <c r="CFG136" s="547"/>
      <c r="CFH136" s="547"/>
      <c r="CFI136" s="548"/>
      <c r="CFJ136" s="547"/>
      <c r="CFK136" s="547"/>
      <c r="CFL136" s="547"/>
      <c r="CFM136" s="547"/>
      <c r="CFN136" s="548"/>
      <c r="CFO136" s="547"/>
      <c r="CFP136" s="547"/>
      <c r="CFQ136" s="547"/>
      <c r="CFR136" s="552"/>
      <c r="CFS136" s="548"/>
      <c r="CFT136" s="552"/>
      <c r="CFU136" s="552"/>
      <c r="CFV136" s="552"/>
      <c r="CFW136" s="552"/>
      <c r="CFX136" s="548"/>
      <c r="CFY136" s="553"/>
      <c r="CFZ136" s="553"/>
      <c r="CGA136" s="553"/>
      <c r="CGB136" s="8"/>
      <c r="CGC136" s="8"/>
      <c r="CGD136" s="458"/>
      <c r="CGE136" s="8"/>
      <c r="CGF136" s="8"/>
      <c r="CGG136" s="547"/>
      <c r="CGH136" s="547"/>
      <c r="CGI136" s="547"/>
      <c r="CGJ136" s="547"/>
      <c r="CGK136" s="548"/>
      <c r="CGL136" s="547"/>
      <c r="CGM136" s="547"/>
      <c r="CGN136" s="547"/>
      <c r="CGO136" s="547"/>
      <c r="CGP136" s="548"/>
      <c r="CGQ136" s="547"/>
      <c r="CGR136" s="547"/>
      <c r="CGS136" s="547"/>
      <c r="CGT136" s="547"/>
      <c r="CGU136" s="548"/>
      <c r="CGV136" s="547"/>
      <c r="CGW136" s="547"/>
      <c r="CGX136" s="547"/>
      <c r="CGY136" s="552"/>
      <c r="CGZ136" s="548"/>
      <c r="CHA136" s="552"/>
      <c r="CHB136" s="552"/>
      <c r="CHC136" s="552"/>
      <c r="CHD136" s="552"/>
      <c r="CHE136" s="548"/>
      <c r="CHF136" s="553"/>
      <c r="CHG136" s="553"/>
      <c r="CHH136" s="553"/>
      <c r="CHI136" s="8"/>
      <c r="CHJ136" s="8"/>
      <c r="CHK136" s="458"/>
      <c r="CHL136" s="8"/>
      <c r="CHM136" s="8"/>
      <c r="CHN136" s="547"/>
      <c r="CHO136" s="547"/>
      <c r="CHP136" s="547"/>
      <c r="CHQ136" s="547"/>
      <c r="CHR136" s="548"/>
      <c r="CHS136" s="547"/>
      <c r="CHT136" s="547"/>
      <c r="CHU136" s="547"/>
      <c r="CHV136" s="547"/>
      <c r="CHW136" s="548"/>
      <c r="CHX136" s="547"/>
      <c r="CHY136" s="547"/>
      <c r="CHZ136" s="547"/>
      <c r="CIA136" s="547"/>
      <c r="CIB136" s="548"/>
      <c r="CIC136" s="547"/>
      <c r="CID136" s="547"/>
      <c r="CIE136" s="547"/>
      <c r="CIF136" s="552"/>
      <c r="CIG136" s="548"/>
      <c r="CIH136" s="552"/>
      <c r="CII136" s="552"/>
      <c r="CIJ136" s="552"/>
      <c r="CIK136" s="552"/>
      <c r="CIL136" s="548"/>
      <c r="CIM136" s="553"/>
      <c r="CIN136" s="553"/>
      <c r="CIO136" s="553"/>
      <c r="CIP136" s="8"/>
      <c r="CIQ136" s="8"/>
      <c r="CIR136" s="458"/>
      <c r="CIS136" s="8"/>
      <c r="CIT136" s="8"/>
      <c r="CIU136" s="547"/>
      <c r="CIV136" s="547"/>
      <c r="CIW136" s="547"/>
      <c r="CIX136" s="547"/>
      <c r="CIY136" s="548"/>
      <c r="CIZ136" s="547"/>
      <c r="CJA136" s="547"/>
      <c r="CJB136" s="547"/>
      <c r="CJC136" s="547"/>
      <c r="CJD136" s="548"/>
      <c r="CJE136" s="547"/>
      <c r="CJF136" s="547"/>
      <c r="CJG136" s="547"/>
      <c r="CJH136" s="547"/>
      <c r="CJI136" s="548"/>
      <c r="CJJ136" s="547"/>
      <c r="CJK136" s="547"/>
      <c r="CJL136" s="547"/>
      <c r="CJM136" s="552"/>
      <c r="CJN136" s="548"/>
      <c r="CJO136" s="552"/>
      <c r="CJP136" s="552"/>
      <c r="CJQ136" s="552"/>
      <c r="CJR136" s="552"/>
      <c r="CJS136" s="548"/>
      <c r="CJT136" s="553"/>
      <c r="CJU136" s="553"/>
      <c r="CJV136" s="553"/>
      <c r="CJW136" s="8"/>
      <c r="CJX136" s="8"/>
      <c r="CJY136" s="458"/>
      <c r="CJZ136" s="8"/>
      <c r="CKA136" s="8"/>
      <c r="CKB136" s="547"/>
      <c r="CKC136" s="547"/>
      <c r="CKD136" s="547"/>
      <c r="CKE136" s="547"/>
      <c r="CKF136" s="548"/>
      <c r="CKG136" s="547"/>
      <c r="CKH136" s="547"/>
      <c r="CKI136" s="547"/>
      <c r="CKJ136" s="547"/>
      <c r="CKK136" s="548"/>
      <c r="CKL136" s="547"/>
      <c r="CKM136" s="547"/>
      <c r="CKN136" s="547"/>
      <c r="CKO136" s="547"/>
      <c r="CKP136" s="548"/>
      <c r="CKQ136" s="547"/>
      <c r="CKR136" s="547"/>
      <c r="CKS136" s="547"/>
      <c r="CKT136" s="552"/>
      <c r="CKU136" s="548"/>
      <c r="CKV136" s="552"/>
      <c r="CKW136" s="552"/>
      <c r="CKX136" s="552"/>
      <c r="CKY136" s="552"/>
      <c r="CKZ136" s="548"/>
      <c r="CLA136" s="553"/>
      <c r="CLB136" s="553"/>
      <c r="CLC136" s="553"/>
      <c r="CLD136" s="8"/>
      <c r="CLE136" s="8"/>
      <c r="CLF136" s="458"/>
      <c r="CLG136" s="8"/>
      <c r="CLH136" s="8"/>
      <c r="CLI136" s="547"/>
      <c r="CLJ136" s="547"/>
      <c r="CLK136" s="547"/>
      <c r="CLL136" s="547"/>
      <c r="CLM136" s="548"/>
      <c r="CLN136" s="547"/>
      <c r="CLO136" s="547"/>
      <c r="CLP136" s="547"/>
      <c r="CLQ136" s="547"/>
      <c r="CLR136" s="548"/>
      <c r="CLS136" s="547"/>
      <c r="CLT136" s="547"/>
      <c r="CLU136" s="547"/>
      <c r="CLV136" s="547"/>
      <c r="CLW136" s="548"/>
      <c r="CLX136" s="547"/>
      <c r="CLY136" s="547"/>
      <c r="CLZ136" s="547"/>
      <c r="CMA136" s="552"/>
      <c r="CMB136" s="548"/>
      <c r="CMC136" s="552"/>
      <c r="CMD136" s="552"/>
      <c r="CME136" s="552"/>
      <c r="CMF136" s="552"/>
      <c r="CMG136" s="548"/>
      <c r="CMH136" s="553"/>
      <c r="CMI136" s="553"/>
      <c r="CMJ136" s="553"/>
      <c r="CMK136" s="8"/>
      <c r="CML136" s="8"/>
      <c r="CMM136" s="458"/>
      <c r="CMN136" s="8"/>
      <c r="CMO136" s="8"/>
      <c r="CMP136" s="547"/>
      <c r="CMQ136" s="547"/>
      <c r="CMR136" s="547"/>
      <c r="CMS136" s="547"/>
      <c r="CMT136" s="548"/>
      <c r="CMU136" s="547"/>
      <c r="CMV136" s="547"/>
      <c r="CMW136" s="547"/>
      <c r="CMX136" s="547"/>
      <c r="CMY136" s="548"/>
      <c r="CMZ136" s="547"/>
      <c r="CNA136" s="547"/>
      <c r="CNB136" s="547"/>
      <c r="CNC136" s="547"/>
      <c r="CND136" s="548"/>
      <c r="CNE136" s="547"/>
      <c r="CNF136" s="547"/>
      <c r="CNG136" s="547"/>
      <c r="CNH136" s="552"/>
      <c r="CNI136" s="548"/>
      <c r="CNJ136" s="552"/>
      <c r="CNK136" s="552"/>
      <c r="CNL136" s="552"/>
      <c r="CNM136" s="552"/>
      <c r="CNN136" s="548"/>
      <c r="CNO136" s="553"/>
      <c r="CNP136" s="553"/>
      <c r="CNQ136" s="553"/>
      <c r="CNR136" s="8"/>
      <c r="CNS136" s="8"/>
      <c r="CNT136" s="458"/>
      <c r="CNU136" s="8"/>
      <c r="CNV136" s="8"/>
      <c r="CNW136" s="547"/>
      <c r="CNX136" s="547"/>
      <c r="CNY136" s="547"/>
      <c r="CNZ136" s="547"/>
      <c r="COA136" s="548"/>
      <c r="COB136" s="547"/>
      <c r="COC136" s="547"/>
      <c r="COD136" s="547"/>
      <c r="COE136" s="547"/>
      <c r="COF136" s="548"/>
      <c r="COG136" s="547"/>
      <c r="COH136" s="547"/>
      <c r="COI136" s="547"/>
      <c r="COJ136" s="547"/>
      <c r="COK136" s="548"/>
      <c r="COL136" s="547"/>
      <c r="COM136" s="547"/>
      <c r="CON136" s="547"/>
      <c r="COO136" s="552"/>
      <c r="COP136" s="548"/>
      <c r="COQ136" s="552"/>
      <c r="COR136" s="552"/>
      <c r="COS136" s="552"/>
      <c r="COT136" s="552"/>
      <c r="COU136" s="548"/>
      <c r="COV136" s="553"/>
      <c r="COW136" s="553"/>
      <c r="COX136" s="553"/>
      <c r="COY136" s="8"/>
      <c r="COZ136" s="8"/>
      <c r="CPA136" s="458"/>
      <c r="CPB136" s="8"/>
      <c r="CPC136" s="8"/>
      <c r="CPD136" s="547"/>
      <c r="CPE136" s="547"/>
      <c r="CPF136" s="547"/>
      <c r="CPG136" s="547"/>
      <c r="CPH136" s="548"/>
      <c r="CPI136" s="547"/>
      <c r="CPJ136" s="547"/>
      <c r="CPK136" s="547"/>
      <c r="CPL136" s="547"/>
      <c r="CPM136" s="548"/>
      <c r="CPN136" s="547"/>
      <c r="CPO136" s="547"/>
      <c r="CPP136" s="547"/>
      <c r="CPQ136" s="547"/>
      <c r="CPR136" s="548"/>
      <c r="CPS136" s="547"/>
      <c r="CPT136" s="547"/>
      <c r="CPU136" s="547"/>
      <c r="CPV136" s="552"/>
      <c r="CPW136" s="548"/>
      <c r="CPX136" s="552"/>
      <c r="CPY136" s="552"/>
      <c r="CPZ136" s="552"/>
      <c r="CQA136" s="552"/>
      <c r="CQB136" s="548"/>
      <c r="CQC136" s="553"/>
      <c r="CQD136" s="553"/>
      <c r="CQE136" s="553"/>
      <c r="CQF136" s="8"/>
      <c r="CQG136" s="8"/>
      <c r="CQH136" s="458"/>
      <c r="CQI136" s="8"/>
      <c r="CQJ136" s="8"/>
      <c r="CQK136" s="547"/>
      <c r="CQL136" s="547"/>
      <c r="CQM136" s="547"/>
      <c r="CQN136" s="547"/>
      <c r="CQO136" s="548"/>
      <c r="CQP136" s="547"/>
      <c r="CQQ136" s="547"/>
      <c r="CQR136" s="547"/>
      <c r="CQS136" s="547"/>
      <c r="CQT136" s="548"/>
      <c r="CQU136" s="547"/>
      <c r="CQV136" s="547"/>
      <c r="CQW136" s="547"/>
      <c r="CQX136" s="547"/>
      <c r="CQY136" s="548"/>
      <c r="CQZ136" s="547"/>
      <c r="CRA136" s="547"/>
      <c r="CRB136" s="547"/>
      <c r="CRC136" s="552"/>
      <c r="CRD136" s="548"/>
      <c r="CRE136" s="552"/>
      <c r="CRF136" s="552"/>
      <c r="CRG136" s="552"/>
      <c r="CRH136" s="552"/>
      <c r="CRI136" s="548"/>
      <c r="CRJ136" s="553"/>
      <c r="CRK136" s="553"/>
      <c r="CRL136" s="553"/>
      <c r="CRM136" s="8"/>
      <c r="CRN136" s="8"/>
      <c r="CRO136" s="458"/>
      <c r="CRP136" s="8"/>
      <c r="CRQ136" s="8"/>
      <c r="CRR136" s="547"/>
      <c r="CRS136" s="547"/>
      <c r="CRT136" s="547"/>
      <c r="CRU136" s="547"/>
      <c r="CRV136" s="548"/>
      <c r="CRW136" s="547"/>
      <c r="CRX136" s="547"/>
      <c r="CRY136" s="547"/>
      <c r="CRZ136" s="547"/>
      <c r="CSA136" s="548"/>
      <c r="CSB136" s="547"/>
      <c r="CSC136" s="547"/>
      <c r="CSD136" s="547"/>
      <c r="CSE136" s="547"/>
      <c r="CSF136" s="548"/>
      <c r="CSG136" s="547"/>
      <c r="CSH136" s="547"/>
      <c r="CSI136" s="547"/>
      <c r="CSJ136" s="552"/>
      <c r="CSK136" s="548"/>
      <c r="CSL136" s="552"/>
      <c r="CSM136" s="552"/>
      <c r="CSN136" s="552"/>
      <c r="CSO136" s="552"/>
      <c r="CSP136" s="548"/>
      <c r="CSQ136" s="553"/>
      <c r="CSR136" s="553"/>
      <c r="CSS136" s="553"/>
      <c r="CST136" s="8"/>
      <c r="CSU136" s="8"/>
      <c r="CSV136" s="458"/>
      <c r="CSW136" s="8"/>
      <c r="CSX136" s="8"/>
      <c r="CSY136" s="547"/>
      <c r="CSZ136" s="547"/>
      <c r="CTA136" s="547"/>
      <c r="CTB136" s="547"/>
      <c r="CTC136" s="548"/>
      <c r="CTD136" s="547"/>
      <c r="CTE136" s="547"/>
      <c r="CTF136" s="547"/>
      <c r="CTG136" s="547"/>
      <c r="CTH136" s="548"/>
      <c r="CTI136" s="547"/>
      <c r="CTJ136" s="547"/>
      <c r="CTK136" s="547"/>
      <c r="CTL136" s="547"/>
      <c r="CTM136" s="548"/>
      <c r="CTN136" s="547"/>
      <c r="CTO136" s="547"/>
      <c r="CTP136" s="547"/>
      <c r="CTQ136" s="552"/>
      <c r="CTR136" s="548"/>
      <c r="CTS136" s="552"/>
      <c r="CTT136" s="552"/>
      <c r="CTU136" s="552"/>
      <c r="CTV136" s="552"/>
      <c r="CTW136" s="548"/>
      <c r="CTX136" s="553"/>
      <c r="CTY136" s="553"/>
      <c r="CTZ136" s="553"/>
      <c r="CUA136" s="8"/>
      <c r="CUB136" s="8"/>
      <c r="CUC136" s="458"/>
      <c r="CUD136" s="8"/>
      <c r="CUE136" s="8"/>
      <c r="CUF136" s="547"/>
      <c r="CUG136" s="547"/>
      <c r="CUH136" s="547"/>
      <c r="CUI136" s="547"/>
      <c r="CUJ136" s="548"/>
      <c r="CUK136" s="547"/>
      <c r="CUL136" s="547"/>
      <c r="CUM136" s="547"/>
      <c r="CUN136" s="547"/>
      <c r="CUO136" s="548"/>
      <c r="CUP136" s="547"/>
      <c r="CUQ136" s="547"/>
      <c r="CUR136" s="547"/>
      <c r="CUS136" s="547"/>
      <c r="CUT136" s="548"/>
      <c r="CUU136" s="547"/>
      <c r="CUV136" s="547"/>
      <c r="CUW136" s="547"/>
      <c r="CUX136" s="552"/>
      <c r="CUY136" s="548"/>
      <c r="CUZ136" s="552"/>
      <c r="CVA136" s="552"/>
      <c r="CVB136" s="552"/>
      <c r="CVC136" s="552"/>
      <c r="CVD136" s="548"/>
      <c r="CVE136" s="553"/>
      <c r="CVF136" s="553"/>
      <c r="CVG136" s="553"/>
      <c r="CVH136" s="8"/>
      <c r="CVI136" s="8"/>
      <c r="CVJ136" s="458"/>
      <c r="CVK136" s="8"/>
      <c r="CVL136" s="8"/>
      <c r="CVM136" s="547"/>
      <c r="CVN136" s="547"/>
      <c r="CVO136" s="547"/>
      <c r="CVP136" s="547"/>
      <c r="CVQ136" s="548"/>
      <c r="CVR136" s="547"/>
      <c r="CVS136" s="547"/>
      <c r="CVT136" s="547"/>
      <c r="CVU136" s="547"/>
      <c r="CVV136" s="548"/>
      <c r="CVW136" s="547"/>
      <c r="CVX136" s="547"/>
      <c r="CVY136" s="547"/>
      <c r="CVZ136" s="547"/>
      <c r="CWA136" s="548"/>
      <c r="CWB136" s="547"/>
      <c r="CWC136" s="547"/>
      <c r="CWD136" s="547"/>
      <c r="CWE136" s="552"/>
      <c r="CWF136" s="548"/>
      <c r="CWG136" s="552"/>
      <c r="CWH136" s="552"/>
      <c r="CWI136" s="552"/>
      <c r="CWJ136" s="552"/>
      <c r="CWK136" s="548"/>
      <c r="CWL136" s="553"/>
      <c r="CWM136" s="553"/>
      <c r="CWN136" s="553"/>
      <c r="CWO136" s="8"/>
      <c r="CWP136" s="8"/>
      <c r="CWQ136" s="458"/>
      <c r="CWR136" s="8"/>
      <c r="CWS136" s="8"/>
      <c r="CWT136" s="547"/>
      <c r="CWU136" s="547"/>
      <c r="CWV136" s="547"/>
      <c r="CWW136" s="547"/>
      <c r="CWX136" s="548"/>
      <c r="CWY136" s="547"/>
      <c r="CWZ136" s="547"/>
      <c r="CXA136" s="547"/>
      <c r="CXB136" s="547"/>
      <c r="CXC136" s="548"/>
      <c r="CXD136" s="547"/>
      <c r="CXE136" s="547"/>
      <c r="CXF136" s="547"/>
      <c r="CXG136" s="547"/>
      <c r="CXH136" s="548"/>
      <c r="CXI136" s="547"/>
      <c r="CXJ136" s="547"/>
      <c r="CXK136" s="547"/>
      <c r="CXL136" s="552"/>
      <c r="CXM136" s="548"/>
      <c r="CXN136" s="552"/>
      <c r="CXO136" s="552"/>
      <c r="CXP136" s="552"/>
      <c r="CXQ136" s="552"/>
      <c r="CXR136" s="548"/>
      <c r="CXS136" s="553"/>
      <c r="CXT136" s="553"/>
      <c r="CXU136" s="553"/>
      <c r="CXV136" s="8"/>
      <c r="CXW136" s="8"/>
      <c r="CXX136" s="458"/>
      <c r="CXY136" s="8"/>
      <c r="CXZ136" s="8"/>
      <c r="CYA136" s="547"/>
      <c r="CYB136" s="547"/>
      <c r="CYC136" s="547"/>
      <c r="CYD136" s="547"/>
      <c r="CYE136" s="548"/>
      <c r="CYF136" s="547"/>
      <c r="CYG136" s="547"/>
      <c r="CYH136" s="547"/>
      <c r="CYI136" s="547"/>
      <c r="CYJ136" s="548"/>
      <c r="CYK136" s="547"/>
      <c r="CYL136" s="547"/>
      <c r="CYM136" s="547"/>
      <c r="CYN136" s="547"/>
      <c r="CYO136" s="548"/>
      <c r="CYP136" s="547"/>
      <c r="CYQ136" s="547"/>
      <c r="CYR136" s="547"/>
      <c r="CYS136" s="552"/>
      <c r="CYT136" s="548"/>
      <c r="CYU136" s="552"/>
      <c r="CYV136" s="552"/>
      <c r="CYW136" s="552"/>
      <c r="CYX136" s="552"/>
      <c r="CYY136" s="548"/>
      <c r="CYZ136" s="553"/>
      <c r="CZA136" s="553"/>
      <c r="CZB136" s="553"/>
      <c r="CZC136" s="8"/>
      <c r="CZD136" s="8"/>
      <c r="CZE136" s="458"/>
      <c r="CZF136" s="8"/>
      <c r="CZG136" s="8"/>
      <c r="CZH136" s="547"/>
      <c r="CZI136" s="547"/>
      <c r="CZJ136" s="547"/>
      <c r="CZK136" s="547"/>
      <c r="CZL136" s="548"/>
      <c r="CZM136" s="547"/>
      <c r="CZN136" s="547"/>
      <c r="CZO136" s="547"/>
      <c r="CZP136" s="547"/>
      <c r="CZQ136" s="548"/>
      <c r="CZR136" s="547"/>
      <c r="CZS136" s="547"/>
      <c r="CZT136" s="547"/>
      <c r="CZU136" s="547"/>
      <c r="CZV136" s="548"/>
      <c r="CZW136" s="547"/>
      <c r="CZX136" s="547"/>
      <c r="CZY136" s="547"/>
      <c r="CZZ136" s="552"/>
      <c r="DAA136" s="548"/>
      <c r="DAB136" s="552"/>
      <c r="DAC136" s="552"/>
      <c r="DAD136" s="552"/>
      <c r="DAE136" s="552"/>
      <c r="DAF136" s="548"/>
      <c r="DAG136" s="553"/>
      <c r="DAH136" s="553"/>
      <c r="DAI136" s="553"/>
      <c r="DAJ136" s="8"/>
      <c r="DAK136" s="8"/>
      <c r="DAL136" s="458"/>
      <c r="DAM136" s="8"/>
      <c r="DAN136" s="8"/>
      <c r="DAO136" s="547"/>
      <c r="DAP136" s="547"/>
      <c r="DAQ136" s="547"/>
      <c r="DAR136" s="547"/>
      <c r="DAS136" s="548"/>
      <c r="DAT136" s="547"/>
      <c r="DAU136" s="547"/>
      <c r="DAV136" s="547"/>
      <c r="DAW136" s="547"/>
      <c r="DAX136" s="548"/>
      <c r="DAY136" s="547"/>
      <c r="DAZ136" s="547"/>
      <c r="DBA136" s="547"/>
      <c r="DBB136" s="547"/>
      <c r="DBC136" s="548"/>
      <c r="DBD136" s="547"/>
      <c r="DBE136" s="547"/>
      <c r="DBF136" s="547"/>
      <c r="DBG136" s="552"/>
      <c r="DBH136" s="548"/>
      <c r="DBI136" s="552"/>
      <c r="DBJ136" s="552"/>
      <c r="DBK136" s="552"/>
      <c r="DBL136" s="552"/>
      <c r="DBM136" s="548"/>
      <c r="DBN136" s="553"/>
      <c r="DBO136" s="553"/>
      <c r="DBP136" s="553"/>
      <c r="DBQ136" s="8"/>
      <c r="DBR136" s="8"/>
      <c r="DBS136" s="458"/>
      <c r="DBT136" s="8"/>
      <c r="DBU136" s="8"/>
      <c r="DBV136" s="547"/>
      <c r="DBW136" s="547"/>
      <c r="DBX136" s="547"/>
      <c r="DBY136" s="547"/>
      <c r="DBZ136" s="548"/>
      <c r="DCA136" s="547"/>
      <c r="DCB136" s="547"/>
      <c r="DCC136" s="547"/>
      <c r="DCD136" s="547"/>
      <c r="DCE136" s="548"/>
      <c r="DCF136" s="547"/>
      <c r="DCG136" s="547"/>
      <c r="DCH136" s="547"/>
      <c r="DCI136" s="547"/>
      <c r="DCJ136" s="548"/>
      <c r="DCK136" s="547"/>
      <c r="DCL136" s="547"/>
      <c r="DCM136" s="547"/>
      <c r="DCN136" s="552"/>
      <c r="DCO136" s="548"/>
      <c r="DCP136" s="552"/>
      <c r="DCQ136" s="552"/>
      <c r="DCR136" s="552"/>
      <c r="DCS136" s="552"/>
      <c r="DCT136" s="548"/>
      <c r="DCU136" s="553"/>
      <c r="DCV136" s="553"/>
      <c r="DCW136" s="553"/>
      <c r="DCX136" s="8"/>
      <c r="DCY136" s="8"/>
      <c r="DCZ136" s="458"/>
      <c r="DDA136" s="8"/>
      <c r="DDB136" s="8"/>
      <c r="DDC136" s="547"/>
      <c r="DDD136" s="547"/>
      <c r="DDE136" s="547"/>
      <c r="DDF136" s="547"/>
      <c r="DDG136" s="548"/>
      <c r="DDH136" s="547"/>
      <c r="DDI136" s="547"/>
      <c r="DDJ136" s="547"/>
      <c r="DDK136" s="547"/>
      <c r="DDL136" s="548"/>
      <c r="DDM136" s="547"/>
      <c r="DDN136" s="547"/>
      <c r="DDO136" s="547"/>
      <c r="DDP136" s="547"/>
      <c r="DDQ136" s="548"/>
      <c r="DDR136" s="547"/>
      <c r="DDS136" s="547"/>
      <c r="DDT136" s="547"/>
      <c r="DDU136" s="552"/>
      <c r="DDV136" s="548"/>
      <c r="DDW136" s="552"/>
      <c r="DDX136" s="552"/>
      <c r="DDY136" s="552"/>
      <c r="DDZ136" s="552"/>
      <c r="DEA136" s="548"/>
      <c r="DEB136" s="553"/>
      <c r="DEC136" s="553"/>
      <c r="DED136" s="553"/>
      <c r="DEE136" s="8"/>
      <c r="DEF136" s="8"/>
      <c r="DEG136" s="458"/>
      <c r="DEH136" s="8"/>
      <c r="DEI136" s="8"/>
      <c r="DEJ136" s="547"/>
      <c r="DEK136" s="547"/>
      <c r="DEL136" s="547"/>
      <c r="DEM136" s="547"/>
      <c r="DEN136" s="548"/>
      <c r="DEO136" s="547"/>
      <c r="DEP136" s="547"/>
      <c r="DEQ136" s="547"/>
      <c r="DER136" s="547"/>
      <c r="DES136" s="548"/>
      <c r="DET136" s="547"/>
      <c r="DEU136" s="547"/>
      <c r="DEV136" s="547"/>
      <c r="DEW136" s="547"/>
      <c r="DEX136" s="548"/>
      <c r="DEY136" s="547"/>
      <c r="DEZ136" s="547"/>
      <c r="DFA136" s="547"/>
      <c r="DFB136" s="552"/>
      <c r="DFC136" s="548"/>
      <c r="DFD136" s="552"/>
      <c r="DFE136" s="552"/>
      <c r="DFF136" s="552"/>
      <c r="DFG136" s="552"/>
      <c r="DFH136" s="548"/>
      <c r="DFI136" s="553"/>
      <c r="DFJ136" s="553"/>
      <c r="DFK136" s="553"/>
      <c r="DFL136" s="8"/>
      <c r="DFM136" s="8"/>
      <c r="DFN136" s="458"/>
      <c r="DFO136" s="8"/>
      <c r="DFP136" s="8"/>
      <c r="DFQ136" s="547"/>
      <c r="DFR136" s="547"/>
      <c r="DFS136" s="547"/>
      <c r="DFT136" s="547"/>
      <c r="DFU136" s="548"/>
      <c r="DFV136" s="547"/>
      <c r="DFW136" s="547"/>
      <c r="DFX136" s="547"/>
      <c r="DFY136" s="547"/>
      <c r="DFZ136" s="548"/>
      <c r="DGA136" s="547"/>
      <c r="DGB136" s="547"/>
      <c r="DGC136" s="547"/>
      <c r="DGD136" s="547"/>
      <c r="DGE136" s="548"/>
      <c r="DGF136" s="547"/>
      <c r="DGG136" s="547"/>
      <c r="DGH136" s="547"/>
      <c r="DGI136" s="552"/>
      <c r="DGJ136" s="548"/>
      <c r="DGK136" s="552"/>
      <c r="DGL136" s="552"/>
      <c r="DGM136" s="552"/>
      <c r="DGN136" s="552"/>
      <c r="DGO136" s="548"/>
      <c r="DGP136" s="553"/>
      <c r="DGQ136" s="553"/>
      <c r="DGR136" s="553"/>
      <c r="DGS136" s="8"/>
      <c r="DGT136" s="8"/>
      <c r="DGU136" s="458"/>
      <c r="DGV136" s="8"/>
      <c r="DGW136" s="8"/>
      <c r="DGX136" s="547"/>
      <c r="DGY136" s="547"/>
      <c r="DGZ136" s="547"/>
      <c r="DHA136" s="547"/>
      <c r="DHB136" s="548"/>
      <c r="DHC136" s="547"/>
      <c r="DHD136" s="547"/>
      <c r="DHE136" s="547"/>
      <c r="DHF136" s="547"/>
      <c r="DHG136" s="548"/>
      <c r="DHH136" s="547"/>
      <c r="DHI136" s="547"/>
      <c r="DHJ136" s="547"/>
      <c r="DHK136" s="547"/>
      <c r="DHL136" s="548"/>
      <c r="DHM136" s="547"/>
      <c r="DHN136" s="547"/>
      <c r="DHO136" s="547"/>
      <c r="DHP136" s="552"/>
      <c r="DHQ136" s="548"/>
      <c r="DHR136" s="552"/>
      <c r="DHS136" s="552"/>
      <c r="DHT136" s="552"/>
      <c r="DHU136" s="552"/>
      <c r="DHV136" s="548"/>
      <c r="DHW136" s="553"/>
      <c r="DHX136" s="553"/>
      <c r="DHY136" s="553"/>
      <c r="DHZ136" s="8"/>
      <c r="DIA136" s="8"/>
      <c r="DIB136" s="458"/>
      <c r="DIC136" s="8"/>
      <c r="DID136" s="8"/>
      <c r="DIE136" s="547"/>
      <c r="DIF136" s="547"/>
      <c r="DIG136" s="547"/>
      <c r="DIH136" s="547"/>
      <c r="DII136" s="548"/>
      <c r="DIJ136" s="547"/>
      <c r="DIK136" s="547"/>
      <c r="DIL136" s="547"/>
      <c r="DIM136" s="547"/>
      <c r="DIN136" s="548"/>
      <c r="DIO136" s="547"/>
      <c r="DIP136" s="547"/>
      <c r="DIQ136" s="547"/>
      <c r="DIR136" s="547"/>
      <c r="DIS136" s="548"/>
      <c r="DIT136" s="547"/>
      <c r="DIU136" s="547"/>
      <c r="DIV136" s="547"/>
      <c r="DIW136" s="552"/>
      <c r="DIX136" s="548"/>
      <c r="DIY136" s="552"/>
      <c r="DIZ136" s="552"/>
      <c r="DJA136" s="552"/>
      <c r="DJB136" s="552"/>
      <c r="DJC136" s="548"/>
      <c r="DJD136" s="553"/>
      <c r="DJE136" s="553"/>
      <c r="DJF136" s="553"/>
      <c r="DJG136" s="8"/>
      <c r="DJH136" s="8"/>
      <c r="DJI136" s="458"/>
      <c r="DJJ136" s="8"/>
      <c r="DJK136" s="8"/>
      <c r="DJL136" s="547"/>
      <c r="DJM136" s="547"/>
      <c r="DJN136" s="547"/>
      <c r="DJO136" s="547"/>
      <c r="DJP136" s="548"/>
      <c r="DJQ136" s="547"/>
      <c r="DJR136" s="547"/>
      <c r="DJS136" s="547"/>
      <c r="DJT136" s="547"/>
      <c r="DJU136" s="548"/>
      <c r="DJV136" s="547"/>
      <c r="DJW136" s="547"/>
      <c r="DJX136" s="547"/>
      <c r="DJY136" s="547"/>
      <c r="DJZ136" s="548"/>
      <c r="DKA136" s="547"/>
      <c r="DKB136" s="547"/>
      <c r="DKC136" s="547"/>
      <c r="DKD136" s="552"/>
      <c r="DKE136" s="548"/>
      <c r="DKF136" s="552"/>
      <c r="DKG136" s="552"/>
      <c r="DKH136" s="552"/>
      <c r="DKI136" s="552"/>
      <c r="DKJ136" s="548"/>
      <c r="DKK136" s="553"/>
      <c r="DKL136" s="553"/>
      <c r="DKM136" s="553"/>
      <c r="DKN136" s="8"/>
      <c r="DKO136" s="8"/>
      <c r="DKP136" s="458"/>
      <c r="DKQ136" s="8"/>
      <c r="DKR136" s="8"/>
      <c r="DKS136" s="547"/>
      <c r="DKT136" s="547"/>
      <c r="DKU136" s="547"/>
      <c r="DKV136" s="547"/>
      <c r="DKW136" s="548"/>
      <c r="DKX136" s="547"/>
      <c r="DKY136" s="547"/>
      <c r="DKZ136" s="547"/>
      <c r="DLA136" s="547"/>
      <c r="DLB136" s="548"/>
      <c r="DLC136" s="547"/>
      <c r="DLD136" s="547"/>
      <c r="DLE136" s="547"/>
      <c r="DLF136" s="547"/>
      <c r="DLG136" s="548"/>
      <c r="DLH136" s="547"/>
      <c r="DLI136" s="547"/>
      <c r="DLJ136" s="547"/>
      <c r="DLK136" s="552"/>
      <c r="DLL136" s="548"/>
      <c r="DLM136" s="552"/>
      <c r="DLN136" s="552"/>
      <c r="DLO136" s="552"/>
      <c r="DLP136" s="552"/>
      <c r="DLQ136" s="548"/>
      <c r="DLR136" s="553"/>
      <c r="DLS136" s="553"/>
      <c r="DLT136" s="553"/>
      <c r="DLU136" s="8"/>
      <c r="DLV136" s="8"/>
      <c r="DLW136" s="458"/>
      <c r="DLX136" s="8"/>
      <c r="DLY136" s="8"/>
      <c r="DLZ136" s="547"/>
      <c r="DMA136" s="547"/>
      <c r="DMB136" s="547"/>
      <c r="DMC136" s="547"/>
      <c r="DMD136" s="548"/>
      <c r="DME136" s="547"/>
      <c r="DMF136" s="547"/>
      <c r="DMG136" s="547"/>
      <c r="DMH136" s="547"/>
      <c r="DMI136" s="548"/>
      <c r="DMJ136" s="547"/>
      <c r="DMK136" s="547"/>
      <c r="DML136" s="547"/>
      <c r="DMM136" s="547"/>
      <c r="DMN136" s="548"/>
      <c r="DMO136" s="547"/>
      <c r="DMP136" s="547"/>
      <c r="DMQ136" s="547"/>
      <c r="DMR136" s="552"/>
      <c r="DMS136" s="548"/>
      <c r="DMT136" s="552"/>
      <c r="DMU136" s="552"/>
      <c r="DMV136" s="552"/>
      <c r="DMW136" s="552"/>
      <c r="DMX136" s="548"/>
      <c r="DMY136" s="553"/>
      <c r="DMZ136" s="553"/>
      <c r="DNA136" s="553"/>
      <c r="DNB136" s="8"/>
      <c r="DNC136" s="8"/>
      <c r="DND136" s="458"/>
      <c r="DNE136" s="8"/>
      <c r="DNF136" s="8"/>
      <c r="DNG136" s="547"/>
      <c r="DNH136" s="547"/>
      <c r="DNI136" s="547"/>
      <c r="DNJ136" s="547"/>
      <c r="DNK136" s="548"/>
      <c r="DNL136" s="547"/>
      <c r="DNM136" s="547"/>
      <c r="DNN136" s="547"/>
      <c r="DNO136" s="547"/>
      <c r="DNP136" s="548"/>
      <c r="DNQ136" s="547"/>
      <c r="DNR136" s="547"/>
      <c r="DNS136" s="547"/>
      <c r="DNT136" s="547"/>
      <c r="DNU136" s="548"/>
      <c r="DNV136" s="547"/>
      <c r="DNW136" s="547"/>
      <c r="DNX136" s="547"/>
      <c r="DNY136" s="552"/>
      <c r="DNZ136" s="548"/>
      <c r="DOA136" s="552"/>
      <c r="DOB136" s="552"/>
      <c r="DOC136" s="552"/>
      <c r="DOD136" s="552"/>
      <c r="DOE136" s="548"/>
      <c r="DOF136" s="553"/>
      <c r="DOG136" s="553"/>
      <c r="DOH136" s="553"/>
      <c r="DOI136" s="8"/>
      <c r="DOJ136" s="8"/>
      <c r="DOK136" s="458"/>
      <c r="DOL136" s="8"/>
      <c r="DOM136" s="8"/>
      <c r="DON136" s="547"/>
      <c r="DOO136" s="547"/>
      <c r="DOP136" s="547"/>
      <c r="DOQ136" s="547"/>
      <c r="DOR136" s="548"/>
      <c r="DOS136" s="547"/>
      <c r="DOT136" s="547"/>
      <c r="DOU136" s="547"/>
      <c r="DOV136" s="547"/>
      <c r="DOW136" s="548"/>
      <c r="DOX136" s="547"/>
      <c r="DOY136" s="547"/>
      <c r="DOZ136" s="547"/>
      <c r="DPA136" s="547"/>
      <c r="DPB136" s="548"/>
      <c r="DPC136" s="547"/>
      <c r="DPD136" s="547"/>
      <c r="DPE136" s="547"/>
      <c r="DPF136" s="552"/>
      <c r="DPG136" s="548"/>
      <c r="DPH136" s="552"/>
      <c r="DPI136" s="552"/>
      <c r="DPJ136" s="552"/>
      <c r="DPK136" s="552"/>
      <c r="DPL136" s="548"/>
      <c r="DPM136" s="553"/>
      <c r="DPN136" s="553"/>
      <c r="DPO136" s="553"/>
      <c r="DPP136" s="8"/>
      <c r="DPQ136" s="8"/>
      <c r="DPR136" s="458"/>
      <c r="DPS136" s="8"/>
      <c r="DPT136" s="8"/>
      <c r="DPU136" s="547"/>
      <c r="DPV136" s="547"/>
      <c r="DPW136" s="547"/>
      <c r="DPX136" s="547"/>
      <c r="DPY136" s="548"/>
      <c r="DPZ136" s="547"/>
      <c r="DQA136" s="547"/>
      <c r="DQB136" s="547"/>
      <c r="DQC136" s="547"/>
      <c r="DQD136" s="548"/>
      <c r="DQE136" s="547"/>
      <c r="DQF136" s="547"/>
      <c r="DQG136" s="547"/>
      <c r="DQH136" s="547"/>
      <c r="DQI136" s="548"/>
      <c r="DQJ136" s="547"/>
      <c r="DQK136" s="547"/>
      <c r="DQL136" s="547"/>
      <c r="DQM136" s="552"/>
      <c r="DQN136" s="548"/>
      <c r="DQO136" s="552"/>
      <c r="DQP136" s="552"/>
      <c r="DQQ136" s="552"/>
      <c r="DQR136" s="552"/>
      <c r="DQS136" s="548"/>
      <c r="DQT136" s="553"/>
      <c r="DQU136" s="553"/>
      <c r="DQV136" s="553"/>
      <c r="DQW136" s="8"/>
      <c r="DQX136" s="8"/>
      <c r="DQY136" s="458"/>
      <c r="DQZ136" s="8"/>
      <c r="DRA136" s="8"/>
      <c r="DRB136" s="547"/>
      <c r="DRC136" s="547"/>
      <c r="DRD136" s="547"/>
      <c r="DRE136" s="547"/>
      <c r="DRF136" s="548"/>
      <c r="DRG136" s="547"/>
      <c r="DRH136" s="547"/>
      <c r="DRI136" s="547"/>
      <c r="DRJ136" s="547"/>
      <c r="DRK136" s="548"/>
      <c r="DRL136" s="547"/>
      <c r="DRM136" s="547"/>
      <c r="DRN136" s="547"/>
      <c r="DRO136" s="547"/>
      <c r="DRP136" s="548"/>
      <c r="DRQ136" s="547"/>
      <c r="DRR136" s="547"/>
      <c r="DRS136" s="547"/>
      <c r="DRT136" s="552"/>
      <c r="DRU136" s="548"/>
      <c r="DRV136" s="552"/>
      <c r="DRW136" s="552"/>
      <c r="DRX136" s="552"/>
      <c r="DRY136" s="552"/>
      <c r="DRZ136" s="548"/>
      <c r="DSA136" s="553"/>
      <c r="DSB136" s="553"/>
      <c r="DSC136" s="553"/>
      <c r="DSD136" s="8"/>
      <c r="DSE136" s="8"/>
      <c r="DSF136" s="458"/>
      <c r="DSG136" s="8"/>
      <c r="DSH136" s="8"/>
      <c r="DSI136" s="547"/>
      <c r="DSJ136" s="547"/>
      <c r="DSK136" s="547"/>
      <c r="DSL136" s="547"/>
      <c r="DSM136" s="548"/>
      <c r="DSN136" s="547"/>
      <c r="DSO136" s="547"/>
      <c r="DSP136" s="547"/>
      <c r="DSQ136" s="547"/>
      <c r="DSR136" s="548"/>
      <c r="DSS136" s="547"/>
      <c r="DST136" s="547"/>
      <c r="DSU136" s="547"/>
      <c r="DSV136" s="547"/>
      <c r="DSW136" s="548"/>
      <c r="DSX136" s="547"/>
      <c r="DSY136" s="547"/>
      <c r="DSZ136" s="547"/>
      <c r="DTA136" s="552"/>
      <c r="DTB136" s="548"/>
      <c r="DTC136" s="552"/>
      <c r="DTD136" s="552"/>
      <c r="DTE136" s="552"/>
      <c r="DTF136" s="552"/>
      <c r="DTG136" s="548"/>
      <c r="DTH136" s="553"/>
      <c r="DTI136" s="553"/>
      <c r="DTJ136" s="553"/>
      <c r="DTK136" s="8"/>
      <c r="DTL136" s="8"/>
      <c r="DTM136" s="458"/>
      <c r="DTN136" s="8"/>
      <c r="DTO136" s="8"/>
      <c r="DTP136" s="547"/>
      <c r="DTQ136" s="547"/>
      <c r="DTR136" s="547"/>
      <c r="DTS136" s="547"/>
      <c r="DTT136" s="548"/>
      <c r="DTU136" s="547"/>
      <c r="DTV136" s="547"/>
      <c r="DTW136" s="547"/>
      <c r="DTX136" s="547"/>
      <c r="DTY136" s="548"/>
      <c r="DTZ136" s="547"/>
      <c r="DUA136" s="547"/>
      <c r="DUB136" s="547"/>
      <c r="DUC136" s="547"/>
      <c r="DUD136" s="548"/>
      <c r="DUE136" s="547"/>
      <c r="DUF136" s="547"/>
      <c r="DUG136" s="547"/>
      <c r="DUH136" s="552"/>
      <c r="DUI136" s="548"/>
      <c r="DUJ136" s="552"/>
      <c r="DUK136" s="552"/>
      <c r="DUL136" s="552"/>
      <c r="DUM136" s="552"/>
      <c r="DUN136" s="548"/>
      <c r="DUO136" s="553"/>
      <c r="DUP136" s="553"/>
      <c r="DUQ136" s="553"/>
      <c r="DUR136" s="8"/>
      <c r="DUS136" s="8"/>
      <c r="DUT136" s="458"/>
      <c r="DUU136" s="8"/>
      <c r="DUV136" s="8"/>
      <c r="DUW136" s="547"/>
      <c r="DUX136" s="547"/>
      <c r="DUY136" s="547"/>
      <c r="DUZ136" s="547"/>
      <c r="DVA136" s="548"/>
      <c r="DVB136" s="547"/>
      <c r="DVC136" s="547"/>
      <c r="DVD136" s="547"/>
      <c r="DVE136" s="547"/>
      <c r="DVF136" s="548"/>
      <c r="DVG136" s="547"/>
      <c r="DVH136" s="547"/>
      <c r="DVI136" s="547"/>
      <c r="DVJ136" s="547"/>
      <c r="DVK136" s="548"/>
      <c r="DVL136" s="547"/>
      <c r="DVM136" s="547"/>
      <c r="DVN136" s="547"/>
      <c r="DVO136" s="552"/>
      <c r="DVP136" s="548"/>
      <c r="DVQ136" s="552"/>
      <c r="DVR136" s="552"/>
      <c r="DVS136" s="552"/>
      <c r="DVT136" s="552"/>
      <c r="DVU136" s="548"/>
      <c r="DVV136" s="553"/>
      <c r="DVW136" s="553"/>
      <c r="DVX136" s="553"/>
      <c r="DVY136" s="8"/>
      <c r="DVZ136" s="8"/>
      <c r="DWA136" s="458"/>
      <c r="DWB136" s="8"/>
      <c r="DWC136" s="8"/>
      <c r="DWD136" s="547"/>
      <c r="DWE136" s="547"/>
      <c r="DWF136" s="547"/>
      <c r="DWG136" s="547"/>
      <c r="DWH136" s="548"/>
      <c r="DWI136" s="547"/>
      <c r="DWJ136" s="547"/>
      <c r="DWK136" s="547"/>
      <c r="DWL136" s="547"/>
      <c r="DWM136" s="548"/>
      <c r="DWN136" s="547"/>
      <c r="DWO136" s="547"/>
      <c r="DWP136" s="547"/>
      <c r="DWQ136" s="547"/>
      <c r="DWR136" s="548"/>
      <c r="DWS136" s="547"/>
      <c r="DWT136" s="547"/>
      <c r="DWU136" s="547"/>
      <c r="DWV136" s="552"/>
      <c r="DWW136" s="548"/>
      <c r="DWX136" s="552"/>
      <c r="DWY136" s="552"/>
      <c r="DWZ136" s="552"/>
      <c r="DXA136" s="552"/>
      <c r="DXB136" s="548"/>
      <c r="DXC136" s="553"/>
      <c r="DXD136" s="553"/>
      <c r="DXE136" s="553"/>
      <c r="DXF136" s="8"/>
      <c r="DXG136" s="8"/>
      <c r="DXH136" s="458"/>
      <c r="DXI136" s="8"/>
      <c r="DXJ136" s="8"/>
      <c r="DXK136" s="547"/>
      <c r="DXL136" s="547"/>
      <c r="DXM136" s="547"/>
      <c r="DXN136" s="547"/>
      <c r="DXO136" s="548"/>
      <c r="DXP136" s="547"/>
      <c r="DXQ136" s="547"/>
      <c r="DXR136" s="547"/>
      <c r="DXS136" s="547"/>
      <c r="DXT136" s="548"/>
      <c r="DXU136" s="547"/>
      <c r="DXV136" s="547"/>
      <c r="DXW136" s="547"/>
      <c r="DXX136" s="547"/>
      <c r="DXY136" s="548"/>
      <c r="DXZ136" s="547"/>
      <c r="DYA136" s="547"/>
      <c r="DYB136" s="547"/>
      <c r="DYC136" s="552"/>
      <c r="DYD136" s="548"/>
      <c r="DYE136" s="552"/>
      <c r="DYF136" s="552"/>
      <c r="DYG136" s="552"/>
      <c r="DYH136" s="552"/>
      <c r="DYI136" s="548"/>
      <c r="DYJ136" s="553"/>
      <c r="DYK136" s="553"/>
      <c r="DYL136" s="553"/>
      <c r="DYM136" s="8"/>
      <c r="DYN136" s="8"/>
      <c r="DYO136" s="458"/>
      <c r="DYP136" s="8"/>
      <c r="DYQ136" s="8"/>
      <c r="DYR136" s="547"/>
      <c r="DYS136" s="547"/>
      <c r="DYT136" s="547"/>
      <c r="DYU136" s="547"/>
      <c r="DYV136" s="548"/>
      <c r="DYW136" s="547"/>
      <c r="DYX136" s="547"/>
      <c r="DYY136" s="547"/>
      <c r="DYZ136" s="547"/>
      <c r="DZA136" s="548"/>
      <c r="DZB136" s="547"/>
      <c r="DZC136" s="547"/>
      <c r="DZD136" s="547"/>
      <c r="DZE136" s="547"/>
      <c r="DZF136" s="548"/>
      <c r="DZG136" s="547"/>
      <c r="DZH136" s="547"/>
      <c r="DZI136" s="547"/>
      <c r="DZJ136" s="552"/>
      <c r="DZK136" s="548"/>
      <c r="DZL136" s="552"/>
      <c r="DZM136" s="552"/>
      <c r="DZN136" s="552"/>
      <c r="DZO136" s="552"/>
      <c r="DZP136" s="548"/>
      <c r="DZQ136" s="553"/>
      <c r="DZR136" s="553"/>
      <c r="DZS136" s="553"/>
      <c r="DZT136" s="8"/>
      <c r="DZU136" s="8"/>
      <c r="DZV136" s="458"/>
      <c r="DZW136" s="8"/>
      <c r="DZX136" s="8"/>
      <c r="DZY136" s="547"/>
      <c r="DZZ136" s="547"/>
      <c r="EAA136" s="547"/>
      <c r="EAB136" s="547"/>
      <c r="EAC136" s="548"/>
      <c r="EAD136" s="547"/>
      <c r="EAE136" s="547"/>
      <c r="EAF136" s="547"/>
      <c r="EAG136" s="547"/>
      <c r="EAH136" s="548"/>
      <c r="EAI136" s="547"/>
      <c r="EAJ136" s="547"/>
      <c r="EAK136" s="547"/>
      <c r="EAL136" s="547"/>
      <c r="EAM136" s="548"/>
      <c r="EAN136" s="547"/>
      <c r="EAO136" s="547"/>
      <c r="EAP136" s="547"/>
      <c r="EAQ136" s="552"/>
      <c r="EAR136" s="548"/>
      <c r="EAS136" s="552"/>
      <c r="EAT136" s="552"/>
      <c r="EAU136" s="552"/>
      <c r="EAV136" s="552"/>
      <c r="EAW136" s="548"/>
      <c r="EAX136" s="553"/>
      <c r="EAY136" s="553"/>
      <c r="EAZ136" s="553"/>
      <c r="EBA136" s="8"/>
      <c r="EBB136" s="8"/>
      <c r="EBC136" s="458"/>
      <c r="EBD136" s="8"/>
      <c r="EBE136" s="8"/>
      <c r="EBF136" s="547"/>
      <c r="EBG136" s="547"/>
      <c r="EBH136" s="547"/>
      <c r="EBI136" s="547"/>
      <c r="EBJ136" s="548"/>
      <c r="EBK136" s="547"/>
      <c r="EBL136" s="547"/>
      <c r="EBM136" s="547"/>
      <c r="EBN136" s="547"/>
      <c r="EBO136" s="548"/>
      <c r="EBP136" s="547"/>
      <c r="EBQ136" s="547"/>
      <c r="EBR136" s="547"/>
      <c r="EBS136" s="547"/>
      <c r="EBT136" s="548"/>
      <c r="EBU136" s="547"/>
      <c r="EBV136" s="547"/>
      <c r="EBW136" s="547"/>
      <c r="EBX136" s="552"/>
      <c r="EBY136" s="548"/>
      <c r="EBZ136" s="552"/>
      <c r="ECA136" s="552"/>
      <c r="ECB136" s="552"/>
      <c r="ECC136" s="552"/>
      <c r="ECD136" s="548"/>
      <c r="ECE136" s="553"/>
      <c r="ECF136" s="553"/>
      <c r="ECG136" s="553"/>
      <c r="ECH136" s="8"/>
      <c r="ECI136" s="8"/>
      <c r="ECJ136" s="458"/>
      <c r="ECK136" s="8"/>
      <c r="ECL136" s="8"/>
      <c r="ECM136" s="547"/>
      <c r="ECN136" s="547"/>
      <c r="ECO136" s="547"/>
      <c r="ECP136" s="547"/>
      <c r="ECQ136" s="548"/>
      <c r="ECR136" s="547"/>
      <c r="ECS136" s="547"/>
      <c r="ECT136" s="547"/>
      <c r="ECU136" s="547"/>
      <c r="ECV136" s="548"/>
      <c r="ECW136" s="547"/>
      <c r="ECX136" s="547"/>
      <c r="ECY136" s="547"/>
      <c r="ECZ136" s="547"/>
      <c r="EDA136" s="548"/>
      <c r="EDB136" s="547"/>
      <c r="EDC136" s="547"/>
      <c r="EDD136" s="547"/>
      <c r="EDE136" s="552"/>
      <c r="EDF136" s="548"/>
      <c r="EDG136" s="552"/>
      <c r="EDH136" s="552"/>
      <c r="EDI136" s="552"/>
      <c r="EDJ136" s="552"/>
      <c r="EDK136" s="548"/>
      <c r="EDL136" s="553"/>
      <c r="EDM136" s="553"/>
      <c r="EDN136" s="553"/>
      <c r="EDO136" s="8"/>
      <c r="EDP136" s="8"/>
      <c r="EDQ136" s="458"/>
      <c r="EDR136" s="8"/>
      <c r="EDS136" s="8"/>
      <c r="EDT136" s="547"/>
      <c r="EDU136" s="547"/>
      <c r="EDV136" s="547"/>
      <c r="EDW136" s="547"/>
      <c r="EDX136" s="548"/>
      <c r="EDY136" s="547"/>
      <c r="EDZ136" s="547"/>
      <c r="EEA136" s="547"/>
      <c r="EEB136" s="547"/>
      <c r="EEC136" s="548"/>
      <c r="EED136" s="547"/>
      <c r="EEE136" s="547"/>
      <c r="EEF136" s="547"/>
      <c r="EEG136" s="547"/>
      <c r="EEH136" s="548"/>
      <c r="EEI136" s="547"/>
      <c r="EEJ136" s="547"/>
      <c r="EEK136" s="547"/>
      <c r="EEL136" s="552"/>
      <c r="EEM136" s="548"/>
      <c r="EEN136" s="552"/>
      <c r="EEO136" s="552"/>
      <c r="EEP136" s="552"/>
      <c r="EEQ136" s="552"/>
      <c r="EER136" s="548"/>
      <c r="EES136" s="553"/>
      <c r="EET136" s="553"/>
      <c r="EEU136" s="553"/>
      <c r="EEV136" s="8"/>
      <c r="EEW136" s="8"/>
      <c r="EEX136" s="458"/>
      <c r="EEY136" s="8"/>
      <c r="EEZ136" s="8"/>
      <c r="EFA136" s="547"/>
      <c r="EFB136" s="547"/>
      <c r="EFC136" s="547"/>
      <c r="EFD136" s="547"/>
      <c r="EFE136" s="548"/>
      <c r="EFF136" s="547"/>
      <c r="EFG136" s="547"/>
      <c r="EFH136" s="547"/>
      <c r="EFI136" s="547"/>
      <c r="EFJ136" s="548"/>
      <c r="EFK136" s="547"/>
      <c r="EFL136" s="547"/>
      <c r="EFM136" s="547"/>
      <c r="EFN136" s="547"/>
      <c r="EFO136" s="548"/>
      <c r="EFP136" s="547"/>
      <c r="EFQ136" s="547"/>
      <c r="EFR136" s="547"/>
      <c r="EFS136" s="552"/>
      <c r="EFT136" s="548"/>
      <c r="EFU136" s="552"/>
      <c r="EFV136" s="552"/>
      <c r="EFW136" s="552"/>
      <c r="EFX136" s="552"/>
      <c r="EFY136" s="548"/>
      <c r="EFZ136" s="553"/>
      <c r="EGA136" s="553"/>
      <c r="EGB136" s="553"/>
      <c r="EGC136" s="8"/>
      <c r="EGD136" s="8"/>
      <c r="EGE136" s="458"/>
      <c r="EGF136" s="8"/>
      <c r="EGG136" s="8"/>
      <c r="EGH136" s="547"/>
      <c r="EGI136" s="547"/>
      <c r="EGJ136" s="547"/>
      <c r="EGK136" s="547"/>
      <c r="EGL136" s="548"/>
      <c r="EGM136" s="547"/>
      <c r="EGN136" s="547"/>
      <c r="EGO136" s="547"/>
      <c r="EGP136" s="547"/>
      <c r="EGQ136" s="548"/>
      <c r="EGR136" s="547"/>
      <c r="EGS136" s="547"/>
      <c r="EGT136" s="547"/>
      <c r="EGU136" s="547"/>
      <c r="EGV136" s="548"/>
      <c r="EGW136" s="547"/>
      <c r="EGX136" s="547"/>
      <c r="EGY136" s="547"/>
      <c r="EGZ136" s="552"/>
      <c r="EHA136" s="548"/>
      <c r="EHB136" s="552"/>
      <c r="EHC136" s="552"/>
      <c r="EHD136" s="552"/>
      <c r="EHE136" s="552"/>
      <c r="EHF136" s="548"/>
      <c r="EHG136" s="553"/>
      <c r="EHH136" s="553"/>
      <c r="EHI136" s="553"/>
      <c r="EHJ136" s="8"/>
      <c r="EHK136" s="8"/>
      <c r="EHL136" s="458"/>
      <c r="EHM136" s="8"/>
      <c r="EHN136" s="8"/>
      <c r="EHO136" s="547"/>
      <c r="EHP136" s="547"/>
      <c r="EHQ136" s="547"/>
      <c r="EHR136" s="547"/>
      <c r="EHS136" s="548"/>
      <c r="EHT136" s="547"/>
      <c r="EHU136" s="547"/>
      <c r="EHV136" s="547"/>
      <c r="EHW136" s="547"/>
      <c r="EHX136" s="548"/>
      <c r="EHY136" s="547"/>
      <c r="EHZ136" s="547"/>
      <c r="EIA136" s="547"/>
      <c r="EIB136" s="547"/>
      <c r="EIC136" s="548"/>
      <c r="EID136" s="547"/>
      <c r="EIE136" s="547"/>
      <c r="EIF136" s="547"/>
      <c r="EIG136" s="552"/>
      <c r="EIH136" s="548"/>
      <c r="EII136" s="552"/>
      <c r="EIJ136" s="552"/>
      <c r="EIK136" s="552"/>
      <c r="EIL136" s="552"/>
      <c r="EIM136" s="548"/>
      <c r="EIN136" s="553"/>
      <c r="EIO136" s="553"/>
      <c r="EIP136" s="553"/>
      <c r="EIQ136" s="8"/>
      <c r="EIR136" s="8"/>
      <c r="EIS136" s="458"/>
      <c r="EIT136" s="8"/>
      <c r="EIU136" s="8"/>
      <c r="EIV136" s="547"/>
      <c r="EIW136" s="547"/>
      <c r="EIX136" s="547"/>
      <c r="EIY136" s="547"/>
      <c r="EIZ136" s="548"/>
      <c r="EJA136" s="547"/>
      <c r="EJB136" s="547"/>
      <c r="EJC136" s="547"/>
      <c r="EJD136" s="547"/>
      <c r="EJE136" s="548"/>
      <c r="EJF136" s="547"/>
      <c r="EJG136" s="547"/>
      <c r="EJH136" s="547"/>
      <c r="EJI136" s="547"/>
      <c r="EJJ136" s="548"/>
      <c r="EJK136" s="547"/>
      <c r="EJL136" s="547"/>
      <c r="EJM136" s="547"/>
      <c r="EJN136" s="552"/>
      <c r="EJO136" s="548"/>
      <c r="EJP136" s="552"/>
      <c r="EJQ136" s="552"/>
      <c r="EJR136" s="552"/>
      <c r="EJS136" s="552"/>
      <c r="EJT136" s="548"/>
      <c r="EJU136" s="553"/>
      <c r="EJV136" s="553"/>
      <c r="EJW136" s="553"/>
      <c r="EJX136" s="8"/>
      <c r="EJY136" s="8"/>
      <c r="EJZ136" s="458"/>
      <c r="EKA136" s="8"/>
      <c r="EKB136" s="8"/>
      <c r="EKC136" s="547"/>
      <c r="EKD136" s="547"/>
      <c r="EKE136" s="547"/>
      <c r="EKF136" s="547"/>
      <c r="EKG136" s="548"/>
      <c r="EKH136" s="547"/>
      <c r="EKI136" s="547"/>
      <c r="EKJ136" s="547"/>
      <c r="EKK136" s="547"/>
      <c r="EKL136" s="548"/>
      <c r="EKM136" s="547"/>
      <c r="EKN136" s="547"/>
      <c r="EKO136" s="547"/>
      <c r="EKP136" s="547"/>
      <c r="EKQ136" s="548"/>
      <c r="EKR136" s="547"/>
      <c r="EKS136" s="547"/>
      <c r="EKT136" s="547"/>
      <c r="EKU136" s="552"/>
      <c r="EKV136" s="548"/>
      <c r="EKW136" s="552"/>
      <c r="EKX136" s="552"/>
      <c r="EKY136" s="552"/>
      <c r="EKZ136" s="552"/>
      <c r="ELA136" s="548"/>
      <c r="ELB136" s="553"/>
      <c r="ELC136" s="553"/>
      <c r="ELD136" s="553"/>
      <c r="ELE136" s="8"/>
      <c r="ELF136" s="8"/>
      <c r="ELG136" s="458"/>
      <c r="ELH136" s="8"/>
      <c r="ELI136" s="8"/>
      <c r="ELJ136" s="547"/>
      <c r="ELK136" s="547"/>
      <c r="ELL136" s="547"/>
      <c r="ELM136" s="547"/>
      <c r="ELN136" s="548"/>
      <c r="ELO136" s="547"/>
      <c r="ELP136" s="547"/>
      <c r="ELQ136" s="547"/>
      <c r="ELR136" s="547"/>
      <c r="ELS136" s="548"/>
      <c r="ELT136" s="547"/>
      <c r="ELU136" s="547"/>
      <c r="ELV136" s="547"/>
      <c r="ELW136" s="547"/>
      <c r="ELX136" s="548"/>
      <c r="ELY136" s="547"/>
      <c r="ELZ136" s="547"/>
      <c r="EMA136" s="547"/>
      <c r="EMB136" s="552"/>
      <c r="EMC136" s="548"/>
      <c r="EMD136" s="552"/>
      <c r="EME136" s="552"/>
      <c r="EMF136" s="552"/>
      <c r="EMG136" s="552"/>
      <c r="EMH136" s="548"/>
      <c r="EMI136" s="553"/>
      <c r="EMJ136" s="553"/>
      <c r="EMK136" s="553"/>
      <c r="EML136" s="8"/>
      <c r="EMM136" s="8"/>
      <c r="EMN136" s="458"/>
      <c r="EMO136" s="8"/>
      <c r="EMP136" s="8"/>
      <c r="EMQ136" s="547"/>
      <c r="EMR136" s="547"/>
      <c r="EMS136" s="547"/>
      <c r="EMT136" s="547"/>
      <c r="EMU136" s="548"/>
      <c r="EMV136" s="547"/>
      <c r="EMW136" s="547"/>
      <c r="EMX136" s="547"/>
      <c r="EMY136" s="547"/>
      <c r="EMZ136" s="548"/>
      <c r="ENA136" s="547"/>
      <c r="ENB136" s="547"/>
      <c r="ENC136" s="547"/>
      <c r="END136" s="547"/>
      <c r="ENE136" s="548"/>
      <c r="ENF136" s="547"/>
      <c r="ENG136" s="547"/>
      <c r="ENH136" s="547"/>
      <c r="ENI136" s="552"/>
      <c r="ENJ136" s="548"/>
      <c r="ENK136" s="552"/>
      <c r="ENL136" s="552"/>
      <c r="ENM136" s="552"/>
      <c r="ENN136" s="552"/>
      <c r="ENO136" s="548"/>
      <c r="ENP136" s="553"/>
      <c r="ENQ136" s="553"/>
      <c r="ENR136" s="553"/>
      <c r="ENS136" s="8"/>
      <c r="ENT136" s="8"/>
      <c r="ENU136" s="458"/>
      <c r="ENV136" s="8"/>
      <c r="ENW136" s="8"/>
      <c r="ENX136" s="547"/>
      <c r="ENY136" s="547"/>
      <c r="ENZ136" s="547"/>
      <c r="EOA136" s="547"/>
      <c r="EOB136" s="548"/>
      <c r="EOC136" s="547"/>
      <c r="EOD136" s="547"/>
      <c r="EOE136" s="547"/>
      <c r="EOF136" s="547"/>
      <c r="EOG136" s="548"/>
      <c r="EOH136" s="547"/>
      <c r="EOI136" s="547"/>
      <c r="EOJ136" s="547"/>
      <c r="EOK136" s="547"/>
      <c r="EOL136" s="548"/>
      <c r="EOM136" s="547"/>
      <c r="EON136" s="547"/>
      <c r="EOO136" s="547"/>
      <c r="EOP136" s="552"/>
      <c r="EOQ136" s="548"/>
      <c r="EOR136" s="552"/>
      <c r="EOS136" s="552"/>
      <c r="EOT136" s="552"/>
      <c r="EOU136" s="552"/>
      <c r="EOV136" s="548"/>
      <c r="EOW136" s="553"/>
      <c r="EOX136" s="553"/>
      <c r="EOY136" s="553"/>
      <c r="EOZ136" s="8"/>
      <c r="EPA136" s="8"/>
      <c r="EPB136" s="458"/>
      <c r="EPC136" s="8"/>
      <c r="EPD136" s="8"/>
      <c r="EPE136" s="547"/>
      <c r="EPF136" s="547"/>
      <c r="EPG136" s="547"/>
      <c r="EPH136" s="547"/>
      <c r="EPI136" s="548"/>
      <c r="EPJ136" s="547"/>
      <c r="EPK136" s="547"/>
      <c r="EPL136" s="547"/>
      <c r="EPM136" s="547"/>
      <c r="EPN136" s="548"/>
      <c r="EPO136" s="547"/>
      <c r="EPP136" s="547"/>
      <c r="EPQ136" s="547"/>
      <c r="EPR136" s="547"/>
      <c r="EPS136" s="548"/>
      <c r="EPT136" s="547"/>
      <c r="EPU136" s="547"/>
      <c r="EPV136" s="547"/>
      <c r="EPW136" s="552"/>
      <c r="EPX136" s="548"/>
      <c r="EPY136" s="552"/>
      <c r="EPZ136" s="552"/>
      <c r="EQA136" s="552"/>
      <c r="EQB136" s="552"/>
      <c r="EQC136" s="548"/>
      <c r="EQD136" s="553"/>
      <c r="EQE136" s="553"/>
      <c r="EQF136" s="553"/>
      <c r="EQG136" s="8"/>
      <c r="EQH136" s="8"/>
      <c r="EQI136" s="458"/>
      <c r="EQJ136" s="8"/>
      <c r="EQK136" s="8"/>
      <c r="EQL136" s="547"/>
      <c r="EQM136" s="547"/>
      <c r="EQN136" s="547"/>
      <c r="EQO136" s="547"/>
      <c r="EQP136" s="548"/>
      <c r="EQQ136" s="547"/>
      <c r="EQR136" s="547"/>
      <c r="EQS136" s="547"/>
      <c r="EQT136" s="547"/>
      <c r="EQU136" s="548"/>
      <c r="EQV136" s="547"/>
      <c r="EQW136" s="547"/>
      <c r="EQX136" s="547"/>
      <c r="EQY136" s="547"/>
      <c r="EQZ136" s="548"/>
      <c r="ERA136" s="547"/>
      <c r="ERB136" s="547"/>
      <c r="ERC136" s="547"/>
      <c r="ERD136" s="552"/>
      <c r="ERE136" s="548"/>
      <c r="ERF136" s="552"/>
      <c r="ERG136" s="552"/>
      <c r="ERH136" s="552"/>
      <c r="ERI136" s="552"/>
      <c r="ERJ136" s="548"/>
      <c r="ERK136" s="553"/>
      <c r="ERL136" s="553"/>
      <c r="ERM136" s="553"/>
      <c r="ERN136" s="8"/>
      <c r="ERO136" s="8"/>
      <c r="ERP136" s="458"/>
      <c r="ERQ136" s="8"/>
      <c r="ERR136" s="8"/>
      <c r="ERS136" s="547"/>
      <c r="ERT136" s="547"/>
      <c r="ERU136" s="547"/>
      <c r="ERV136" s="547"/>
      <c r="ERW136" s="548"/>
      <c r="ERX136" s="547"/>
      <c r="ERY136" s="547"/>
      <c r="ERZ136" s="547"/>
      <c r="ESA136" s="547"/>
      <c r="ESB136" s="548"/>
      <c r="ESC136" s="547"/>
      <c r="ESD136" s="547"/>
      <c r="ESE136" s="547"/>
      <c r="ESF136" s="547"/>
      <c r="ESG136" s="548"/>
      <c r="ESH136" s="547"/>
      <c r="ESI136" s="547"/>
      <c r="ESJ136" s="547"/>
      <c r="ESK136" s="552"/>
      <c r="ESL136" s="548"/>
      <c r="ESM136" s="552"/>
      <c r="ESN136" s="552"/>
      <c r="ESO136" s="552"/>
      <c r="ESP136" s="552"/>
      <c r="ESQ136" s="548"/>
      <c r="ESR136" s="553"/>
      <c r="ESS136" s="553"/>
      <c r="EST136" s="553"/>
      <c r="ESU136" s="8"/>
      <c r="ESV136" s="8"/>
      <c r="ESW136" s="458"/>
      <c r="ESX136" s="8"/>
      <c r="ESY136" s="8"/>
      <c r="ESZ136" s="547"/>
      <c r="ETA136" s="547"/>
      <c r="ETB136" s="547"/>
      <c r="ETC136" s="547"/>
      <c r="ETD136" s="548"/>
      <c r="ETE136" s="547"/>
      <c r="ETF136" s="547"/>
      <c r="ETG136" s="547"/>
      <c r="ETH136" s="547"/>
      <c r="ETI136" s="548"/>
      <c r="ETJ136" s="547"/>
      <c r="ETK136" s="547"/>
      <c r="ETL136" s="547"/>
      <c r="ETM136" s="547"/>
      <c r="ETN136" s="548"/>
      <c r="ETO136" s="547"/>
      <c r="ETP136" s="547"/>
      <c r="ETQ136" s="547"/>
      <c r="ETR136" s="552"/>
      <c r="ETS136" s="548"/>
      <c r="ETT136" s="552"/>
      <c r="ETU136" s="552"/>
      <c r="ETV136" s="552"/>
      <c r="ETW136" s="552"/>
      <c r="ETX136" s="548"/>
      <c r="ETY136" s="553"/>
      <c r="ETZ136" s="553"/>
      <c r="EUA136" s="553"/>
      <c r="EUB136" s="8"/>
      <c r="EUC136" s="8"/>
      <c r="EUD136" s="458"/>
      <c r="EUE136" s="8"/>
      <c r="EUF136" s="8"/>
      <c r="EUG136" s="547"/>
      <c r="EUH136" s="547"/>
      <c r="EUI136" s="547"/>
      <c r="EUJ136" s="547"/>
      <c r="EUK136" s="548"/>
      <c r="EUL136" s="547"/>
      <c r="EUM136" s="547"/>
      <c r="EUN136" s="547"/>
      <c r="EUO136" s="547"/>
      <c r="EUP136" s="548"/>
      <c r="EUQ136" s="547"/>
      <c r="EUR136" s="547"/>
      <c r="EUS136" s="547"/>
      <c r="EUT136" s="547"/>
      <c r="EUU136" s="548"/>
      <c r="EUV136" s="547"/>
      <c r="EUW136" s="547"/>
      <c r="EUX136" s="547"/>
      <c r="EUY136" s="552"/>
      <c r="EUZ136" s="548"/>
      <c r="EVA136" s="552"/>
      <c r="EVB136" s="552"/>
      <c r="EVC136" s="552"/>
      <c r="EVD136" s="552"/>
      <c r="EVE136" s="548"/>
      <c r="EVF136" s="553"/>
      <c r="EVG136" s="553"/>
      <c r="EVH136" s="553"/>
      <c r="EVI136" s="8"/>
      <c r="EVJ136" s="8"/>
      <c r="EVK136" s="458"/>
      <c r="EVL136" s="8"/>
      <c r="EVM136" s="8"/>
      <c r="EVN136" s="547"/>
      <c r="EVO136" s="547"/>
      <c r="EVP136" s="547"/>
      <c r="EVQ136" s="547"/>
      <c r="EVR136" s="548"/>
      <c r="EVS136" s="547"/>
      <c r="EVT136" s="547"/>
      <c r="EVU136" s="547"/>
      <c r="EVV136" s="547"/>
      <c r="EVW136" s="548"/>
      <c r="EVX136" s="547"/>
      <c r="EVY136" s="547"/>
      <c r="EVZ136" s="547"/>
      <c r="EWA136" s="547"/>
      <c r="EWB136" s="548"/>
      <c r="EWC136" s="547"/>
      <c r="EWD136" s="547"/>
      <c r="EWE136" s="547"/>
      <c r="EWF136" s="552"/>
      <c r="EWG136" s="548"/>
      <c r="EWH136" s="552"/>
      <c r="EWI136" s="552"/>
      <c r="EWJ136" s="552"/>
      <c r="EWK136" s="552"/>
      <c r="EWL136" s="548"/>
      <c r="EWM136" s="553"/>
      <c r="EWN136" s="553"/>
      <c r="EWO136" s="553"/>
      <c r="EWP136" s="8"/>
      <c r="EWQ136" s="8"/>
      <c r="EWR136" s="458"/>
      <c r="EWS136" s="8"/>
      <c r="EWT136" s="8"/>
      <c r="EWU136" s="547"/>
      <c r="EWV136" s="547"/>
      <c r="EWW136" s="547"/>
      <c r="EWX136" s="547"/>
      <c r="EWY136" s="548"/>
      <c r="EWZ136" s="547"/>
      <c r="EXA136" s="547"/>
      <c r="EXB136" s="547"/>
      <c r="EXC136" s="547"/>
      <c r="EXD136" s="548"/>
      <c r="EXE136" s="547"/>
      <c r="EXF136" s="547"/>
      <c r="EXG136" s="547"/>
      <c r="EXH136" s="547"/>
      <c r="EXI136" s="548"/>
      <c r="EXJ136" s="547"/>
      <c r="EXK136" s="547"/>
      <c r="EXL136" s="547"/>
      <c r="EXM136" s="552"/>
      <c r="EXN136" s="548"/>
      <c r="EXO136" s="552"/>
      <c r="EXP136" s="552"/>
      <c r="EXQ136" s="552"/>
      <c r="EXR136" s="552"/>
      <c r="EXS136" s="548"/>
      <c r="EXT136" s="553"/>
      <c r="EXU136" s="553"/>
      <c r="EXV136" s="553"/>
      <c r="EXW136" s="8"/>
      <c r="EXX136" s="8"/>
      <c r="EXY136" s="458"/>
      <c r="EXZ136" s="8"/>
      <c r="EYA136" s="8"/>
      <c r="EYB136" s="547"/>
      <c r="EYC136" s="547"/>
      <c r="EYD136" s="547"/>
      <c r="EYE136" s="547"/>
      <c r="EYF136" s="548"/>
      <c r="EYG136" s="547"/>
      <c r="EYH136" s="547"/>
      <c r="EYI136" s="547"/>
      <c r="EYJ136" s="547"/>
      <c r="EYK136" s="548"/>
      <c r="EYL136" s="547"/>
      <c r="EYM136" s="547"/>
      <c r="EYN136" s="547"/>
      <c r="EYO136" s="547"/>
      <c r="EYP136" s="548"/>
      <c r="EYQ136" s="547"/>
      <c r="EYR136" s="547"/>
      <c r="EYS136" s="547"/>
      <c r="EYT136" s="552"/>
      <c r="EYU136" s="548"/>
      <c r="EYV136" s="552"/>
      <c r="EYW136" s="552"/>
      <c r="EYX136" s="552"/>
      <c r="EYY136" s="552"/>
      <c r="EYZ136" s="548"/>
      <c r="EZA136" s="553"/>
      <c r="EZB136" s="553"/>
      <c r="EZC136" s="553"/>
      <c r="EZD136" s="8"/>
      <c r="EZE136" s="8"/>
      <c r="EZF136" s="458"/>
      <c r="EZG136" s="8"/>
      <c r="EZH136" s="8"/>
      <c r="EZI136" s="547"/>
      <c r="EZJ136" s="547"/>
      <c r="EZK136" s="547"/>
      <c r="EZL136" s="547"/>
      <c r="EZM136" s="548"/>
      <c r="EZN136" s="547"/>
      <c r="EZO136" s="547"/>
      <c r="EZP136" s="547"/>
      <c r="EZQ136" s="547"/>
      <c r="EZR136" s="548"/>
      <c r="EZS136" s="547"/>
      <c r="EZT136" s="547"/>
      <c r="EZU136" s="547"/>
      <c r="EZV136" s="547"/>
      <c r="EZW136" s="548"/>
      <c r="EZX136" s="547"/>
      <c r="EZY136" s="547"/>
      <c r="EZZ136" s="547"/>
      <c r="FAA136" s="552"/>
      <c r="FAB136" s="548"/>
      <c r="FAC136" s="552"/>
      <c r="FAD136" s="552"/>
      <c r="FAE136" s="552"/>
      <c r="FAF136" s="552"/>
      <c r="FAG136" s="548"/>
      <c r="FAH136" s="553"/>
      <c r="FAI136" s="553"/>
      <c r="FAJ136" s="553"/>
      <c r="FAK136" s="8"/>
      <c r="FAL136" s="8"/>
      <c r="FAM136" s="458"/>
      <c r="FAN136" s="8"/>
      <c r="FAO136" s="8"/>
      <c r="FAP136" s="547"/>
      <c r="FAQ136" s="547"/>
      <c r="FAR136" s="547"/>
      <c r="FAS136" s="547"/>
      <c r="FAT136" s="548"/>
      <c r="FAU136" s="547"/>
      <c r="FAV136" s="547"/>
      <c r="FAW136" s="547"/>
      <c r="FAX136" s="547"/>
      <c r="FAY136" s="548"/>
      <c r="FAZ136" s="547"/>
      <c r="FBA136" s="547"/>
      <c r="FBB136" s="547"/>
      <c r="FBC136" s="547"/>
      <c r="FBD136" s="548"/>
      <c r="FBE136" s="547"/>
      <c r="FBF136" s="547"/>
      <c r="FBG136" s="547"/>
      <c r="FBH136" s="552"/>
      <c r="FBI136" s="548"/>
      <c r="FBJ136" s="552"/>
      <c r="FBK136" s="552"/>
      <c r="FBL136" s="552"/>
      <c r="FBM136" s="552"/>
      <c r="FBN136" s="548"/>
      <c r="FBO136" s="553"/>
      <c r="FBP136" s="553"/>
      <c r="FBQ136" s="553"/>
      <c r="FBR136" s="8"/>
      <c r="FBS136" s="8"/>
      <c r="FBT136" s="458"/>
      <c r="FBU136" s="8"/>
      <c r="FBV136" s="8"/>
      <c r="FBW136" s="547"/>
      <c r="FBX136" s="547"/>
      <c r="FBY136" s="547"/>
      <c r="FBZ136" s="547"/>
      <c r="FCA136" s="548"/>
      <c r="FCB136" s="547"/>
      <c r="FCC136" s="547"/>
      <c r="FCD136" s="547"/>
      <c r="FCE136" s="547"/>
      <c r="FCF136" s="548"/>
      <c r="FCG136" s="547"/>
      <c r="FCH136" s="547"/>
      <c r="FCI136" s="547"/>
      <c r="FCJ136" s="547"/>
      <c r="FCK136" s="548"/>
      <c r="FCL136" s="547"/>
      <c r="FCM136" s="547"/>
      <c r="FCN136" s="547"/>
      <c r="FCO136" s="552"/>
      <c r="FCP136" s="548"/>
      <c r="FCQ136" s="552"/>
      <c r="FCR136" s="552"/>
      <c r="FCS136" s="552"/>
      <c r="FCT136" s="552"/>
      <c r="FCU136" s="548"/>
      <c r="FCV136" s="553"/>
      <c r="FCW136" s="553"/>
      <c r="FCX136" s="553"/>
      <c r="FCY136" s="8"/>
      <c r="FCZ136" s="8"/>
      <c r="FDA136" s="458"/>
      <c r="FDB136" s="8"/>
      <c r="FDC136" s="8"/>
      <c r="FDD136" s="547"/>
      <c r="FDE136" s="547"/>
      <c r="FDF136" s="547"/>
      <c r="FDG136" s="547"/>
      <c r="FDH136" s="548"/>
      <c r="FDI136" s="547"/>
      <c r="FDJ136" s="547"/>
      <c r="FDK136" s="547"/>
      <c r="FDL136" s="547"/>
      <c r="FDM136" s="548"/>
      <c r="FDN136" s="547"/>
      <c r="FDO136" s="547"/>
      <c r="FDP136" s="547"/>
      <c r="FDQ136" s="547"/>
      <c r="FDR136" s="548"/>
      <c r="FDS136" s="547"/>
      <c r="FDT136" s="547"/>
      <c r="FDU136" s="547"/>
      <c r="FDV136" s="552"/>
      <c r="FDW136" s="548"/>
      <c r="FDX136" s="552"/>
      <c r="FDY136" s="552"/>
      <c r="FDZ136" s="552"/>
      <c r="FEA136" s="552"/>
      <c r="FEB136" s="548"/>
      <c r="FEC136" s="553"/>
      <c r="FED136" s="553"/>
      <c r="FEE136" s="553"/>
      <c r="FEF136" s="8"/>
      <c r="FEG136" s="8"/>
      <c r="FEH136" s="458"/>
      <c r="FEI136" s="8"/>
      <c r="FEJ136" s="8"/>
      <c r="FEK136" s="547"/>
      <c r="FEL136" s="547"/>
      <c r="FEM136" s="547"/>
      <c r="FEN136" s="547"/>
      <c r="FEO136" s="548"/>
      <c r="FEP136" s="547"/>
      <c r="FEQ136" s="547"/>
      <c r="FER136" s="547"/>
      <c r="FES136" s="547"/>
      <c r="FET136" s="548"/>
      <c r="FEU136" s="547"/>
      <c r="FEV136" s="547"/>
      <c r="FEW136" s="547"/>
      <c r="FEX136" s="547"/>
      <c r="FEY136" s="548"/>
      <c r="FEZ136" s="547"/>
      <c r="FFA136" s="547"/>
      <c r="FFB136" s="547"/>
      <c r="FFC136" s="552"/>
      <c r="FFD136" s="548"/>
      <c r="FFE136" s="552"/>
      <c r="FFF136" s="552"/>
      <c r="FFG136" s="552"/>
      <c r="FFH136" s="552"/>
      <c r="FFI136" s="548"/>
      <c r="FFJ136" s="553"/>
      <c r="FFK136" s="553"/>
      <c r="FFL136" s="553"/>
      <c r="FFM136" s="8"/>
      <c r="FFN136" s="8"/>
      <c r="FFO136" s="458"/>
      <c r="FFP136" s="8"/>
      <c r="FFQ136" s="8"/>
      <c r="FFR136" s="547"/>
      <c r="FFS136" s="547"/>
      <c r="FFT136" s="547"/>
      <c r="FFU136" s="547"/>
      <c r="FFV136" s="548"/>
      <c r="FFW136" s="547"/>
      <c r="FFX136" s="547"/>
      <c r="FFY136" s="547"/>
      <c r="FFZ136" s="547"/>
      <c r="FGA136" s="548"/>
      <c r="FGB136" s="547"/>
      <c r="FGC136" s="547"/>
      <c r="FGD136" s="547"/>
      <c r="FGE136" s="547"/>
      <c r="FGF136" s="548"/>
      <c r="FGG136" s="547"/>
      <c r="FGH136" s="547"/>
      <c r="FGI136" s="547"/>
      <c r="FGJ136" s="552"/>
      <c r="FGK136" s="548"/>
      <c r="FGL136" s="552"/>
      <c r="FGM136" s="552"/>
      <c r="FGN136" s="552"/>
      <c r="FGO136" s="552"/>
      <c r="FGP136" s="548"/>
      <c r="FGQ136" s="553"/>
      <c r="FGR136" s="553"/>
      <c r="FGS136" s="553"/>
      <c r="FGT136" s="8"/>
      <c r="FGU136" s="8"/>
      <c r="FGV136" s="458"/>
      <c r="FGW136" s="8"/>
      <c r="FGX136" s="8"/>
      <c r="FGY136" s="547"/>
      <c r="FGZ136" s="547"/>
      <c r="FHA136" s="547"/>
      <c r="FHB136" s="547"/>
      <c r="FHC136" s="548"/>
      <c r="FHD136" s="547"/>
      <c r="FHE136" s="547"/>
      <c r="FHF136" s="547"/>
      <c r="FHG136" s="547"/>
      <c r="FHH136" s="548"/>
      <c r="FHI136" s="547"/>
      <c r="FHJ136" s="547"/>
      <c r="FHK136" s="547"/>
      <c r="FHL136" s="547"/>
      <c r="FHM136" s="548"/>
      <c r="FHN136" s="547"/>
      <c r="FHO136" s="547"/>
      <c r="FHP136" s="547"/>
      <c r="FHQ136" s="552"/>
      <c r="FHR136" s="548"/>
      <c r="FHS136" s="552"/>
      <c r="FHT136" s="552"/>
      <c r="FHU136" s="552"/>
      <c r="FHV136" s="552"/>
      <c r="FHW136" s="548"/>
      <c r="FHX136" s="553"/>
      <c r="FHY136" s="553"/>
      <c r="FHZ136" s="553"/>
      <c r="FIA136" s="8"/>
      <c r="FIB136" s="8"/>
      <c r="FIC136" s="458"/>
      <c r="FID136" s="8"/>
      <c r="FIE136" s="8"/>
      <c r="FIF136" s="547"/>
      <c r="FIG136" s="547"/>
      <c r="FIH136" s="547"/>
      <c r="FII136" s="547"/>
      <c r="FIJ136" s="548"/>
      <c r="FIK136" s="547"/>
      <c r="FIL136" s="547"/>
      <c r="FIM136" s="547"/>
      <c r="FIN136" s="547"/>
      <c r="FIO136" s="548"/>
      <c r="FIP136" s="547"/>
      <c r="FIQ136" s="547"/>
      <c r="FIR136" s="547"/>
      <c r="FIS136" s="547"/>
      <c r="FIT136" s="548"/>
      <c r="FIU136" s="547"/>
      <c r="FIV136" s="547"/>
      <c r="FIW136" s="547"/>
      <c r="FIX136" s="552"/>
      <c r="FIY136" s="548"/>
      <c r="FIZ136" s="552"/>
      <c r="FJA136" s="552"/>
      <c r="FJB136" s="552"/>
      <c r="FJC136" s="552"/>
      <c r="FJD136" s="548"/>
      <c r="FJE136" s="553"/>
      <c r="FJF136" s="553"/>
      <c r="FJG136" s="553"/>
      <c r="FJH136" s="8"/>
      <c r="FJI136" s="8"/>
      <c r="FJJ136" s="458"/>
      <c r="FJK136" s="8"/>
      <c r="FJL136" s="8"/>
      <c r="FJM136" s="547"/>
      <c r="FJN136" s="547"/>
      <c r="FJO136" s="547"/>
      <c r="FJP136" s="547"/>
      <c r="FJQ136" s="548"/>
      <c r="FJR136" s="547"/>
      <c r="FJS136" s="547"/>
      <c r="FJT136" s="547"/>
      <c r="FJU136" s="547"/>
      <c r="FJV136" s="548"/>
      <c r="FJW136" s="547"/>
      <c r="FJX136" s="547"/>
      <c r="FJY136" s="547"/>
      <c r="FJZ136" s="547"/>
      <c r="FKA136" s="548"/>
      <c r="FKB136" s="547"/>
      <c r="FKC136" s="547"/>
      <c r="FKD136" s="547"/>
      <c r="FKE136" s="552"/>
      <c r="FKF136" s="548"/>
      <c r="FKG136" s="552"/>
      <c r="FKH136" s="552"/>
      <c r="FKI136" s="552"/>
      <c r="FKJ136" s="552"/>
      <c r="FKK136" s="548"/>
      <c r="FKL136" s="553"/>
      <c r="FKM136" s="553"/>
      <c r="FKN136" s="553"/>
      <c r="FKO136" s="8"/>
      <c r="FKP136" s="8"/>
      <c r="FKQ136" s="458"/>
      <c r="FKR136" s="8"/>
      <c r="FKS136" s="8"/>
      <c r="FKT136" s="547"/>
      <c r="FKU136" s="547"/>
      <c r="FKV136" s="547"/>
      <c r="FKW136" s="547"/>
      <c r="FKX136" s="548"/>
      <c r="FKY136" s="547"/>
      <c r="FKZ136" s="547"/>
      <c r="FLA136" s="547"/>
      <c r="FLB136" s="547"/>
      <c r="FLC136" s="548"/>
      <c r="FLD136" s="547"/>
      <c r="FLE136" s="547"/>
      <c r="FLF136" s="547"/>
      <c r="FLG136" s="547"/>
      <c r="FLH136" s="548"/>
      <c r="FLI136" s="547"/>
      <c r="FLJ136" s="547"/>
      <c r="FLK136" s="547"/>
      <c r="FLL136" s="552"/>
      <c r="FLM136" s="548"/>
      <c r="FLN136" s="552"/>
      <c r="FLO136" s="552"/>
      <c r="FLP136" s="552"/>
      <c r="FLQ136" s="552"/>
      <c r="FLR136" s="548"/>
      <c r="FLS136" s="553"/>
      <c r="FLT136" s="553"/>
      <c r="FLU136" s="553"/>
      <c r="FLV136" s="8"/>
      <c r="FLW136" s="8"/>
      <c r="FLX136" s="458"/>
      <c r="FLY136" s="8"/>
      <c r="FLZ136" s="8"/>
      <c r="FMA136" s="547"/>
      <c r="FMB136" s="547"/>
      <c r="FMC136" s="547"/>
      <c r="FMD136" s="547"/>
      <c r="FME136" s="548"/>
      <c r="FMF136" s="547"/>
      <c r="FMG136" s="547"/>
      <c r="FMH136" s="547"/>
      <c r="FMI136" s="547"/>
      <c r="FMJ136" s="548"/>
      <c r="FMK136" s="547"/>
      <c r="FML136" s="547"/>
      <c r="FMM136" s="547"/>
      <c r="FMN136" s="547"/>
      <c r="FMO136" s="548"/>
      <c r="FMP136" s="547"/>
      <c r="FMQ136" s="547"/>
      <c r="FMR136" s="547"/>
      <c r="FMS136" s="552"/>
      <c r="FMT136" s="548"/>
      <c r="FMU136" s="552"/>
      <c r="FMV136" s="552"/>
      <c r="FMW136" s="552"/>
      <c r="FMX136" s="552"/>
      <c r="FMY136" s="548"/>
      <c r="FMZ136" s="553"/>
      <c r="FNA136" s="553"/>
      <c r="FNB136" s="553"/>
      <c r="FNC136" s="8"/>
      <c r="FND136" s="8"/>
      <c r="FNE136" s="458"/>
      <c r="FNF136" s="8"/>
      <c r="FNG136" s="8"/>
      <c r="FNH136" s="547"/>
      <c r="FNI136" s="547"/>
      <c r="FNJ136" s="547"/>
      <c r="FNK136" s="547"/>
      <c r="FNL136" s="548"/>
      <c r="FNM136" s="547"/>
      <c r="FNN136" s="547"/>
      <c r="FNO136" s="547"/>
      <c r="FNP136" s="547"/>
      <c r="FNQ136" s="548"/>
      <c r="FNR136" s="547"/>
      <c r="FNS136" s="547"/>
      <c r="FNT136" s="547"/>
      <c r="FNU136" s="547"/>
      <c r="FNV136" s="548"/>
      <c r="FNW136" s="547"/>
      <c r="FNX136" s="547"/>
      <c r="FNY136" s="547"/>
      <c r="FNZ136" s="552"/>
      <c r="FOA136" s="548"/>
      <c r="FOB136" s="552"/>
      <c r="FOC136" s="552"/>
      <c r="FOD136" s="552"/>
      <c r="FOE136" s="552"/>
      <c r="FOF136" s="548"/>
      <c r="FOG136" s="553"/>
      <c r="FOH136" s="553"/>
      <c r="FOI136" s="553"/>
      <c r="FOJ136" s="8"/>
      <c r="FOK136" s="8"/>
      <c r="FOL136" s="458"/>
      <c r="FOM136" s="8"/>
      <c r="FON136" s="8"/>
      <c r="FOO136" s="547"/>
      <c r="FOP136" s="547"/>
      <c r="FOQ136" s="547"/>
      <c r="FOR136" s="547"/>
      <c r="FOS136" s="548"/>
      <c r="FOT136" s="547"/>
      <c r="FOU136" s="547"/>
      <c r="FOV136" s="547"/>
      <c r="FOW136" s="547"/>
      <c r="FOX136" s="548"/>
      <c r="FOY136" s="547"/>
      <c r="FOZ136" s="547"/>
      <c r="FPA136" s="547"/>
      <c r="FPB136" s="547"/>
      <c r="FPC136" s="548"/>
      <c r="FPD136" s="547"/>
      <c r="FPE136" s="547"/>
      <c r="FPF136" s="547"/>
      <c r="FPG136" s="552"/>
      <c r="FPH136" s="548"/>
      <c r="FPI136" s="552"/>
      <c r="FPJ136" s="552"/>
      <c r="FPK136" s="552"/>
      <c r="FPL136" s="552"/>
      <c r="FPM136" s="548"/>
      <c r="FPN136" s="553"/>
      <c r="FPO136" s="553"/>
      <c r="FPP136" s="553"/>
      <c r="FPQ136" s="8"/>
      <c r="FPR136" s="8"/>
      <c r="FPS136" s="458"/>
      <c r="FPT136" s="8"/>
      <c r="FPU136" s="8"/>
      <c r="FPV136" s="547"/>
      <c r="FPW136" s="547"/>
      <c r="FPX136" s="547"/>
      <c r="FPY136" s="547"/>
      <c r="FPZ136" s="548"/>
      <c r="FQA136" s="547"/>
      <c r="FQB136" s="547"/>
      <c r="FQC136" s="547"/>
      <c r="FQD136" s="547"/>
      <c r="FQE136" s="548"/>
      <c r="FQF136" s="547"/>
      <c r="FQG136" s="547"/>
      <c r="FQH136" s="547"/>
      <c r="FQI136" s="547"/>
      <c r="FQJ136" s="548"/>
      <c r="FQK136" s="547"/>
      <c r="FQL136" s="547"/>
      <c r="FQM136" s="547"/>
      <c r="FQN136" s="552"/>
      <c r="FQO136" s="548"/>
      <c r="FQP136" s="552"/>
      <c r="FQQ136" s="552"/>
      <c r="FQR136" s="552"/>
      <c r="FQS136" s="552"/>
      <c r="FQT136" s="548"/>
      <c r="FQU136" s="553"/>
      <c r="FQV136" s="553"/>
      <c r="FQW136" s="553"/>
      <c r="FQX136" s="8"/>
      <c r="FQY136" s="8"/>
      <c r="FQZ136" s="458"/>
      <c r="FRA136" s="8"/>
      <c r="FRB136" s="8"/>
      <c r="FRC136" s="547"/>
      <c r="FRD136" s="547"/>
      <c r="FRE136" s="547"/>
      <c r="FRF136" s="547"/>
      <c r="FRG136" s="548"/>
      <c r="FRH136" s="547"/>
      <c r="FRI136" s="547"/>
      <c r="FRJ136" s="547"/>
      <c r="FRK136" s="547"/>
      <c r="FRL136" s="548"/>
      <c r="FRM136" s="547"/>
      <c r="FRN136" s="547"/>
      <c r="FRO136" s="547"/>
      <c r="FRP136" s="547"/>
      <c r="FRQ136" s="548"/>
      <c r="FRR136" s="547"/>
      <c r="FRS136" s="547"/>
      <c r="FRT136" s="547"/>
      <c r="FRU136" s="552"/>
      <c r="FRV136" s="548"/>
      <c r="FRW136" s="552"/>
      <c r="FRX136" s="552"/>
      <c r="FRY136" s="552"/>
      <c r="FRZ136" s="552"/>
      <c r="FSA136" s="548"/>
      <c r="FSB136" s="553"/>
      <c r="FSC136" s="553"/>
      <c r="FSD136" s="553"/>
      <c r="FSE136" s="8"/>
      <c r="FSF136" s="8"/>
      <c r="FSG136" s="458"/>
      <c r="FSH136" s="8"/>
      <c r="FSI136" s="8"/>
      <c r="FSJ136" s="547"/>
      <c r="FSK136" s="547"/>
      <c r="FSL136" s="547"/>
      <c r="FSM136" s="547"/>
      <c r="FSN136" s="548"/>
      <c r="FSO136" s="547"/>
      <c r="FSP136" s="547"/>
      <c r="FSQ136" s="547"/>
      <c r="FSR136" s="547"/>
      <c r="FSS136" s="548"/>
      <c r="FST136" s="547"/>
      <c r="FSU136" s="547"/>
      <c r="FSV136" s="547"/>
      <c r="FSW136" s="547"/>
      <c r="FSX136" s="548"/>
      <c r="FSY136" s="547"/>
      <c r="FSZ136" s="547"/>
      <c r="FTA136" s="547"/>
      <c r="FTB136" s="552"/>
      <c r="FTC136" s="548"/>
      <c r="FTD136" s="552"/>
      <c r="FTE136" s="552"/>
      <c r="FTF136" s="552"/>
      <c r="FTG136" s="552"/>
      <c r="FTH136" s="548"/>
      <c r="FTI136" s="553"/>
      <c r="FTJ136" s="553"/>
      <c r="FTK136" s="553"/>
      <c r="FTL136" s="8"/>
      <c r="FTM136" s="8"/>
      <c r="FTN136" s="458"/>
      <c r="FTO136" s="8"/>
      <c r="FTP136" s="8"/>
      <c r="FTQ136" s="547"/>
      <c r="FTR136" s="547"/>
      <c r="FTS136" s="547"/>
      <c r="FTT136" s="547"/>
      <c r="FTU136" s="548"/>
      <c r="FTV136" s="547"/>
      <c r="FTW136" s="547"/>
      <c r="FTX136" s="547"/>
      <c r="FTY136" s="547"/>
      <c r="FTZ136" s="548"/>
      <c r="FUA136" s="547"/>
      <c r="FUB136" s="547"/>
      <c r="FUC136" s="547"/>
      <c r="FUD136" s="547"/>
      <c r="FUE136" s="548"/>
      <c r="FUF136" s="547"/>
      <c r="FUG136" s="547"/>
      <c r="FUH136" s="547"/>
      <c r="FUI136" s="552"/>
      <c r="FUJ136" s="548"/>
      <c r="FUK136" s="552"/>
      <c r="FUL136" s="552"/>
      <c r="FUM136" s="552"/>
      <c r="FUN136" s="552"/>
      <c r="FUO136" s="548"/>
      <c r="FUP136" s="553"/>
      <c r="FUQ136" s="553"/>
      <c r="FUR136" s="553"/>
      <c r="FUS136" s="8"/>
      <c r="FUT136" s="8"/>
      <c r="FUU136" s="458"/>
      <c r="FUV136" s="8"/>
      <c r="FUW136" s="8"/>
      <c r="FUX136" s="547"/>
      <c r="FUY136" s="547"/>
      <c r="FUZ136" s="547"/>
      <c r="FVA136" s="547"/>
      <c r="FVB136" s="548"/>
      <c r="FVC136" s="547"/>
      <c r="FVD136" s="547"/>
      <c r="FVE136" s="547"/>
      <c r="FVF136" s="547"/>
      <c r="FVG136" s="548"/>
      <c r="FVH136" s="547"/>
      <c r="FVI136" s="547"/>
      <c r="FVJ136" s="547"/>
      <c r="FVK136" s="547"/>
      <c r="FVL136" s="548"/>
      <c r="FVM136" s="547"/>
      <c r="FVN136" s="547"/>
      <c r="FVO136" s="547"/>
      <c r="FVP136" s="552"/>
      <c r="FVQ136" s="548"/>
      <c r="FVR136" s="552"/>
      <c r="FVS136" s="552"/>
      <c r="FVT136" s="552"/>
      <c r="FVU136" s="552"/>
      <c r="FVV136" s="548"/>
      <c r="FVW136" s="553"/>
      <c r="FVX136" s="553"/>
      <c r="FVY136" s="553"/>
      <c r="FVZ136" s="8"/>
      <c r="FWA136" s="8"/>
      <c r="FWB136" s="458"/>
      <c r="FWC136" s="8"/>
      <c r="FWD136" s="8"/>
      <c r="FWE136" s="547"/>
      <c r="FWF136" s="547"/>
      <c r="FWG136" s="547"/>
      <c r="FWH136" s="547"/>
      <c r="FWI136" s="548"/>
      <c r="FWJ136" s="547"/>
      <c r="FWK136" s="547"/>
      <c r="FWL136" s="547"/>
      <c r="FWM136" s="547"/>
      <c r="FWN136" s="548"/>
      <c r="FWO136" s="547"/>
      <c r="FWP136" s="547"/>
      <c r="FWQ136" s="547"/>
      <c r="FWR136" s="547"/>
      <c r="FWS136" s="548"/>
      <c r="FWT136" s="547"/>
      <c r="FWU136" s="547"/>
      <c r="FWV136" s="547"/>
      <c r="FWW136" s="552"/>
      <c r="FWX136" s="548"/>
      <c r="FWY136" s="552"/>
      <c r="FWZ136" s="552"/>
      <c r="FXA136" s="552"/>
      <c r="FXB136" s="552"/>
      <c r="FXC136" s="548"/>
      <c r="FXD136" s="553"/>
      <c r="FXE136" s="553"/>
      <c r="FXF136" s="553"/>
      <c r="FXG136" s="8"/>
      <c r="FXH136" s="8"/>
      <c r="FXI136" s="458"/>
      <c r="FXJ136" s="8"/>
      <c r="FXK136" s="8"/>
      <c r="FXL136" s="547"/>
      <c r="FXM136" s="547"/>
      <c r="FXN136" s="547"/>
      <c r="FXO136" s="547"/>
      <c r="FXP136" s="548"/>
      <c r="FXQ136" s="547"/>
      <c r="FXR136" s="547"/>
      <c r="FXS136" s="547"/>
      <c r="FXT136" s="547"/>
      <c r="FXU136" s="548"/>
      <c r="FXV136" s="547"/>
      <c r="FXW136" s="547"/>
      <c r="FXX136" s="547"/>
      <c r="FXY136" s="547"/>
      <c r="FXZ136" s="548"/>
      <c r="FYA136" s="547"/>
      <c r="FYB136" s="547"/>
      <c r="FYC136" s="547"/>
      <c r="FYD136" s="552"/>
      <c r="FYE136" s="548"/>
      <c r="FYF136" s="552"/>
      <c r="FYG136" s="552"/>
      <c r="FYH136" s="552"/>
      <c r="FYI136" s="552"/>
      <c r="FYJ136" s="548"/>
      <c r="FYK136" s="553"/>
      <c r="FYL136" s="553"/>
      <c r="FYM136" s="553"/>
      <c r="FYN136" s="8"/>
      <c r="FYO136" s="8"/>
      <c r="FYP136" s="458"/>
      <c r="FYQ136" s="8"/>
      <c r="FYR136" s="8"/>
      <c r="FYS136" s="547"/>
      <c r="FYT136" s="547"/>
      <c r="FYU136" s="547"/>
      <c r="FYV136" s="547"/>
      <c r="FYW136" s="548"/>
      <c r="FYX136" s="547"/>
      <c r="FYY136" s="547"/>
      <c r="FYZ136" s="547"/>
      <c r="FZA136" s="547"/>
      <c r="FZB136" s="548"/>
      <c r="FZC136" s="547"/>
      <c r="FZD136" s="547"/>
      <c r="FZE136" s="547"/>
      <c r="FZF136" s="547"/>
      <c r="FZG136" s="548"/>
      <c r="FZH136" s="547"/>
      <c r="FZI136" s="547"/>
      <c r="FZJ136" s="547"/>
      <c r="FZK136" s="552"/>
      <c r="FZL136" s="548"/>
      <c r="FZM136" s="552"/>
      <c r="FZN136" s="552"/>
      <c r="FZO136" s="552"/>
      <c r="FZP136" s="552"/>
      <c r="FZQ136" s="548"/>
      <c r="FZR136" s="553"/>
      <c r="FZS136" s="553"/>
      <c r="FZT136" s="553"/>
      <c r="FZU136" s="8"/>
      <c r="FZV136" s="8"/>
      <c r="FZW136" s="458"/>
      <c r="FZX136" s="8"/>
      <c r="FZY136" s="8"/>
      <c r="FZZ136" s="547"/>
      <c r="GAA136" s="547"/>
      <c r="GAB136" s="547"/>
      <c r="GAC136" s="547"/>
      <c r="GAD136" s="548"/>
      <c r="GAE136" s="547"/>
      <c r="GAF136" s="547"/>
      <c r="GAG136" s="547"/>
      <c r="GAH136" s="547"/>
      <c r="GAI136" s="548"/>
      <c r="GAJ136" s="547"/>
      <c r="GAK136" s="547"/>
      <c r="GAL136" s="547"/>
      <c r="GAM136" s="547"/>
      <c r="GAN136" s="548"/>
      <c r="GAO136" s="547"/>
      <c r="GAP136" s="547"/>
      <c r="GAQ136" s="547"/>
      <c r="GAR136" s="552"/>
      <c r="GAS136" s="548"/>
      <c r="GAT136" s="552"/>
      <c r="GAU136" s="552"/>
      <c r="GAV136" s="552"/>
      <c r="GAW136" s="552"/>
      <c r="GAX136" s="548"/>
      <c r="GAY136" s="553"/>
      <c r="GAZ136" s="553"/>
      <c r="GBA136" s="553"/>
      <c r="GBB136" s="8"/>
      <c r="GBC136" s="8"/>
      <c r="GBD136" s="458"/>
      <c r="GBE136" s="8"/>
      <c r="GBF136" s="8"/>
      <c r="GBG136" s="547"/>
      <c r="GBH136" s="547"/>
      <c r="GBI136" s="547"/>
      <c r="GBJ136" s="547"/>
      <c r="GBK136" s="548"/>
      <c r="GBL136" s="547"/>
      <c r="GBM136" s="547"/>
      <c r="GBN136" s="547"/>
      <c r="GBO136" s="547"/>
      <c r="GBP136" s="548"/>
      <c r="GBQ136" s="547"/>
      <c r="GBR136" s="547"/>
      <c r="GBS136" s="547"/>
      <c r="GBT136" s="547"/>
      <c r="GBU136" s="548"/>
      <c r="GBV136" s="547"/>
      <c r="GBW136" s="547"/>
      <c r="GBX136" s="547"/>
      <c r="GBY136" s="552"/>
      <c r="GBZ136" s="548"/>
      <c r="GCA136" s="552"/>
      <c r="GCB136" s="552"/>
      <c r="GCC136" s="552"/>
      <c r="GCD136" s="552"/>
      <c r="GCE136" s="548"/>
      <c r="GCF136" s="553"/>
      <c r="GCG136" s="553"/>
      <c r="GCH136" s="553"/>
      <c r="GCI136" s="8"/>
      <c r="GCJ136" s="8"/>
      <c r="GCK136" s="458"/>
      <c r="GCL136" s="8"/>
      <c r="GCM136" s="8"/>
      <c r="GCN136" s="547"/>
      <c r="GCO136" s="547"/>
      <c r="GCP136" s="547"/>
      <c r="GCQ136" s="547"/>
      <c r="GCR136" s="548"/>
      <c r="GCS136" s="547"/>
      <c r="GCT136" s="547"/>
      <c r="GCU136" s="547"/>
      <c r="GCV136" s="547"/>
      <c r="GCW136" s="548"/>
      <c r="GCX136" s="547"/>
      <c r="GCY136" s="547"/>
      <c r="GCZ136" s="547"/>
      <c r="GDA136" s="547"/>
      <c r="GDB136" s="548"/>
      <c r="GDC136" s="547"/>
      <c r="GDD136" s="547"/>
      <c r="GDE136" s="547"/>
      <c r="GDF136" s="552"/>
      <c r="GDG136" s="548"/>
      <c r="GDH136" s="552"/>
      <c r="GDI136" s="552"/>
      <c r="GDJ136" s="552"/>
      <c r="GDK136" s="552"/>
      <c r="GDL136" s="548"/>
      <c r="GDM136" s="553"/>
      <c r="GDN136" s="553"/>
      <c r="GDO136" s="553"/>
      <c r="GDP136" s="8"/>
      <c r="GDQ136" s="8"/>
      <c r="GDR136" s="458"/>
      <c r="GDS136" s="8"/>
      <c r="GDT136" s="8"/>
      <c r="GDU136" s="547"/>
      <c r="GDV136" s="547"/>
      <c r="GDW136" s="547"/>
      <c r="GDX136" s="547"/>
      <c r="GDY136" s="548"/>
      <c r="GDZ136" s="547"/>
      <c r="GEA136" s="547"/>
      <c r="GEB136" s="547"/>
      <c r="GEC136" s="547"/>
      <c r="GED136" s="548"/>
      <c r="GEE136" s="547"/>
      <c r="GEF136" s="547"/>
      <c r="GEG136" s="547"/>
      <c r="GEH136" s="547"/>
      <c r="GEI136" s="548"/>
      <c r="GEJ136" s="547"/>
      <c r="GEK136" s="547"/>
      <c r="GEL136" s="547"/>
      <c r="GEM136" s="552"/>
      <c r="GEN136" s="548"/>
      <c r="GEO136" s="552"/>
      <c r="GEP136" s="552"/>
      <c r="GEQ136" s="552"/>
      <c r="GER136" s="552"/>
      <c r="GES136" s="548"/>
      <c r="GET136" s="553"/>
      <c r="GEU136" s="553"/>
      <c r="GEV136" s="553"/>
      <c r="GEW136" s="8"/>
      <c r="GEX136" s="8"/>
      <c r="GEY136" s="458"/>
      <c r="GEZ136" s="8"/>
      <c r="GFA136" s="8"/>
      <c r="GFB136" s="547"/>
      <c r="GFC136" s="547"/>
      <c r="GFD136" s="547"/>
      <c r="GFE136" s="547"/>
      <c r="GFF136" s="548"/>
      <c r="GFG136" s="547"/>
      <c r="GFH136" s="547"/>
      <c r="GFI136" s="547"/>
      <c r="GFJ136" s="547"/>
      <c r="GFK136" s="548"/>
      <c r="GFL136" s="547"/>
      <c r="GFM136" s="547"/>
      <c r="GFN136" s="547"/>
      <c r="GFO136" s="547"/>
      <c r="GFP136" s="548"/>
      <c r="GFQ136" s="547"/>
      <c r="GFR136" s="547"/>
      <c r="GFS136" s="547"/>
      <c r="GFT136" s="552"/>
      <c r="GFU136" s="548"/>
      <c r="GFV136" s="552"/>
      <c r="GFW136" s="552"/>
      <c r="GFX136" s="552"/>
      <c r="GFY136" s="552"/>
      <c r="GFZ136" s="548"/>
      <c r="GGA136" s="553"/>
      <c r="GGB136" s="553"/>
      <c r="GGC136" s="553"/>
      <c r="GGD136" s="8"/>
      <c r="GGE136" s="8"/>
      <c r="GGF136" s="458"/>
      <c r="GGG136" s="8"/>
      <c r="GGH136" s="8"/>
      <c r="GGI136" s="547"/>
      <c r="GGJ136" s="547"/>
      <c r="GGK136" s="547"/>
      <c r="GGL136" s="547"/>
      <c r="GGM136" s="548"/>
      <c r="GGN136" s="547"/>
      <c r="GGO136" s="547"/>
      <c r="GGP136" s="547"/>
      <c r="GGQ136" s="547"/>
      <c r="GGR136" s="548"/>
      <c r="GGS136" s="547"/>
      <c r="GGT136" s="547"/>
      <c r="GGU136" s="547"/>
      <c r="GGV136" s="547"/>
      <c r="GGW136" s="548"/>
      <c r="GGX136" s="547"/>
      <c r="GGY136" s="547"/>
      <c r="GGZ136" s="547"/>
      <c r="GHA136" s="552"/>
      <c r="GHB136" s="548"/>
      <c r="GHC136" s="552"/>
      <c r="GHD136" s="552"/>
      <c r="GHE136" s="552"/>
      <c r="GHF136" s="552"/>
      <c r="GHG136" s="548"/>
      <c r="GHH136" s="553"/>
      <c r="GHI136" s="553"/>
      <c r="GHJ136" s="553"/>
      <c r="GHK136" s="8"/>
      <c r="GHL136" s="8"/>
      <c r="GHM136" s="458"/>
      <c r="GHN136" s="8"/>
      <c r="GHO136" s="8"/>
      <c r="GHP136" s="547"/>
      <c r="GHQ136" s="547"/>
      <c r="GHR136" s="547"/>
      <c r="GHS136" s="547"/>
      <c r="GHT136" s="548"/>
      <c r="GHU136" s="547"/>
      <c r="GHV136" s="547"/>
      <c r="GHW136" s="547"/>
      <c r="GHX136" s="547"/>
      <c r="GHY136" s="548"/>
      <c r="GHZ136" s="547"/>
      <c r="GIA136" s="547"/>
      <c r="GIB136" s="547"/>
      <c r="GIC136" s="547"/>
      <c r="GID136" s="548"/>
      <c r="GIE136" s="547"/>
      <c r="GIF136" s="547"/>
      <c r="GIG136" s="547"/>
      <c r="GIH136" s="552"/>
      <c r="GII136" s="548"/>
      <c r="GIJ136" s="552"/>
      <c r="GIK136" s="552"/>
      <c r="GIL136" s="552"/>
      <c r="GIM136" s="552"/>
      <c r="GIN136" s="548"/>
      <c r="GIO136" s="553"/>
      <c r="GIP136" s="553"/>
      <c r="GIQ136" s="553"/>
      <c r="GIR136" s="8"/>
      <c r="GIS136" s="8"/>
      <c r="GIT136" s="458"/>
      <c r="GIU136" s="8"/>
      <c r="GIV136" s="8"/>
      <c r="GIW136" s="547"/>
      <c r="GIX136" s="547"/>
      <c r="GIY136" s="547"/>
      <c r="GIZ136" s="547"/>
      <c r="GJA136" s="548"/>
      <c r="GJB136" s="547"/>
      <c r="GJC136" s="547"/>
      <c r="GJD136" s="547"/>
      <c r="GJE136" s="547"/>
      <c r="GJF136" s="548"/>
      <c r="GJG136" s="547"/>
      <c r="GJH136" s="547"/>
      <c r="GJI136" s="547"/>
      <c r="GJJ136" s="547"/>
      <c r="GJK136" s="548"/>
      <c r="GJL136" s="547"/>
      <c r="GJM136" s="547"/>
      <c r="GJN136" s="547"/>
      <c r="GJO136" s="552"/>
      <c r="GJP136" s="548"/>
      <c r="GJQ136" s="552"/>
      <c r="GJR136" s="552"/>
      <c r="GJS136" s="552"/>
      <c r="GJT136" s="552"/>
      <c r="GJU136" s="548"/>
      <c r="GJV136" s="553"/>
      <c r="GJW136" s="553"/>
      <c r="GJX136" s="553"/>
      <c r="GJY136" s="8"/>
      <c r="GJZ136" s="8"/>
      <c r="GKA136" s="458"/>
      <c r="GKB136" s="8"/>
      <c r="GKC136" s="8"/>
      <c r="GKD136" s="547"/>
      <c r="GKE136" s="547"/>
      <c r="GKF136" s="547"/>
      <c r="GKG136" s="547"/>
      <c r="GKH136" s="548"/>
      <c r="GKI136" s="547"/>
      <c r="GKJ136" s="547"/>
      <c r="GKK136" s="547"/>
      <c r="GKL136" s="547"/>
      <c r="GKM136" s="548"/>
      <c r="GKN136" s="547"/>
      <c r="GKO136" s="547"/>
      <c r="GKP136" s="547"/>
      <c r="GKQ136" s="547"/>
      <c r="GKR136" s="548"/>
      <c r="GKS136" s="547"/>
      <c r="GKT136" s="547"/>
      <c r="GKU136" s="547"/>
      <c r="GKV136" s="552"/>
      <c r="GKW136" s="548"/>
      <c r="GKX136" s="552"/>
      <c r="GKY136" s="552"/>
      <c r="GKZ136" s="552"/>
      <c r="GLA136" s="552"/>
      <c r="GLB136" s="548"/>
      <c r="GLC136" s="553"/>
      <c r="GLD136" s="553"/>
      <c r="GLE136" s="553"/>
      <c r="GLF136" s="8"/>
      <c r="GLG136" s="8"/>
      <c r="GLH136" s="458"/>
      <c r="GLI136" s="8"/>
      <c r="GLJ136" s="8"/>
      <c r="GLK136" s="547"/>
      <c r="GLL136" s="547"/>
      <c r="GLM136" s="547"/>
      <c r="GLN136" s="547"/>
      <c r="GLO136" s="548"/>
      <c r="GLP136" s="547"/>
      <c r="GLQ136" s="547"/>
      <c r="GLR136" s="547"/>
      <c r="GLS136" s="547"/>
      <c r="GLT136" s="548"/>
      <c r="GLU136" s="547"/>
      <c r="GLV136" s="547"/>
      <c r="GLW136" s="547"/>
      <c r="GLX136" s="547"/>
      <c r="GLY136" s="548"/>
      <c r="GLZ136" s="547"/>
      <c r="GMA136" s="547"/>
      <c r="GMB136" s="547"/>
      <c r="GMC136" s="552"/>
      <c r="GMD136" s="548"/>
      <c r="GME136" s="552"/>
      <c r="GMF136" s="552"/>
      <c r="GMG136" s="552"/>
      <c r="GMH136" s="552"/>
      <c r="GMI136" s="548"/>
      <c r="GMJ136" s="553"/>
      <c r="GMK136" s="553"/>
      <c r="GML136" s="553"/>
      <c r="GMM136" s="8"/>
      <c r="GMN136" s="8"/>
      <c r="GMO136" s="458"/>
      <c r="GMP136" s="8"/>
      <c r="GMQ136" s="8"/>
      <c r="GMR136" s="547"/>
      <c r="GMS136" s="547"/>
      <c r="GMT136" s="547"/>
      <c r="GMU136" s="547"/>
      <c r="GMV136" s="548"/>
      <c r="GMW136" s="547"/>
      <c r="GMX136" s="547"/>
      <c r="GMY136" s="547"/>
      <c r="GMZ136" s="547"/>
      <c r="GNA136" s="548"/>
      <c r="GNB136" s="547"/>
      <c r="GNC136" s="547"/>
      <c r="GND136" s="547"/>
      <c r="GNE136" s="547"/>
      <c r="GNF136" s="548"/>
      <c r="GNG136" s="547"/>
      <c r="GNH136" s="547"/>
      <c r="GNI136" s="547"/>
      <c r="GNJ136" s="552"/>
      <c r="GNK136" s="548"/>
      <c r="GNL136" s="552"/>
      <c r="GNM136" s="552"/>
      <c r="GNN136" s="552"/>
      <c r="GNO136" s="552"/>
      <c r="GNP136" s="548"/>
      <c r="GNQ136" s="553"/>
      <c r="GNR136" s="553"/>
      <c r="GNS136" s="553"/>
      <c r="GNT136" s="8"/>
      <c r="GNU136" s="8"/>
      <c r="GNV136" s="458"/>
      <c r="GNW136" s="8"/>
      <c r="GNX136" s="8"/>
      <c r="GNY136" s="547"/>
      <c r="GNZ136" s="547"/>
      <c r="GOA136" s="547"/>
      <c r="GOB136" s="547"/>
      <c r="GOC136" s="548"/>
      <c r="GOD136" s="547"/>
      <c r="GOE136" s="547"/>
      <c r="GOF136" s="547"/>
      <c r="GOG136" s="547"/>
      <c r="GOH136" s="548"/>
      <c r="GOI136" s="547"/>
      <c r="GOJ136" s="547"/>
      <c r="GOK136" s="547"/>
      <c r="GOL136" s="547"/>
      <c r="GOM136" s="548"/>
      <c r="GON136" s="547"/>
      <c r="GOO136" s="547"/>
      <c r="GOP136" s="547"/>
      <c r="GOQ136" s="552"/>
      <c r="GOR136" s="548"/>
      <c r="GOS136" s="552"/>
      <c r="GOT136" s="552"/>
      <c r="GOU136" s="552"/>
      <c r="GOV136" s="552"/>
      <c r="GOW136" s="548"/>
      <c r="GOX136" s="553"/>
      <c r="GOY136" s="553"/>
      <c r="GOZ136" s="553"/>
      <c r="GPA136" s="8"/>
      <c r="GPB136" s="8"/>
      <c r="GPC136" s="458"/>
      <c r="GPD136" s="8"/>
      <c r="GPE136" s="8"/>
      <c r="GPF136" s="547"/>
      <c r="GPG136" s="547"/>
      <c r="GPH136" s="547"/>
      <c r="GPI136" s="547"/>
      <c r="GPJ136" s="548"/>
      <c r="GPK136" s="547"/>
      <c r="GPL136" s="547"/>
      <c r="GPM136" s="547"/>
      <c r="GPN136" s="547"/>
      <c r="GPO136" s="548"/>
      <c r="GPP136" s="547"/>
      <c r="GPQ136" s="547"/>
      <c r="GPR136" s="547"/>
      <c r="GPS136" s="547"/>
      <c r="GPT136" s="548"/>
      <c r="GPU136" s="547"/>
      <c r="GPV136" s="547"/>
      <c r="GPW136" s="547"/>
      <c r="GPX136" s="552"/>
      <c r="GPY136" s="548"/>
      <c r="GPZ136" s="552"/>
      <c r="GQA136" s="552"/>
      <c r="GQB136" s="552"/>
      <c r="GQC136" s="552"/>
      <c r="GQD136" s="548"/>
      <c r="GQE136" s="553"/>
      <c r="GQF136" s="553"/>
      <c r="GQG136" s="553"/>
      <c r="GQH136" s="8"/>
      <c r="GQI136" s="8"/>
      <c r="GQJ136" s="458"/>
      <c r="GQK136" s="8"/>
      <c r="GQL136" s="8"/>
      <c r="GQM136" s="547"/>
      <c r="GQN136" s="547"/>
      <c r="GQO136" s="547"/>
      <c r="GQP136" s="547"/>
      <c r="GQQ136" s="548"/>
      <c r="GQR136" s="547"/>
      <c r="GQS136" s="547"/>
      <c r="GQT136" s="547"/>
      <c r="GQU136" s="547"/>
      <c r="GQV136" s="548"/>
      <c r="GQW136" s="547"/>
      <c r="GQX136" s="547"/>
      <c r="GQY136" s="547"/>
      <c r="GQZ136" s="547"/>
      <c r="GRA136" s="548"/>
      <c r="GRB136" s="547"/>
      <c r="GRC136" s="547"/>
      <c r="GRD136" s="547"/>
      <c r="GRE136" s="552"/>
      <c r="GRF136" s="548"/>
      <c r="GRG136" s="552"/>
      <c r="GRH136" s="552"/>
      <c r="GRI136" s="552"/>
      <c r="GRJ136" s="552"/>
      <c r="GRK136" s="548"/>
      <c r="GRL136" s="553"/>
      <c r="GRM136" s="553"/>
      <c r="GRN136" s="553"/>
      <c r="GRO136" s="8"/>
      <c r="GRP136" s="8"/>
      <c r="GRQ136" s="458"/>
      <c r="GRR136" s="8"/>
      <c r="GRS136" s="8"/>
      <c r="GRT136" s="547"/>
      <c r="GRU136" s="547"/>
      <c r="GRV136" s="547"/>
      <c r="GRW136" s="547"/>
      <c r="GRX136" s="548"/>
      <c r="GRY136" s="547"/>
      <c r="GRZ136" s="547"/>
      <c r="GSA136" s="547"/>
      <c r="GSB136" s="547"/>
      <c r="GSC136" s="548"/>
      <c r="GSD136" s="547"/>
      <c r="GSE136" s="547"/>
      <c r="GSF136" s="547"/>
      <c r="GSG136" s="547"/>
      <c r="GSH136" s="548"/>
      <c r="GSI136" s="547"/>
      <c r="GSJ136" s="547"/>
      <c r="GSK136" s="547"/>
      <c r="GSL136" s="552"/>
      <c r="GSM136" s="548"/>
      <c r="GSN136" s="552"/>
      <c r="GSO136" s="552"/>
      <c r="GSP136" s="552"/>
      <c r="GSQ136" s="552"/>
      <c r="GSR136" s="548"/>
      <c r="GSS136" s="553"/>
      <c r="GST136" s="553"/>
      <c r="GSU136" s="553"/>
      <c r="GSV136" s="8"/>
      <c r="GSW136" s="8"/>
      <c r="GSX136" s="458"/>
      <c r="GSY136" s="8"/>
      <c r="GSZ136" s="8"/>
      <c r="GTA136" s="547"/>
      <c r="GTB136" s="547"/>
      <c r="GTC136" s="547"/>
      <c r="GTD136" s="547"/>
      <c r="GTE136" s="548"/>
      <c r="GTF136" s="547"/>
      <c r="GTG136" s="547"/>
      <c r="GTH136" s="547"/>
      <c r="GTI136" s="547"/>
      <c r="GTJ136" s="548"/>
      <c r="GTK136" s="547"/>
      <c r="GTL136" s="547"/>
      <c r="GTM136" s="547"/>
      <c r="GTN136" s="547"/>
      <c r="GTO136" s="548"/>
      <c r="GTP136" s="547"/>
      <c r="GTQ136" s="547"/>
      <c r="GTR136" s="547"/>
      <c r="GTS136" s="552"/>
      <c r="GTT136" s="548"/>
      <c r="GTU136" s="552"/>
      <c r="GTV136" s="552"/>
      <c r="GTW136" s="552"/>
      <c r="GTX136" s="552"/>
      <c r="GTY136" s="548"/>
      <c r="GTZ136" s="553"/>
      <c r="GUA136" s="553"/>
      <c r="GUB136" s="553"/>
      <c r="GUC136" s="8"/>
      <c r="GUD136" s="8"/>
      <c r="GUE136" s="458"/>
      <c r="GUF136" s="8"/>
      <c r="GUG136" s="8"/>
      <c r="GUH136" s="547"/>
      <c r="GUI136" s="547"/>
      <c r="GUJ136" s="547"/>
      <c r="GUK136" s="547"/>
      <c r="GUL136" s="548"/>
      <c r="GUM136" s="547"/>
      <c r="GUN136" s="547"/>
      <c r="GUO136" s="547"/>
      <c r="GUP136" s="547"/>
      <c r="GUQ136" s="548"/>
      <c r="GUR136" s="547"/>
      <c r="GUS136" s="547"/>
      <c r="GUT136" s="547"/>
      <c r="GUU136" s="547"/>
      <c r="GUV136" s="548"/>
      <c r="GUW136" s="547"/>
      <c r="GUX136" s="547"/>
      <c r="GUY136" s="547"/>
      <c r="GUZ136" s="552"/>
      <c r="GVA136" s="548"/>
      <c r="GVB136" s="552"/>
      <c r="GVC136" s="552"/>
      <c r="GVD136" s="552"/>
      <c r="GVE136" s="552"/>
      <c r="GVF136" s="548"/>
      <c r="GVG136" s="553"/>
      <c r="GVH136" s="553"/>
      <c r="GVI136" s="553"/>
      <c r="GVJ136" s="8"/>
      <c r="GVK136" s="8"/>
      <c r="GVL136" s="458"/>
      <c r="GVM136" s="8"/>
      <c r="GVN136" s="8"/>
      <c r="GVO136" s="547"/>
      <c r="GVP136" s="547"/>
      <c r="GVQ136" s="547"/>
      <c r="GVR136" s="547"/>
      <c r="GVS136" s="548"/>
      <c r="GVT136" s="547"/>
      <c r="GVU136" s="547"/>
      <c r="GVV136" s="547"/>
      <c r="GVW136" s="547"/>
      <c r="GVX136" s="548"/>
      <c r="GVY136" s="547"/>
      <c r="GVZ136" s="547"/>
      <c r="GWA136" s="547"/>
      <c r="GWB136" s="547"/>
      <c r="GWC136" s="548"/>
      <c r="GWD136" s="547"/>
      <c r="GWE136" s="547"/>
      <c r="GWF136" s="547"/>
      <c r="GWG136" s="552"/>
      <c r="GWH136" s="548"/>
      <c r="GWI136" s="552"/>
      <c r="GWJ136" s="552"/>
      <c r="GWK136" s="552"/>
      <c r="GWL136" s="552"/>
      <c r="GWM136" s="548"/>
      <c r="GWN136" s="553"/>
      <c r="GWO136" s="553"/>
      <c r="GWP136" s="553"/>
      <c r="GWQ136" s="8"/>
      <c r="GWR136" s="8"/>
      <c r="GWS136" s="458"/>
      <c r="GWT136" s="8"/>
      <c r="GWU136" s="8"/>
      <c r="GWV136" s="547"/>
      <c r="GWW136" s="547"/>
      <c r="GWX136" s="547"/>
      <c r="GWY136" s="547"/>
      <c r="GWZ136" s="548"/>
      <c r="GXA136" s="547"/>
      <c r="GXB136" s="547"/>
      <c r="GXC136" s="547"/>
      <c r="GXD136" s="547"/>
      <c r="GXE136" s="548"/>
      <c r="GXF136" s="547"/>
      <c r="GXG136" s="547"/>
      <c r="GXH136" s="547"/>
      <c r="GXI136" s="547"/>
      <c r="GXJ136" s="548"/>
      <c r="GXK136" s="547"/>
      <c r="GXL136" s="547"/>
      <c r="GXM136" s="547"/>
      <c r="GXN136" s="552"/>
      <c r="GXO136" s="548"/>
      <c r="GXP136" s="552"/>
      <c r="GXQ136" s="552"/>
      <c r="GXR136" s="552"/>
      <c r="GXS136" s="552"/>
      <c r="GXT136" s="548"/>
      <c r="GXU136" s="553"/>
      <c r="GXV136" s="553"/>
      <c r="GXW136" s="553"/>
      <c r="GXX136" s="8"/>
      <c r="GXY136" s="8"/>
      <c r="GXZ136" s="458"/>
      <c r="GYA136" s="8"/>
      <c r="GYB136" s="8"/>
      <c r="GYC136" s="547"/>
      <c r="GYD136" s="547"/>
      <c r="GYE136" s="547"/>
      <c r="GYF136" s="547"/>
      <c r="GYG136" s="548"/>
      <c r="GYH136" s="547"/>
      <c r="GYI136" s="547"/>
      <c r="GYJ136" s="547"/>
      <c r="GYK136" s="547"/>
      <c r="GYL136" s="548"/>
      <c r="GYM136" s="547"/>
      <c r="GYN136" s="547"/>
      <c r="GYO136" s="547"/>
      <c r="GYP136" s="547"/>
      <c r="GYQ136" s="548"/>
      <c r="GYR136" s="547"/>
      <c r="GYS136" s="547"/>
      <c r="GYT136" s="547"/>
      <c r="GYU136" s="552"/>
      <c r="GYV136" s="548"/>
      <c r="GYW136" s="552"/>
      <c r="GYX136" s="552"/>
      <c r="GYY136" s="552"/>
      <c r="GYZ136" s="552"/>
      <c r="GZA136" s="548"/>
      <c r="GZB136" s="553"/>
      <c r="GZC136" s="553"/>
      <c r="GZD136" s="553"/>
      <c r="GZE136" s="8"/>
      <c r="GZF136" s="8"/>
      <c r="GZG136" s="458"/>
      <c r="GZH136" s="8"/>
      <c r="GZI136" s="8"/>
      <c r="GZJ136" s="547"/>
      <c r="GZK136" s="547"/>
      <c r="GZL136" s="547"/>
      <c r="GZM136" s="547"/>
      <c r="GZN136" s="548"/>
      <c r="GZO136" s="547"/>
      <c r="GZP136" s="547"/>
      <c r="GZQ136" s="547"/>
      <c r="GZR136" s="547"/>
      <c r="GZS136" s="548"/>
      <c r="GZT136" s="547"/>
      <c r="GZU136" s="547"/>
      <c r="GZV136" s="547"/>
      <c r="GZW136" s="547"/>
      <c r="GZX136" s="548"/>
      <c r="GZY136" s="547"/>
      <c r="GZZ136" s="547"/>
      <c r="HAA136" s="547"/>
      <c r="HAB136" s="552"/>
      <c r="HAC136" s="548"/>
      <c r="HAD136" s="552"/>
      <c r="HAE136" s="552"/>
      <c r="HAF136" s="552"/>
      <c r="HAG136" s="552"/>
      <c r="HAH136" s="548"/>
      <c r="HAI136" s="553"/>
      <c r="HAJ136" s="553"/>
      <c r="HAK136" s="553"/>
      <c r="HAL136" s="8"/>
      <c r="HAM136" s="8"/>
      <c r="HAN136" s="458"/>
      <c r="HAO136" s="8"/>
      <c r="HAP136" s="8"/>
      <c r="HAQ136" s="547"/>
      <c r="HAR136" s="547"/>
      <c r="HAS136" s="547"/>
      <c r="HAT136" s="547"/>
      <c r="HAU136" s="548"/>
      <c r="HAV136" s="547"/>
      <c r="HAW136" s="547"/>
      <c r="HAX136" s="547"/>
      <c r="HAY136" s="547"/>
      <c r="HAZ136" s="548"/>
      <c r="HBA136" s="547"/>
      <c r="HBB136" s="547"/>
      <c r="HBC136" s="547"/>
      <c r="HBD136" s="547"/>
      <c r="HBE136" s="548"/>
      <c r="HBF136" s="547"/>
      <c r="HBG136" s="547"/>
      <c r="HBH136" s="547"/>
      <c r="HBI136" s="552"/>
      <c r="HBJ136" s="548"/>
      <c r="HBK136" s="552"/>
      <c r="HBL136" s="552"/>
      <c r="HBM136" s="552"/>
      <c r="HBN136" s="552"/>
      <c r="HBO136" s="548"/>
      <c r="HBP136" s="553"/>
      <c r="HBQ136" s="553"/>
      <c r="HBR136" s="553"/>
      <c r="HBS136" s="8"/>
      <c r="HBT136" s="8"/>
      <c r="HBU136" s="458"/>
      <c r="HBV136" s="8"/>
      <c r="HBW136" s="8"/>
      <c r="HBX136" s="547"/>
      <c r="HBY136" s="547"/>
      <c r="HBZ136" s="547"/>
      <c r="HCA136" s="547"/>
      <c r="HCB136" s="548"/>
      <c r="HCC136" s="547"/>
      <c r="HCD136" s="547"/>
      <c r="HCE136" s="547"/>
      <c r="HCF136" s="547"/>
      <c r="HCG136" s="548"/>
      <c r="HCH136" s="547"/>
      <c r="HCI136" s="547"/>
      <c r="HCJ136" s="547"/>
      <c r="HCK136" s="547"/>
      <c r="HCL136" s="548"/>
      <c r="HCM136" s="547"/>
      <c r="HCN136" s="547"/>
      <c r="HCO136" s="547"/>
      <c r="HCP136" s="552"/>
      <c r="HCQ136" s="548"/>
      <c r="HCR136" s="552"/>
      <c r="HCS136" s="552"/>
      <c r="HCT136" s="552"/>
      <c r="HCU136" s="552"/>
      <c r="HCV136" s="548"/>
      <c r="HCW136" s="553"/>
      <c r="HCX136" s="553"/>
      <c r="HCY136" s="553"/>
      <c r="HCZ136" s="8"/>
      <c r="HDA136" s="8"/>
      <c r="HDB136" s="458"/>
      <c r="HDC136" s="8"/>
      <c r="HDD136" s="8"/>
      <c r="HDE136" s="547"/>
      <c r="HDF136" s="547"/>
      <c r="HDG136" s="547"/>
      <c r="HDH136" s="547"/>
      <c r="HDI136" s="548"/>
      <c r="HDJ136" s="547"/>
      <c r="HDK136" s="547"/>
      <c r="HDL136" s="547"/>
      <c r="HDM136" s="547"/>
      <c r="HDN136" s="548"/>
      <c r="HDO136" s="547"/>
      <c r="HDP136" s="547"/>
      <c r="HDQ136" s="547"/>
      <c r="HDR136" s="547"/>
      <c r="HDS136" s="548"/>
      <c r="HDT136" s="547"/>
      <c r="HDU136" s="547"/>
      <c r="HDV136" s="547"/>
      <c r="HDW136" s="552"/>
      <c r="HDX136" s="548"/>
      <c r="HDY136" s="552"/>
      <c r="HDZ136" s="552"/>
      <c r="HEA136" s="552"/>
      <c r="HEB136" s="552"/>
      <c r="HEC136" s="548"/>
      <c r="HED136" s="553"/>
      <c r="HEE136" s="553"/>
      <c r="HEF136" s="553"/>
      <c r="HEG136" s="8"/>
      <c r="HEH136" s="8"/>
      <c r="HEI136" s="458"/>
      <c r="HEJ136" s="8"/>
      <c r="HEK136" s="8"/>
      <c r="HEL136" s="547"/>
      <c r="HEM136" s="547"/>
      <c r="HEN136" s="547"/>
      <c r="HEO136" s="547"/>
      <c r="HEP136" s="548"/>
      <c r="HEQ136" s="547"/>
      <c r="HER136" s="547"/>
      <c r="HES136" s="547"/>
      <c r="HET136" s="547"/>
      <c r="HEU136" s="548"/>
      <c r="HEV136" s="547"/>
      <c r="HEW136" s="547"/>
      <c r="HEX136" s="547"/>
      <c r="HEY136" s="547"/>
      <c r="HEZ136" s="548"/>
      <c r="HFA136" s="547"/>
      <c r="HFB136" s="547"/>
      <c r="HFC136" s="547"/>
      <c r="HFD136" s="552"/>
      <c r="HFE136" s="548"/>
      <c r="HFF136" s="552"/>
      <c r="HFG136" s="552"/>
      <c r="HFH136" s="552"/>
      <c r="HFI136" s="552"/>
      <c r="HFJ136" s="548"/>
      <c r="HFK136" s="553"/>
      <c r="HFL136" s="553"/>
      <c r="HFM136" s="553"/>
      <c r="HFN136" s="8"/>
      <c r="HFO136" s="8"/>
      <c r="HFP136" s="458"/>
      <c r="HFQ136" s="8"/>
      <c r="HFR136" s="8"/>
      <c r="HFS136" s="547"/>
      <c r="HFT136" s="547"/>
      <c r="HFU136" s="547"/>
      <c r="HFV136" s="547"/>
      <c r="HFW136" s="548"/>
      <c r="HFX136" s="547"/>
      <c r="HFY136" s="547"/>
      <c r="HFZ136" s="547"/>
      <c r="HGA136" s="547"/>
      <c r="HGB136" s="548"/>
      <c r="HGC136" s="547"/>
      <c r="HGD136" s="547"/>
      <c r="HGE136" s="547"/>
      <c r="HGF136" s="547"/>
      <c r="HGG136" s="548"/>
      <c r="HGH136" s="547"/>
      <c r="HGI136" s="547"/>
      <c r="HGJ136" s="547"/>
      <c r="HGK136" s="552"/>
      <c r="HGL136" s="548"/>
      <c r="HGM136" s="552"/>
      <c r="HGN136" s="552"/>
      <c r="HGO136" s="552"/>
      <c r="HGP136" s="552"/>
      <c r="HGQ136" s="548"/>
      <c r="HGR136" s="553"/>
      <c r="HGS136" s="553"/>
      <c r="HGT136" s="553"/>
      <c r="HGU136" s="8"/>
      <c r="HGV136" s="8"/>
      <c r="HGW136" s="458"/>
      <c r="HGX136" s="8"/>
      <c r="HGY136" s="8"/>
      <c r="HGZ136" s="547"/>
      <c r="HHA136" s="547"/>
      <c r="HHB136" s="547"/>
      <c r="HHC136" s="547"/>
      <c r="HHD136" s="548"/>
      <c r="HHE136" s="547"/>
      <c r="HHF136" s="547"/>
      <c r="HHG136" s="547"/>
      <c r="HHH136" s="547"/>
      <c r="HHI136" s="548"/>
      <c r="HHJ136" s="547"/>
      <c r="HHK136" s="547"/>
      <c r="HHL136" s="547"/>
      <c r="HHM136" s="547"/>
      <c r="HHN136" s="548"/>
      <c r="HHO136" s="547"/>
      <c r="HHP136" s="547"/>
      <c r="HHQ136" s="547"/>
      <c r="HHR136" s="552"/>
      <c r="HHS136" s="548"/>
      <c r="HHT136" s="552"/>
      <c r="HHU136" s="552"/>
      <c r="HHV136" s="552"/>
      <c r="HHW136" s="552"/>
      <c r="HHX136" s="548"/>
      <c r="HHY136" s="553"/>
      <c r="HHZ136" s="553"/>
      <c r="HIA136" s="553"/>
      <c r="HIB136" s="8"/>
      <c r="HIC136" s="8"/>
      <c r="HID136" s="458"/>
      <c r="HIE136" s="8"/>
      <c r="HIF136" s="8"/>
      <c r="HIG136" s="547"/>
      <c r="HIH136" s="547"/>
      <c r="HII136" s="547"/>
      <c r="HIJ136" s="547"/>
      <c r="HIK136" s="548"/>
      <c r="HIL136" s="547"/>
      <c r="HIM136" s="547"/>
      <c r="HIN136" s="547"/>
      <c r="HIO136" s="547"/>
      <c r="HIP136" s="548"/>
      <c r="HIQ136" s="547"/>
      <c r="HIR136" s="547"/>
      <c r="HIS136" s="547"/>
      <c r="HIT136" s="547"/>
      <c r="HIU136" s="548"/>
      <c r="HIV136" s="547"/>
      <c r="HIW136" s="547"/>
      <c r="HIX136" s="547"/>
      <c r="HIY136" s="552"/>
      <c r="HIZ136" s="548"/>
      <c r="HJA136" s="552"/>
      <c r="HJB136" s="552"/>
      <c r="HJC136" s="552"/>
      <c r="HJD136" s="552"/>
      <c r="HJE136" s="548"/>
      <c r="HJF136" s="553"/>
      <c r="HJG136" s="553"/>
      <c r="HJH136" s="553"/>
      <c r="HJI136" s="8"/>
      <c r="HJJ136" s="8"/>
      <c r="HJK136" s="458"/>
      <c r="HJL136" s="8"/>
      <c r="HJM136" s="8"/>
      <c r="HJN136" s="547"/>
      <c r="HJO136" s="547"/>
      <c r="HJP136" s="547"/>
      <c r="HJQ136" s="547"/>
      <c r="HJR136" s="548"/>
      <c r="HJS136" s="547"/>
      <c r="HJT136" s="547"/>
      <c r="HJU136" s="547"/>
      <c r="HJV136" s="547"/>
      <c r="HJW136" s="548"/>
      <c r="HJX136" s="547"/>
      <c r="HJY136" s="547"/>
      <c r="HJZ136" s="547"/>
      <c r="HKA136" s="547"/>
      <c r="HKB136" s="548"/>
      <c r="HKC136" s="547"/>
      <c r="HKD136" s="547"/>
      <c r="HKE136" s="547"/>
      <c r="HKF136" s="552"/>
      <c r="HKG136" s="548"/>
      <c r="HKH136" s="552"/>
      <c r="HKI136" s="552"/>
      <c r="HKJ136" s="552"/>
      <c r="HKK136" s="552"/>
      <c r="HKL136" s="548"/>
      <c r="HKM136" s="553"/>
      <c r="HKN136" s="553"/>
      <c r="HKO136" s="553"/>
      <c r="HKP136" s="8"/>
      <c r="HKQ136" s="8"/>
      <c r="HKR136" s="458"/>
      <c r="HKS136" s="8"/>
      <c r="HKT136" s="8"/>
      <c r="HKU136" s="547"/>
      <c r="HKV136" s="547"/>
      <c r="HKW136" s="547"/>
      <c r="HKX136" s="547"/>
      <c r="HKY136" s="548"/>
      <c r="HKZ136" s="547"/>
      <c r="HLA136" s="547"/>
      <c r="HLB136" s="547"/>
      <c r="HLC136" s="547"/>
      <c r="HLD136" s="548"/>
      <c r="HLE136" s="547"/>
      <c r="HLF136" s="547"/>
      <c r="HLG136" s="547"/>
      <c r="HLH136" s="547"/>
      <c r="HLI136" s="548"/>
      <c r="HLJ136" s="547"/>
      <c r="HLK136" s="547"/>
      <c r="HLL136" s="547"/>
      <c r="HLM136" s="552"/>
      <c r="HLN136" s="548"/>
      <c r="HLO136" s="552"/>
      <c r="HLP136" s="552"/>
      <c r="HLQ136" s="552"/>
      <c r="HLR136" s="552"/>
      <c r="HLS136" s="548"/>
      <c r="HLT136" s="553"/>
      <c r="HLU136" s="553"/>
      <c r="HLV136" s="553"/>
      <c r="HLW136" s="8"/>
      <c r="HLX136" s="8"/>
      <c r="HLY136" s="458"/>
      <c r="HLZ136" s="8"/>
      <c r="HMA136" s="8"/>
      <c r="HMB136" s="547"/>
      <c r="HMC136" s="547"/>
      <c r="HMD136" s="547"/>
      <c r="HME136" s="547"/>
      <c r="HMF136" s="548"/>
      <c r="HMG136" s="547"/>
      <c r="HMH136" s="547"/>
      <c r="HMI136" s="547"/>
      <c r="HMJ136" s="547"/>
      <c r="HMK136" s="548"/>
      <c r="HML136" s="547"/>
      <c r="HMM136" s="547"/>
      <c r="HMN136" s="547"/>
      <c r="HMO136" s="547"/>
      <c r="HMP136" s="548"/>
      <c r="HMQ136" s="547"/>
      <c r="HMR136" s="547"/>
      <c r="HMS136" s="547"/>
      <c r="HMT136" s="552"/>
      <c r="HMU136" s="548"/>
      <c r="HMV136" s="552"/>
      <c r="HMW136" s="552"/>
      <c r="HMX136" s="552"/>
      <c r="HMY136" s="552"/>
      <c r="HMZ136" s="548"/>
      <c r="HNA136" s="553"/>
      <c r="HNB136" s="553"/>
      <c r="HNC136" s="553"/>
      <c r="HND136" s="8"/>
      <c r="HNE136" s="8"/>
      <c r="HNF136" s="458"/>
      <c r="HNG136" s="8"/>
      <c r="HNH136" s="8"/>
      <c r="HNI136" s="547"/>
      <c r="HNJ136" s="547"/>
      <c r="HNK136" s="547"/>
      <c r="HNL136" s="547"/>
      <c r="HNM136" s="548"/>
      <c r="HNN136" s="547"/>
      <c r="HNO136" s="547"/>
      <c r="HNP136" s="547"/>
      <c r="HNQ136" s="547"/>
      <c r="HNR136" s="548"/>
      <c r="HNS136" s="547"/>
      <c r="HNT136" s="547"/>
      <c r="HNU136" s="547"/>
      <c r="HNV136" s="547"/>
      <c r="HNW136" s="548"/>
      <c r="HNX136" s="547"/>
      <c r="HNY136" s="547"/>
      <c r="HNZ136" s="547"/>
      <c r="HOA136" s="552"/>
      <c r="HOB136" s="548"/>
      <c r="HOC136" s="552"/>
      <c r="HOD136" s="552"/>
      <c r="HOE136" s="552"/>
      <c r="HOF136" s="552"/>
      <c r="HOG136" s="548"/>
      <c r="HOH136" s="553"/>
      <c r="HOI136" s="553"/>
      <c r="HOJ136" s="553"/>
      <c r="HOK136" s="8"/>
      <c r="HOL136" s="8"/>
      <c r="HOM136" s="458"/>
      <c r="HON136" s="8"/>
      <c r="HOO136" s="8"/>
      <c r="HOP136" s="547"/>
      <c r="HOQ136" s="547"/>
      <c r="HOR136" s="547"/>
      <c r="HOS136" s="547"/>
      <c r="HOT136" s="548"/>
      <c r="HOU136" s="547"/>
      <c r="HOV136" s="547"/>
      <c r="HOW136" s="547"/>
      <c r="HOX136" s="547"/>
      <c r="HOY136" s="548"/>
      <c r="HOZ136" s="547"/>
      <c r="HPA136" s="547"/>
      <c r="HPB136" s="547"/>
      <c r="HPC136" s="547"/>
      <c r="HPD136" s="548"/>
      <c r="HPE136" s="547"/>
      <c r="HPF136" s="547"/>
      <c r="HPG136" s="547"/>
      <c r="HPH136" s="552"/>
      <c r="HPI136" s="548"/>
      <c r="HPJ136" s="552"/>
      <c r="HPK136" s="552"/>
      <c r="HPL136" s="552"/>
      <c r="HPM136" s="552"/>
      <c r="HPN136" s="548"/>
      <c r="HPO136" s="553"/>
      <c r="HPP136" s="553"/>
      <c r="HPQ136" s="553"/>
      <c r="HPR136" s="8"/>
      <c r="HPS136" s="8"/>
      <c r="HPT136" s="458"/>
      <c r="HPU136" s="8"/>
      <c r="HPV136" s="8"/>
      <c r="HPW136" s="547"/>
      <c r="HPX136" s="547"/>
      <c r="HPY136" s="547"/>
      <c r="HPZ136" s="547"/>
      <c r="HQA136" s="548"/>
      <c r="HQB136" s="547"/>
      <c r="HQC136" s="547"/>
      <c r="HQD136" s="547"/>
      <c r="HQE136" s="547"/>
      <c r="HQF136" s="548"/>
      <c r="HQG136" s="547"/>
      <c r="HQH136" s="547"/>
      <c r="HQI136" s="547"/>
      <c r="HQJ136" s="547"/>
      <c r="HQK136" s="548"/>
      <c r="HQL136" s="547"/>
      <c r="HQM136" s="547"/>
      <c r="HQN136" s="547"/>
      <c r="HQO136" s="552"/>
      <c r="HQP136" s="548"/>
      <c r="HQQ136" s="552"/>
      <c r="HQR136" s="552"/>
      <c r="HQS136" s="552"/>
      <c r="HQT136" s="552"/>
      <c r="HQU136" s="548"/>
      <c r="HQV136" s="553"/>
      <c r="HQW136" s="553"/>
      <c r="HQX136" s="553"/>
      <c r="HQY136" s="8"/>
      <c r="HQZ136" s="8"/>
      <c r="HRA136" s="458"/>
      <c r="HRB136" s="8"/>
      <c r="HRC136" s="8"/>
      <c r="HRD136" s="547"/>
      <c r="HRE136" s="547"/>
      <c r="HRF136" s="547"/>
      <c r="HRG136" s="547"/>
      <c r="HRH136" s="548"/>
      <c r="HRI136" s="547"/>
      <c r="HRJ136" s="547"/>
      <c r="HRK136" s="547"/>
      <c r="HRL136" s="547"/>
      <c r="HRM136" s="548"/>
      <c r="HRN136" s="547"/>
      <c r="HRO136" s="547"/>
      <c r="HRP136" s="547"/>
      <c r="HRQ136" s="547"/>
      <c r="HRR136" s="548"/>
      <c r="HRS136" s="547"/>
      <c r="HRT136" s="547"/>
      <c r="HRU136" s="547"/>
      <c r="HRV136" s="552"/>
      <c r="HRW136" s="548"/>
      <c r="HRX136" s="552"/>
      <c r="HRY136" s="552"/>
      <c r="HRZ136" s="552"/>
      <c r="HSA136" s="552"/>
      <c r="HSB136" s="548"/>
      <c r="HSC136" s="553"/>
      <c r="HSD136" s="553"/>
      <c r="HSE136" s="553"/>
      <c r="HSF136" s="8"/>
      <c r="HSG136" s="8"/>
      <c r="HSH136" s="458"/>
      <c r="HSI136" s="8"/>
      <c r="HSJ136" s="8"/>
      <c r="HSK136" s="547"/>
      <c r="HSL136" s="547"/>
      <c r="HSM136" s="547"/>
      <c r="HSN136" s="547"/>
      <c r="HSO136" s="548"/>
      <c r="HSP136" s="547"/>
      <c r="HSQ136" s="547"/>
      <c r="HSR136" s="547"/>
      <c r="HSS136" s="547"/>
      <c r="HST136" s="548"/>
      <c r="HSU136" s="547"/>
      <c r="HSV136" s="547"/>
      <c r="HSW136" s="547"/>
      <c r="HSX136" s="547"/>
      <c r="HSY136" s="548"/>
      <c r="HSZ136" s="547"/>
      <c r="HTA136" s="547"/>
      <c r="HTB136" s="547"/>
      <c r="HTC136" s="552"/>
      <c r="HTD136" s="548"/>
      <c r="HTE136" s="552"/>
      <c r="HTF136" s="552"/>
      <c r="HTG136" s="552"/>
      <c r="HTH136" s="552"/>
      <c r="HTI136" s="548"/>
      <c r="HTJ136" s="553"/>
      <c r="HTK136" s="553"/>
      <c r="HTL136" s="553"/>
      <c r="HTM136" s="8"/>
      <c r="HTN136" s="8"/>
      <c r="HTO136" s="458"/>
      <c r="HTP136" s="8"/>
      <c r="HTQ136" s="8"/>
      <c r="HTR136" s="547"/>
      <c r="HTS136" s="547"/>
      <c r="HTT136" s="547"/>
      <c r="HTU136" s="547"/>
      <c r="HTV136" s="548"/>
      <c r="HTW136" s="547"/>
      <c r="HTX136" s="547"/>
      <c r="HTY136" s="547"/>
      <c r="HTZ136" s="547"/>
      <c r="HUA136" s="548"/>
      <c r="HUB136" s="547"/>
      <c r="HUC136" s="547"/>
      <c r="HUD136" s="547"/>
      <c r="HUE136" s="547"/>
      <c r="HUF136" s="548"/>
      <c r="HUG136" s="547"/>
      <c r="HUH136" s="547"/>
      <c r="HUI136" s="547"/>
      <c r="HUJ136" s="552"/>
      <c r="HUK136" s="548"/>
      <c r="HUL136" s="552"/>
      <c r="HUM136" s="552"/>
      <c r="HUN136" s="552"/>
      <c r="HUO136" s="552"/>
      <c r="HUP136" s="548"/>
      <c r="HUQ136" s="553"/>
      <c r="HUR136" s="553"/>
      <c r="HUS136" s="553"/>
      <c r="HUT136" s="8"/>
      <c r="HUU136" s="8"/>
      <c r="HUV136" s="458"/>
      <c r="HUW136" s="8"/>
      <c r="HUX136" s="8"/>
      <c r="HUY136" s="547"/>
      <c r="HUZ136" s="547"/>
      <c r="HVA136" s="547"/>
      <c r="HVB136" s="547"/>
      <c r="HVC136" s="548"/>
      <c r="HVD136" s="547"/>
      <c r="HVE136" s="547"/>
      <c r="HVF136" s="547"/>
      <c r="HVG136" s="547"/>
      <c r="HVH136" s="548"/>
      <c r="HVI136" s="547"/>
      <c r="HVJ136" s="547"/>
      <c r="HVK136" s="547"/>
      <c r="HVL136" s="547"/>
      <c r="HVM136" s="548"/>
      <c r="HVN136" s="547"/>
      <c r="HVO136" s="547"/>
      <c r="HVP136" s="547"/>
      <c r="HVQ136" s="552"/>
      <c r="HVR136" s="548"/>
      <c r="HVS136" s="552"/>
      <c r="HVT136" s="552"/>
      <c r="HVU136" s="552"/>
      <c r="HVV136" s="552"/>
      <c r="HVW136" s="548"/>
      <c r="HVX136" s="553"/>
      <c r="HVY136" s="553"/>
      <c r="HVZ136" s="553"/>
      <c r="HWA136" s="8"/>
      <c r="HWB136" s="8"/>
      <c r="HWC136" s="458"/>
      <c r="HWD136" s="8"/>
      <c r="HWE136" s="8"/>
      <c r="HWF136" s="547"/>
      <c r="HWG136" s="547"/>
      <c r="HWH136" s="547"/>
      <c r="HWI136" s="547"/>
      <c r="HWJ136" s="548"/>
      <c r="HWK136" s="547"/>
      <c r="HWL136" s="547"/>
      <c r="HWM136" s="547"/>
      <c r="HWN136" s="547"/>
      <c r="HWO136" s="548"/>
      <c r="HWP136" s="547"/>
      <c r="HWQ136" s="547"/>
      <c r="HWR136" s="547"/>
      <c r="HWS136" s="547"/>
      <c r="HWT136" s="548"/>
      <c r="HWU136" s="547"/>
      <c r="HWV136" s="547"/>
      <c r="HWW136" s="547"/>
      <c r="HWX136" s="552"/>
      <c r="HWY136" s="548"/>
      <c r="HWZ136" s="552"/>
      <c r="HXA136" s="552"/>
      <c r="HXB136" s="552"/>
      <c r="HXC136" s="552"/>
      <c r="HXD136" s="548"/>
      <c r="HXE136" s="553"/>
      <c r="HXF136" s="553"/>
      <c r="HXG136" s="553"/>
      <c r="HXH136" s="8"/>
      <c r="HXI136" s="8"/>
      <c r="HXJ136" s="458"/>
      <c r="HXK136" s="8"/>
      <c r="HXL136" s="8"/>
      <c r="HXM136" s="547"/>
      <c r="HXN136" s="547"/>
      <c r="HXO136" s="547"/>
      <c r="HXP136" s="547"/>
      <c r="HXQ136" s="548"/>
      <c r="HXR136" s="547"/>
      <c r="HXS136" s="547"/>
      <c r="HXT136" s="547"/>
      <c r="HXU136" s="547"/>
      <c r="HXV136" s="548"/>
      <c r="HXW136" s="547"/>
      <c r="HXX136" s="547"/>
      <c r="HXY136" s="547"/>
      <c r="HXZ136" s="547"/>
      <c r="HYA136" s="548"/>
      <c r="HYB136" s="547"/>
      <c r="HYC136" s="547"/>
      <c r="HYD136" s="547"/>
      <c r="HYE136" s="552"/>
      <c r="HYF136" s="548"/>
      <c r="HYG136" s="552"/>
      <c r="HYH136" s="552"/>
      <c r="HYI136" s="552"/>
      <c r="HYJ136" s="552"/>
      <c r="HYK136" s="548"/>
      <c r="HYL136" s="553"/>
      <c r="HYM136" s="553"/>
      <c r="HYN136" s="553"/>
      <c r="HYO136" s="8"/>
      <c r="HYP136" s="8"/>
      <c r="HYQ136" s="458"/>
      <c r="HYR136" s="8"/>
      <c r="HYS136" s="8"/>
      <c r="HYT136" s="547"/>
      <c r="HYU136" s="547"/>
      <c r="HYV136" s="547"/>
      <c r="HYW136" s="547"/>
      <c r="HYX136" s="548"/>
      <c r="HYY136" s="547"/>
      <c r="HYZ136" s="547"/>
      <c r="HZA136" s="547"/>
      <c r="HZB136" s="547"/>
      <c r="HZC136" s="548"/>
      <c r="HZD136" s="547"/>
      <c r="HZE136" s="547"/>
      <c r="HZF136" s="547"/>
      <c r="HZG136" s="547"/>
      <c r="HZH136" s="548"/>
      <c r="HZI136" s="547"/>
      <c r="HZJ136" s="547"/>
      <c r="HZK136" s="547"/>
      <c r="HZL136" s="552"/>
      <c r="HZM136" s="548"/>
      <c r="HZN136" s="552"/>
      <c r="HZO136" s="552"/>
      <c r="HZP136" s="552"/>
      <c r="HZQ136" s="552"/>
      <c r="HZR136" s="548"/>
      <c r="HZS136" s="553"/>
      <c r="HZT136" s="553"/>
      <c r="HZU136" s="553"/>
      <c r="HZV136" s="8"/>
      <c r="HZW136" s="8"/>
      <c r="HZX136" s="458"/>
      <c r="HZY136" s="8"/>
      <c r="HZZ136" s="8"/>
      <c r="IAA136" s="547"/>
      <c r="IAB136" s="547"/>
      <c r="IAC136" s="547"/>
      <c r="IAD136" s="547"/>
      <c r="IAE136" s="548"/>
      <c r="IAF136" s="547"/>
      <c r="IAG136" s="547"/>
      <c r="IAH136" s="547"/>
      <c r="IAI136" s="547"/>
      <c r="IAJ136" s="548"/>
      <c r="IAK136" s="547"/>
      <c r="IAL136" s="547"/>
      <c r="IAM136" s="547"/>
      <c r="IAN136" s="547"/>
      <c r="IAO136" s="548"/>
      <c r="IAP136" s="547"/>
      <c r="IAQ136" s="547"/>
      <c r="IAR136" s="547"/>
      <c r="IAS136" s="552"/>
      <c r="IAT136" s="548"/>
      <c r="IAU136" s="552"/>
      <c r="IAV136" s="552"/>
      <c r="IAW136" s="552"/>
      <c r="IAX136" s="552"/>
      <c r="IAY136" s="548"/>
      <c r="IAZ136" s="553"/>
      <c r="IBA136" s="553"/>
      <c r="IBB136" s="553"/>
      <c r="IBC136" s="8"/>
      <c r="IBD136" s="8"/>
      <c r="IBE136" s="458"/>
      <c r="IBF136" s="8"/>
      <c r="IBG136" s="8"/>
      <c r="IBH136" s="547"/>
      <c r="IBI136" s="547"/>
      <c r="IBJ136" s="547"/>
      <c r="IBK136" s="547"/>
      <c r="IBL136" s="548"/>
      <c r="IBM136" s="547"/>
      <c r="IBN136" s="547"/>
      <c r="IBO136" s="547"/>
      <c r="IBP136" s="547"/>
      <c r="IBQ136" s="548"/>
      <c r="IBR136" s="547"/>
      <c r="IBS136" s="547"/>
      <c r="IBT136" s="547"/>
      <c r="IBU136" s="547"/>
      <c r="IBV136" s="548"/>
      <c r="IBW136" s="547"/>
      <c r="IBX136" s="547"/>
      <c r="IBY136" s="547"/>
      <c r="IBZ136" s="552"/>
      <c r="ICA136" s="548"/>
      <c r="ICB136" s="552"/>
      <c r="ICC136" s="552"/>
      <c r="ICD136" s="552"/>
      <c r="ICE136" s="552"/>
      <c r="ICF136" s="548"/>
      <c r="ICG136" s="553"/>
      <c r="ICH136" s="553"/>
      <c r="ICI136" s="553"/>
      <c r="ICJ136" s="8"/>
      <c r="ICK136" s="8"/>
      <c r="ICL136" s="458"/>
      <c r="ICM136" s="8"/>
      <c r="ICN136" s="8"/>
      <c r="ICO136" s="547"/>
      <c r="ICP136" s="547"/>
      <c r="ICQ136" s="547"/>
      <c r="ICR136" s="547"/>
      <c r="ICS136" s="548"/>
      <c r="ICT136" s="547"/>
      <c r="ICU136" s="547"/>
      <c r="ICV136" s="547"/>
      <c r="ICW136" s="547"/>
      <c r="ICX136" s="548"/>
      <c r="ICY136" s="547"/>
      <c r="ICZ136" s="547"/>
      <c r="IDA136" s="547"/>
      <c r="IDB136" s="547"/>
      <c r="IDC136" s="548"/>
      <c r="IDD136" s="547"/>
      <c r="IDE136" s="547"/>
      <c r="IDF136" s="547"/>
      <c r="IDG136" s="552"/>
      <c r="IDH136" s="548"/>
      <c r="IDI136" s="552"/>
      <c r="IDJ136" s="552"/>
      <c r="IDK136" s="552"/>
      <c r="IDL136" s="552"/>
      <c r="IDM136" s="548"/>
      <c r="IDN136" s="553"/>
      <c r="IDO136" s="553"/>
      <c r="IDP136" s="553"/>
      <c r="IDQ136" s="8"/>
      <c r="IDR136" s="8"/>
      <c r="IDS136" s="458"/>
      <c r="IDT136" s="8"/>
      <c r="IDU136" s="8"/>
      <c r="IDV136" s="547"/>
      <c r="IDW136" s="547"/>
      <c r="IDX136" s="547"/>
      <c r="IDY136" s="547"/>
      <c r="IDZ136" s="548"/>
      <c r="IEA136" s="547"/>
      <c r="IEB136" s="547"/>
      <c r="IEC136" s="547"/>
      <c r="IED136" s="547"/>
      <c r="IEE136" s="548"/>
      <c r="IEF136" s="547"/>
      <c r="IEG136" s="547"/>
      <c r="IEH136" s="547"/>
      <c r="IEI136" s="547"/>
      <c r="IEJ136" s="548"/>
      <c r="IEK136" s="547"/>
      <c r="IEL136" s="547"/>
      <c r="IEM136" s="547"/>
      <c r="IEN136" s="552"/>
      <c r="IEO136" s="548"/>
      <c r="IEP136" s="552"/>
      <c r="IEQ136" s="552"/>
      <c r="IER136" s="552"/>
      <c r="IES136" s="552"/>
      <c r="IET136" s="548"/>
      <c r="IEU136" s="553"/>
      <c r="IEV136" s="553"/>
      <c r="IEW136" s="553"/>
      <c r="IEX136" s="8"/>
      <c r="IEY136" s="8"/>
      <c r="IEZ136" s="458"/>
      <c r="IFA136" s="8"/>
      <c r="IFB136" s="8"/>
      <c r="IFC136" s="547"/>
      <c r="IFD136" s="547"/>
      <c r="IFE136" s="547"/>
      <c r="IFF136" s="547"/>
      <c r="IFG136" s="548"/>
      <c r="IFH136" s="547"/>
      <c r="IFI136" s="547"/>
      <c r="IFJ136" s="547"/>
      <c r="IFK136" s="547"/>
      <c r="IFL136" s="548"/>
      <c r="IFM136" s="547"/>
      <c r="IFN136" s="547"/>
      <c r="IFO136" s="547"/>
      <c r="IFP136" s="547"/>
      <c r="IFQ136" s="548"/>
      <c r="IFR136" s="547"/>
      <c r="IFS136" s="547"/>
      <c r="IFT136" s="547"/>
      <c r="IFU136" s="552"/>
      <c r="IFV136" s="548"/>
      <c r="IFW136" s="552"/>
      <c r="IFX136" s="552"/>
      <c r="IFY136" s="552"/>
      <c r="IFZ136" s="552"/>
      <c r="IGA136" s="548"/>
      <c r="IGB136" s="553"/>
      <c r="IGC136" s="553"/>
      <c r="IGD136" s="553"/>
      <c r="IGE136" s="8"/>
      <c r="IGF136" s="8"/>
      <c r="IGG136" s="458"/>
      <c r="IGH136" s="8"/>
      <c r="IGI136" s="8"/>
      <c r="IGJ136" s="547"/>
      <c r="IGK136" s="547"/>
      <c r="IGL136" s="547"/>
      <c r="IGM136" s="547"/>
      <c r="IGN136" s="548"/>
      <c r="IGO136" s="547"/>
      <c r="IGP136" s="547"/>
      <c r="IGQ136" s="547"/>
      <c r="IGR136" s="547"/>
      <c r="IGS136" s="548"/>
      <c r="IGT136" s="547"/>
      <c r="IGU136" s="547"/>
      <c r="IGV136" s="547"/>
      <c r="IGW136" s="547"/>
      <c r="IGX136" s="548"/>
      <c r="IGY136" s="547"/>
      <c r="IGZ136" s="547"/>
      <c r="IHA136" s="547"/>
      <c r="IHB136" s="552"/>
      <c r="IHC136" s="548"/>
      <c r="IHD136" s="552"/>
      <c r="IHE136" s="552"/>
      <c r="IHF136" s="552"/>
      <c r="IHG136" s="552"/>
      <c r="IHH136" s="548"/>
      <c r="IHI136" s="553"/>
      <c r="IHJ136" s="553"/>
      <c r="IHK136" s="553"/>
      <c r="IHL136" s="8"/>
      <c r="IHM136" s="8"/>
      <c r="IHN136" s="458"/>
      <c r="IHO136" s="8"/>
      <c r="IHP136" s="8"/>
      <c r="IHQ136" s="547"/>
      <c r="IHR136" s="547"/>
      <c r="IHS136" s="547"/>
      <c r="IHT136" s="547"/>
      <c r="IHU136" s="548"/>
      <c r="IHV136" s="547"/>
      <c r="IHW136" s="547"/>
      <c r="IHX136" s="547"/>
      <c r="IHY136" s="547"/>
      <c r="IHZ136" s="548"/>
      <c r="IIA136" s="547"/>
      <c r="IIB136" s="547"/>
      <c r="IIC136" s="547"/>
      <c r="IID136" s="547"/>
      <c r="IIE136" s="548"/>
      <c r="IIF136" s="547"/>
      <c r="IIG136" s="547"/>
      <c r="IIH136" s="547"/>
      <c r="III136" s="552"/>
      <c r="IIJ136" s="548"/>
      <c r="IIK136" s="552"/>
      <c r="IIL136" s="552"/>
      <c r="IIM136" s="552"/>
      <c r="IIN136" s="552"/>
      <c r="IIO136" s="548"/>
      <c r="IIP136" s="553"/>
      <c r="IIQ136" s="553"/>
      <c r="IIR136" s="553"/>
      <c r="IIS136" s="8"/>
      <c r="IIT136" s="8"/>
      <c r="IIU136" s="458"/>
      <c r="IIV136" s="8"/>
      <c r="IIW136" s="8"/>
      <c r="IIX136" s="547"/>
      <c r="IIY136" s="547"/>
      <c r="IIZ136" s="547"/>
      <c r="IJA136" s="547"/>
      <c r="IJB136" s="548"/>
      <c r="IJC136" s="547"/>
      <c r="IJD136" s="547"/>
      <c r="IJE136" s="547"/>
      <c r="IJF136" s="547"/>
      <c r="IJG136" s="548"/>
      <c r="IJH136" s="547"/>
      <c r="IJI136" s="547"/>
      <c r="IJJ136" s="547"/>
      <c r="IJK136" s="547"/>
      <c r="IJL136" s="548"/>
      <c r="IJM136" s="547"/>
      <c r="IJN136" s="547"/>
      <c r="IJO136" s="547"/>
      <c r="IJP136" s="552"/>
      <c r="IJQ136" s="548"/>
      <c r="IJR136" s="552"/>
      <c r="IJS136" s="552"/>
      <c r="IJT136" s="552"/>
      <c r="IJU136" s="552"/>
      <c r="IJV136" s="548"/>
      <c r="IJW136" s="553"/>
      <c r="IJX136" s="553"/>
      <c r="IJY136" s="553"/>
      <c r="IJZ136" s="8"/>
      <c r="IKA136" s="8"/>
      <c r="IKB136" s="458"/>
      <c r="IKC136" s="8"/>
      <c r="IKD136" s="8"/>
      <c r="IKE136" s="547"/>
      <c r="IKF136" s="547"/>
      <c r="IKG136" s="547"/>
      <c r="IKH136" s="547"/>
      <c r="IKI136" s="548"/>
      <c r="IKJ136" s="547"/>
      <c r="IKK136" s="547"/>
      <c r="IKL136" s="547"/>
      <c r="IKM136" s="547"/>
      <c r="IKN136" s="548"/>
      <c r="IKO136" s="547"/>
      <c r="IKP136" s="547"/>
      <c r="IKQ136" s="547"/>
      <c r="IKR136" s="547"/>
      <c r="IKS136" s="548"/>
      <c r="IKT136" s="547"/>
      <c r="IKU136" s="547"/>
      <c r="IKV136" s="547"/>
      <c r="IKW136" s="552"/>
      <c r="IKX136" s="548"/>
      <c r="IKY136" s="552"/>
      <c r="IKZ136" s="552"/>
      <c r="ILA136" s="552"/>
      <c r="ILB136" s="552"/>
      <c r="ILC136" s="548"/>
      <c r="ILD136" s="553"/>
      <c r="ILE136" s="553"/>
      <c r="ILF136" s="553"/>
      <c r="ILG136" s="8"/>
      <c r="ILH136" s="8"/>
      <c r="ILI136" s="458"/>
      <c r="ILJ136" s="8"/>
      <c r="ILK136" s="8"/>
      <c r="ILL136" s="547"/>
      <c r="ILM136" s="547"/>
      <c r="ILN136" s="547"/>
      <c r="ILO136" s="547"/>
      <c r="ILP136" s="548"/>
      <c r="ILQ136" s="547"/>
      <c r="ILR136" s="547"/>
      <c r="ILS136" s="547"/>
      <c r="ILT136" s="547"/>
      <c r="ILU136" s="548"/>
      <c r="ILV136" s="547"/>
      <c r="ILW136" s="547"/>
      <c r="ILX136" s="547"/>
      <c r="ILY136" s="547"/>
      <c r="ILZ136" s="548"/>
      <c r="IMA136" s="547"/>
      <c r="IMB136" s="547"/>
      <c r="IMC136" s="547"/>
      <c r="IMD136" s="552"/>
      <c r="IME136" s="548"/>
      <c r="IMF136" s="552"/>
      <c r="IMG136" s="552"/>
      <c r="IMH136" s="552"/>
      <c r="IMI136" s="552"/>
      <c r="IMJ136" s="548"/>
      <c r="IMK136" s="553"/>
      <c r="IML136" s="553"/>
      <c r="IMM136" s="553"/>
      <c r="IMN136" s="8"/>
      <c r="IMO136" s="8"/>
      <c r="IMP136" s="458"/>
      <c r="IMQ136" s="8"/>
      <c r="IMR136" s="8"/>
      <c r="IMS136" s="547"/>
      <c r="IMT136" s="547"/>
      <c r="IMU136" s="547"/>
      <c r="IMV136" s="547"/>
      <c r="IMW136" s="548"/>
      <c r="IMX136" s="547"/>
      <c r="IMY136" s="547"/>
      <c r="IMZ136" s="547"/>
      <c r="INA136" s="547"/>
      <c r="INB136" s="548"/>
      <c r="INC136" s="547"/>
      <c r="IND136" s="547"/>
      <c r="INE136" s="547"/>
      <c r="INF136" s="547"/>
      <c r="ING136" s="548"/>
      <c r="INH136" s="547"/>
      <c r="INI136" s="547"/>
      <c r="INJ136" s="547"/>
      <c r="INK136" s="552"/>
      <c r="INL136" s="548"/>
      <c r="INM136" s="552"/>
      <c r="INN136" s="552"/>
      <c r="INO136" s="552"/>
      <c r="INP136" s="552"/>
      <c r="INQ136" s="548"/>
      <c r="INR136" s="553"/>
      <c r="INS136" s="553"/>
      <c r="INT136" s="553"/>
      <c r="INU136" s="8"/>
      <c r="INV136" s="8"/>
      <c r="INW136" s="458"/>
      <c r="INX136" s="8"/>
      <c r="INY136" s="8"/>
      <c r="INZ136" s="547"/>
      <c r="IOA136" s="547"/>
      <c r="IOB136" s="547"/>
      <c r="IOC136" s="547"/>
      <c r="IOD136" s="548"/>
      <c r="IOE136" s="547"/>
      <c r="IOF136" s="547"/>
      <c r="IOG136" s="547"/>
      <c r="IOH136" s="547"/>
      <c r="IOI136" s="548"/>
      <c r="IOJ136" s="547"/>
      <c r="IOK136" s="547"/>
      <c r="IOL136" s="547"/>
      <c r="IOM136" s="547"/>
      <c r="ION136" s="548"/>
      <c r="IOO136" s="547"/>
      <c r="IOP136" s="547"/>
      <c r="IOQ136" s="547"/>
      <c r="IOR136" s="552"/>
      <c r="IOS136" s="548"/>
      <c r="IOT136" s="552"/>
      <c r="IOU136" s="552"/>
      <c r="IOV136" s="552"/>
      <c r="IOW136" s="552"/>
      <c r="IOX136" s="548"/>
      <c r="IOY136" s="553"/>
      <c r="IOZ136" s="553"/>
      <c r="IPA136" s="553"/>
      <c r="IPB136" s="8"/>
      <c r="IPC136" s="8"/>
      <c r="IPD136" s="458"/>
      <c r="IPE136" s="8"/>
      <c r="IPF136" s="8"/>
      <c r="IPG136" s="547"/>
      <c r="IPH136" s="547"/>
      <c r="IPI136" s="547"/>
      <c r="IPJ136" s="547"/>
      <c r="IPK136" s="548"/>
      <c r="IPL136" s="547"/>
      <c r="IPM136" s="547"/>
      <c r="IPN136" s="547"/>
      <c r="IPO136" s="547"/>
      <c r="IPP136" s="548"/>
      <c r="IPQ136" s="547"/>
      <c r="IPR136" s="547"/>
      <c r="IPS136" s="547"/>
      <c r="IPT136" s="547"/>
      <c r="IPU136" s="548"/>
      <c r="IPV136" s="547"/>
      <c r="IPW136" s="547"/>
      <c r="IPX136" s="547"/>
      <c r="IPY136" s="552"/>
      <c r="IPZ136" s="548"/>
      <c r="IQA136" s="552"/>
      <c r="IQB136" s="552"/>
      <c r="IQC136" s="552"/>
      <c r="IQD136" s="552"/>
      <c r="IQE136" s="548"/>
      <c r="IQF136" s="553"/>
      <c r="IQG136" s="553"/>
      <c r="IQH136" s="553"/>
      <c r="IQI136" s="8"/>
      <c r="IQJ136" s="8"/>
      <c r="IQK136" s="458"/>
      <c r="IQL136" s="8"/>
      <c r="IQM136" s="8"/>
      <c r="IQN136" s="547"/>
      <c r="IQO136" s="547"/>
      <c r="IQP136" s="547"/>
      <c r="IQQ136" s="547"/>
      <c r="IQR136" s="548"/>
      <c r="IQS136" s="547"/>
      <c r="IQT136" s="547"/>
      <c r="IQU136" s="547"/>
      <c r="IQV136" s="547"/>
      <c r="IQW136" s="548"/>
      <c r="IQX136" s="547"/>
      <c r="IQY136" s="547"/>
      <c r="IQZ136" s="547"/>
      <c r="IRA136" s="547"/>
      <c r="IRB136" s="548"/>
      <c r="IRC136" s="547"/>
      <c r="IRD136" s="547"/>
      <c r="IRE136" s="547"/>
      <c r="IRF136" s="552"/>
      <c r="IRG136" s="548"/>
      <c r="IRH136" s="552"/>
      <c r="IRI136" s="552"/>
      <c r="IRJ136" s="552"/>
      <c r="IRK136" s="552"/>
      <c r="IRL136" s="548"/>
      <c r="IRM136" s="553"/>
      <c r="IRN136" s="553"/>
      <c r="IRO136" s="553"/>
      <c r="IRP136" s="8"/>
      <c r="IRQ136" s="8"/>
      <c r="IRR136" s="458"/>
      <c r="IRS136" s="8"/>
      <c r="IRT136" s="8"/>
      <c r="IRU136" s="547"/>
      <c r="IRV136" s="547"/>
      <c r="IRW136" s="547"/>
      <c r="IRX136" s="547"/>
      <c r="IRY136" s="548"/>
      <c r="IRZ136" s="547"/>
      <c r="ISA136" s="547"/>
      <c r="ISB136" s="547"/>
      <c r="ISC136" s="547"/>
      <c r="ISD136" s="548"/>
      <c r="ISE136" s="547"/>
      <c r="ISF136" s="547"/>
      <c r="ISG136" s="547"/>
      <c r="ISH136" s="547"/>
      <c r="ISI136" s="548"/>
      <c r="ISJ136" s="547"/>
      <c r="ISK136" s="547"/>
      <c r="ISL136" s="547"/>
      <c r="ISM136" s="552"/>
      <c r="ISN136" s="548"/>
      <c r="ISO136" s="552"/>
      <c r="ISP136" s="552"/>
      <c r="ISQ136" s="552"/>
      <c r="ISR136" s="552"/>
      <c r="ISS136" s="548"/>
      <c r="IST136" s="553"/>
      <c r="ISU136" s="553"/>
      <c r="ISV136" s="553"/>
      <c r="ISW136" s="8"/>
      <c r="ISX136" s="8"/>
      <c r="ISY136" s="458"/>
      <c r="ISZ136" s="8"/>
      <c r="ITA136" s="8"/>
      <c r="ITB136" s="547"/>
      <c r="ITC136" s="547"/>
      <c r="ITD136" s="547"/>
      <c r="ITE136" s="547"/>
      <c r="ITF136" s="548"/>
      <c r="ITG136" s="547"/>
      <c r="ITH136" s="547"/>
      <c r="ITI136" s="547"/>
      <c r="ITJ136" s="547"/>
      <c r="ITK136" s="548"/>
      <c r="ITL136" s="547"/>
      <c r="ITM136" s="547"/>
      <c r="ITN136" s="547"/>
      <c r="ITO136" s="547"/>
      <c r="ITP136" s="548"/>
      <c r="ITQ136" s="547"/>
      <c r="ITR136" s="547"/>
      <c r="ITS136" s="547"/>
      <c r="ITT136" s="552"/>
      <c r="ITU136" s="548"/>
      <c r="ITV136" s="552"/>
      <c r="ITW136" s="552"/>
      <c r="ITX136" s="552"/>
      <c r="ITY136" s="552"/>
      <c r="ITZ136" s="548"/>
      <c r="IUA136" s="553"/>
      <c r="IUB136" s="553"/>
      <c r="IUC136" s="553"/>
      <c r="IUD136" s="8"/>
      <c r="IUE136" s="8"/>
      <c r="IUF136" s="458"/>
      <c r="IUG136" s="8"/>
      <c r="IUH136" s="8"/>
      <c r="IUI136" s="547"/>
      <c r="IUJ136" s="547"/>
      <c r="IUK136" s="547"/>
      <c r="IUL136" s="547"/>
      <c r="IUM136" s="548"/>
      <c r="IUN136" s="547"/>
      <c r="IUO136" s="547"/>
      <c r="IUP136" s="547"/>
      <c r="IUQ136" s="547"/>
      <c r="IUR136" s="548"/>
      <c r="IUS136" s="547"/>
      <c r="IUT136" s="547"/>
      <c r="IUU136" s="547"/>
      <c r="IUV136" s="547"/>
      <c r="IUW136" s="548"/>
      <c r="IUX136" s="547"/>
      <c r="IUY136" s="547"/>
      <c r="IUZ136" s="547"/>
      <c r="IVA136" s="552"/>
      <c r="IVB136" s="548"/>
      <c r="IVC136" s="552"/>
      <c r="IVD136" s="552"/>
      <c r="IVE136" s="552"/>
      <c r="IVF136" s="552"/>
      <c r="IVG136" s="548"/>
      <c r="IVH136" s="553"/>
      <c r="IVI136" s="553"/>
      <c r="IVJ136" s="553"/>
      <c r="IVK136" s="8"/>
      <c r="IVL136" s="8"/>
      <c r="IVM136" s="458"/>
      <c r="IVN136" s="8"/>
      <c r="IVO136" s="8"/>
      <c r="IVP136" s="547"/>
      <c r="IVQ136" s="547"/>
      <c r="IVR136" s="547"/>
      <c r="IVS136" s="547"/>
      <c r="IVT136" s="548"/>
      <c r="IVU136" s="547"/>
      <c r="IVV136" s="547"/>
      <c r="IVW136" s="547"/>
      <c r="IVX136" s="547"/>
      <c r="IVY136" s="548"/>
      <c r="IVZ136" s="547"/>
      <c r="IWA136" s="547"/>
      <c r="IWB136" s="547"/>
      <c r="IWC136" s="547"/>
      <c r="IWD136" s="548"/>
      <c r="IWE136" s="547"/>
      <c r="IWF136" s="547"/>
      <c r="IWG136" s="547"/>
      <c r="IWH136" s="552"/>
      <c r="IWI136" s="548"/>
      <c r="IWJ136" s="552"/>
      <c r="IWK136" s="552"/>
      <c r="IWL136" s="552"/>
      <c r="IWM136" s="552"/>
      <c r="IWN136" s="548"/>
      <c r="IWO136" s="553"/>
      <c r="IWP136" s="553"/>
      <c r="IWQ136" s="553"/>
      <c r="IWR136" s="8"/>
      <c r="IWS136" s="8"/>
      <c r="IWT136" s="458"/>
      <c r="IWU136" s="8"/>
      <c r="IWV136" s="8"/>
      <c r="IWW136" s="547"/>
      <c r="IWX136" s="547"/>
      <c r="IWY136" s="547"/>
      <c r="IWZ136" s="547"/>
      <c r="IXA136" s="548"/>
      <c r="IXB136" s="547"/>
      <c r="IXC136" s="547"/>
      <c r="IXD136" s="547"/>
      <c r="IXE136" s="547"/>
      <c r="IXF136" s="548"/>
      <c r="IXG136" s="547"/>
      <c r="IXH136" s="547"/>
      <c r="IXI136" s="547"/>
      <c r="IXJ136" s="547"/>
      <c r="IXK136" s="548"/>
      <c r="IXL136" s="547"/>
      <c r="IXM136" s="547"/>
      <c r="IXN136" s="547"/>
      <c r="IXO136" s="552"/>
      <c r="IXP136" s="548"/>
      <c r="IXQ136" s="552"/>
      <c r="IXR136" s="552"/>
      <c r="IXS136" s="552"/>
      <c r="IXT136" s="552"/>
      <c r="IXU136" s="548"/>
      <c r="IXV136" s="553"/>
      <c r="IXW136" s="553"/>
      <c r="IXX136" s="553"/>
      <c r="IXY136" s="8"/>
      <c r="IXZ136" s="8"/>
      <c r="IYA136" s="458"/>
      <c r="IYB136" s="8"/>
      <c r="IYC136" s="8"/>
      <c r="IYD136" s="547"/>
      <c r="IYE136" s="547"/>
      <c r="IYF136" s="547"/>
      <c r="IYG136" s="547"/>
      <c r="IYH136" s="548"/>
      <c r="IYI136" s="547"/>
      <c r="IYJ136" s="547"/>
      <c r="IYK136" s="547"/>
      <c r="IYL136" s="547"/>
      <c r="IYM136" s="548"/>
      <c r="IYN136" s="547"/>
      <c r="IYO136" s="547"/>
      <c r="IYP136" s="547"/>
      <c r="IYQ136" s="547"/>
      <c r="IYR136" s="548"/>
      <c r="IYS136" s="547"/>
      <c r="IYT136" s="547"/>
      <c r="IYU136" s="547"/>
      <c r="IYV136" s="552"/>
      <c r="IYW136" s="548"/>
      <c r="IYX136" s="552"/>
      <c r="IYY136" s="552"/>
      <c r="IYZ136" s="552"/>
      <c r="IZA136" s="552"/>
      <c r="IZB136" s="548"/>
      <c r="IZC136" s="553"/>
      <c r="IZD136" s="553"/>
      <c r="IZE136" s="553"/>
      <c r="IZF136" s="8"/>
      <c r="IZG136" s="8"/>
      <c r="IZH136" s="458"/>
      <c r="IZI136" s="8"/>
      <c r="IZJ136" s="8"/>
      <c r="IZK136" s="547"/>
      <c r="IZL136" s="547"/>
      <c r="IZM136" s="547"/>
      <c r="IZN136" s="547"/>
      <c r="IZO136" s="548"/>
      <c r="IZP136" s="547"/>
      <c r="IZQ136" s="547"/>
      <c r="IZR136" s="547"/>
      <c r="IZS136" s="547"/>
      <c r="IZT136" s="548"/>
      <c r="IZU136" s="547"/>
      <c r="IZV136" s="547"/>
      <c r="IZW136" s="547"/>
      <c r="IZX136" s="547"/>
      <c r="IZY136" s="548"/>
      <c r="IZZ136" s="547"/>
      <c r="JAA136" s="547"/>
      <c r="JAB136" s="547"/>
      <c r="JAC136" s="552"/>
      <c r="JAD136" s="548"/>
      <c r="JAE136" s="552"/>
      <c r="JAF136" s="552"/>
      <c r="JAG136" s="552"/>
      <c r="JAH136" s="552"/>
      <c r="JAI136" s="548"/>
      <c r="JAJ136" s="553"/>
      <c r="JAK136" s="553"/>
      <c r="JAL136" s="553"/>
      <c r="JAM136" s="8"/>
      <c r="JAN136" s="8"/>
      <c r="JAO136" s="458"/>
      <c r="JAP136" s="8"/>
      <c r="JAQ136" s="8"/>
      <c r="JAR136" s="547"/>
      <c r="JAS136" s="547"/>
      <c r="JAT136" s="547"/>
      <c r="JAU136" s="547"/>
      <c r="JAV136" s="548"/>
      <c r="JAW136" s="547"/>
      <c r="JAX136" s="547"/>
      <c r="JAY136" s="547"/>
      <c r="JAZ136" s="547"/>
      <c r="JBA136" s="548"/>
      <c r="JBB136" s="547"/>
      <c r="JBC136" s="547"/>
      <c r="JBD136" s="547"/>
      <c r="JBE136" s="547"/>
      <c r="JBF136" s="548"/>
      <c r="JBG136" s="547"/>
      <c r="JBH136" s="547"/>
      <c r="JBI136" s="547"/>
      <c r="JBJ136" s="552"/>
      <c r="JBK136" s="548"/>
      <c r="JBL136" s="552"/>
      <c r="JBM136" s="552"/>
      <c r="JBN136" s="552"/>
      <c r="JBO136" s="552"/>
      <c r="JBP136" s="548"/>
      <c r="JBQ136" s="553"/>
      <c r="JBR136" s="553"/>
      <c r="JBS136" s="553"/>
      <c r="JBT136" s="8"/>
      <c r="JBU136" s="8"/>
      <c r="JBV136" s="458"/>
      <c r="JBW136" s="8"/>
      <c r="JBX136" s="8"/>
      <c r="JBY136" s="547"/>
      <c r="JBZ136" s="547"/>
      <c r="JCA136" s="547"/>
      <c r="JCB136" s="547"/>
      <c r="JCC136" s="548"/>
      <c r="JCD136" s="547"/>
      <c r="JCE136" s="547"/>
      <c r="JCF136" s="547"/>
      <c r="JCG136" s="547"/>
      <c r="JCH136" s="548"/>
      <c r="JCI136" s="547"/>
      <c r="JCJ136" s="547"/>
      <c r="JCK136" s="547"/>
      <c r="JCL136" s="547"/>
      <c r="JCM136" s="548"/>
      <c r="JCN136" s="547"/>
      <c r="JCO136" s="547"/>
      <c r="JCP136" s="547"/>
      <c r="JCQ136" s="552"/>
      <c r="JCR136" s="548"/>
      <c r="JCS136" s="552"/>
      <c r="JCT136" s="552"/>
      <c r="JCU136" s="552"/>
      <c r="JCV136" s="552"/>
      <c r="JCW136" s="548"/>
      <c r="JCX136" s="553"/>
      <c r="JCY136" s="553"/>
      <c r="JCZ136" s="553"/>
      <c r="JDA136" s="8"/>
      <c r="JDB136" s="8"/>
      <c r="JDC136" s="458"/>
      <c r="JDD136" s="8"/>
      <c r="JDE136" s="8"/>
      <c r="JDF136" s="547"/>
      <c r="JDG136" s="547"/>
      <c r="JDH136" s="547"/>
      <c r="JDI136" s="547"/>
      <c r="JDJ136" s="548"/>
      <c r="JDK136" s="547"/>
      <c r="JDL136" s="547"/>
      <c r="JDM136" s="547"/>
      <c r="JDN136" s="547"/>
      <c r="JDO136" s="548"/>
      <c r="JDP136" s="547"/>
      <c r="JDQ136" s="547"/>
      <c r="JDR136" s="547"/>
      <c r="JDS136" s="547"/>
      <c r="JDT136" s="548"/>
      <c r="JDU136" s="547"/>
      <c r="JDV136" s="547"/>
      <c r="JDW136" s="547"/>
      <c r="JDX136" s="552"/>
      <c r="JDY136" s="548"/>
      <c r="JDZ136" s="552"/>
      <c r="JEA136" s="552"/>
      <c r="JEB136" s="552"/>
      <c r="JEC136" s="552"/>
      <c r="JED136" s="548"/>
      <c r="JEE136" s="553"/>
      <c r="JEF136" s="553"/>
      <c r="JEG136" s="553"/>
      <c r="JEH136" s="8"/>
      <c r="JEI136" s="8"/>
      <c r="JEJ136" s="458"/>
      <c r="JEK136" s="8"/>
      <c r="JEL136" s="8"/>
      <c r="JEM136" s="547"/>
      <c r="JEN136" s="547"/>
      <c r="JEO136" s="547"/>
      <c r="JEP136" s="547"/>
      <c r="JEQ136" s="548"/>
      <c r="JER136" s="547"/>
      <c r="JES136" s="547"/>
      <c r="JET136" s="547"/>
      <c r="JEU136" s="547"/>
      <c r="JEV136" s="548"/>
      <c r="JEW136" s="547"/>
      <c r="JEX136" s="547"/>
      <c r="JEY136" s="547"/>
      <c r="JEZ136" s="547"/>
      <c r="JFA136" s="548"/>
      <c r="JFB136" s="547"/>
      <c r="JFC136" s="547"/>
      <c r="JFD136" s="547"/>
      <c r="JFE136" s="552"/>
      <c r="JFF136" s="548"/>
      <c r="JFG136" s="552"/>
      <c r="JFH136" s="552"/>
      <c r="JFI136" s="552"/>
      <c r="JFJ136" s="552"/>
      <c r="JFK136" s="548"/>
      <c r="JFL136" s="553"/>
      <c r="JFM136" s="553"/>
      <c r="JFN136" s="553"/>
      <c r="JFO136" s="8"/>
      <c r="JFP136" s="8"/>
      <c r="JFQ136" s="458"/>
      <c r="JFR136" s="8"/>
      <c r="JFS136" s="8"/>
      <c r="JFT136" s="547"/>
      <c r="JFU136" s="547"/>
      <c r="JFV136" s="547"/>
      <c r="JFW136" s="547"/>
      <c r="JFX136" s="548"/>
      <c r="JFY136" s="547"/>
      <c r="JFZ136" s="547"/>
      <c r="JGA136" s="547"/>
      <c r="JGB136" s="547"/>
      <c r="JGC136" s="548"/>
      <c r="JGD136" s="547"/>
      <c r="JGE136" s="547"/>
      <c r="JGF136" s="547"/>
      <c r="JGG136" s="547"/>
      <c r="JGH136" s="548"/>
      <c r="JGI136" s="547"/>
      <c r="JGJ136" s="547"/>
      <c r="JGK136" s="547"/>
      <c r="JGL136" s="552"/>
      <c r="JGM136" s="548"/>
      <c r="JGN136" s="552"/>
      <c r="JGO136" s="552"/>
      <c r="JGP136" s="552"/>
      <c r="JGQ136" s="552"/>
      <c r="JGR136" s="548"/>
      <c r="JGS136" s="553"/>
      <c r="JGT136" s="553"/>
      <c r="JGU136" s="553"/>
      <c r="JGV136" s="8"/>
      <c r="JGW136" s="8"/>
      <c r="JGX136" s="458"/>
      <c r="JGY136" s="8"/>
      <c r="JGZ136" s="8"/>
      <c r="JHA136" s="547"/>
      <c r="JHB136" s="547"/>
      <c r="JHC136" s="547"/>
      <c r="JHD136" s="547"/>
      <c r="JHE136" s="548"/>
      <c r="JHF136" s="547"/>
      <c r="JHG136" s="547"/>
      <c r="JHH136" s="547"/>
      <c r="JHI136" s="547"/>
      <c r="JHJ136" s="548"/>
      <c r="JHK136" s="547"/>
      <c r="JHL136" s="547"/>
      <c r="JHM136" s="547"/>
      <c r="JHN136" s="547"/>
      <c r="JHO136" s="548"/>
      <c r="JHP136" s="547"/>
      <c r="JHQ136" s="547"/>
      <c r="JHR136" s="547"/>
      <c r="JHS136" s="552"/>
      <c r="JHT136" s="548"/>
      <c r="JHU136" s="552"/>
      <c r="JHV136" s="552"/>
      <c r="JHW136" s="552"/>
      <c r="JHX136" s="552"/>
      <c r="JHY136" s="548"/>
      <c r="JHZ136" s="553"/>
      <c r="JIA136" s="553"/>
      <c r="JIB136" s="553"/>
      <c r="JIC136" s="8"/>
      <c r="JID136" s="8"/>
      <c r="JIE136" s="458"/>
      <c r="JIF136" s="8"/>
      <c r="JIG136" s="8"/>
      <c r="JIH136" s="547"/>
      <c r="JII136" s="547"/>
      <c r="JIJ136" s="547"/>
      <c r="JIK136" s="547"/>
      <c r="JIL136" s="548"/>
      <c r="JIM136" s="547"/>
      <c r="JIN136" s="547"/>
      <c r="JIO136" s="547"/>
      <c r="JIP136" s="547"/>
      <c r="JIQ136" s="548"/>
      <c r="JIR136" s="547"/>
      <c r="JIS136" s="547"/>
      <c r="JIT136" s="547"/>
      <c r="JIU136" s="547"/>
      <c r="JIV136" s="548"/>
      <c r="JIW136" s="547"/>
      <c r="JIX136" s="547"/>
      <c r="JIY136" s="547"/>
      <c r="JIZ136" s="552"/>
      <c r="JJA136" s="548"/>
      <c r="JJB136" s="552"/>
      <c r="JJC136" s="552"/>
      <c r="JJD136" s="552"/>
      <c r="JJE136" s="552"/>
      <c r="JJF136" s="548"/>
      <c r="JJG136" s="553"/>
      <c r="JJH136" s="553"/>
      <c r="JJI136" s="553"/>
      <c r="JJJ136" s="8"/>
      <c r="JJK136" s="8"/>
      <c r="JJL136" s="458"/>
      <c r="JJM136" s="8"/>
      <c r="JJN136" s="8"/>
      <c r="JJO136" s="547"/>
      <c r="JJP136" s="547"/>
      <c r="JJQ136" s="547"/>
      <c r="JJR136" s="547"/>
      <c r="JJS136" s="548"/>
      <c r="JJT136" s="547"/>
      <c r="JJU136" s="547"/>
      <c r="JJV136" s="547"/>
      <c r="JJW136" s="547"/>
      <c r="JJX136" s="548"/>
      <c r="JJY136" s="547"/>
      <c r="JJZ136" s="547"/>
      <c r="JKA136" s="547"/>
      <c r="JKB136" s="547"/>
      <c r="JKC136" s="548"/>
      <c r="JKD136" s="547"/>
      <c r="JKE136" s="547"/>
      <c r="JKF136" s="547"/>
      <c r="JKG136" s="552"/>
      <c r="JKH136" s="548"/>
      <c r="JKI136" s="552"/>
      <c r="JKJ136" s="552"/>
      <c r="JKK136" s="552"/>
      <c r="JKL136" s="552"/>
      <c r="JKM136" s="548"/>
      <c r="JKN136" s="553"/>
      <c r="JKO136" s="553"/>
      <c r="JKP136" s="553"/>
      <c r="JKQ136" s="8"/>
      <c r="JKR136" s="8"/>
      <c r="JKS136" s="458"/>
      <c r="JKT136" s="8"/>
      <c r="JKU136" s="8"/>
      <c r="JKV136" s="547"/>
      <c r="JKW136" s="547"/>
      <c r="JKX136" s="547"/>
      <c r="JKY136" s="547"/>
      <c r="JKZ136" s="548"/>
      <c r="JLA136" s="547"/>
      <c r="JLB136" s="547"/>
      <c r="JLC136" s="547"/>
      <c r="JLD136" s="547"/>
      <c r="JLE136" s="548"/>
      <c r="JLF136" s="547"/>
      <c r="JLG136" s="547"/>
      <c r="JLH136" s="547"/>
      <c r="JLI136" s="547"/>
      <c r="JLJ136" s="548"/>
      <c r="JLK136" s="547"/>
      <c r="JLL136" s="547"/>
      <c r="JLM136" s="547"/>
      <c r="JLN136" s="552"/>
      <c r="JLO136" s="548"/>
      <c r="JLP136" s="552"/>
      <c r="JLQ136" s="552"/>
      <c r="JLR136" s="552"/>
      <c r="JLS136" s="552"/>
      <c r="JLT136" s="548"/>
      <c r="JLU136" s="553"/>
      <c r="JLV136" s="553"/>
      <c r="JLW136" s="553"/>
      <c r="JLX136" s="8"/>
      <c r="JLY136" s="8"/>
      <c r="JLZ136" s="458"/>
      <c r="JMA136" s="8"/>
      <c r="JMB136" s="8"/>
      <c r="JMC136" s="547"/>
      <c r="JMD136" s="547"/>
      <c r="JME136" s="547"/>
      <c r="JMF136" s="547"/>
      <c r="JMG136" s="548"/>
      <c r="JMH136" s="547"/>
      <c r="JMI136" s="547"/>
      <c r="JMJ136" s="547"/>
      <c r="JMK136" s="547"/>
      <c r="JML136" s="548"/>
      <c r="JMM136" s="547"/>
      <c r="JMN136" s="547"/>
      <c r="JMO136" s="547"/>
      <c r="JMP136" s="547"/>
      <c r="JMQ136" s="548"/>
      <c r="JMR136" s="547"/>
      <c r="JMS136" s="547"/>
      <c r="JMT136" s="547"/>
      <c r="JMU136" s="552"/>
      <c r="JMV136" s="548"/>
      <c r="JMW136" s="552"/>
      <c r="JMX136" s="552"/>
      <c r="JMY136" s="552"/>
      <c r="JMZ136" s="552"/>
      <c r="JNA136" s="548"/>
      <c r="JNB136" s="553"/>
      <c r="JNC136" s="553"/>
      <c r="JND136" s="553"/>
      <c r="JNE136" s="8"/>
      <c r="JNF136" s="8"/>
      <c r="JNG136" s="458"/>
      <c r="JNH136" s="8"/>
      <c r="JNI136" s="8"/>
      <c r="JNJ136" s="547"/>
      <c r="JNK136" s="547"/>
      <c r="JNL136" s="547"/>
      <c r="JNM136" s="547"/>
      <c r="JNN136" s="548"/>
      <c r="JNO136" s="547"/>
      <c r="JNP136" s="547"/>
      <c r="JNQ136" s="547"/>
      <c r="JNR136" s="547"/>
      <c r="JNS136" s="548"/>
      <c r="JNT136" s="547"/>
      <c r="JNU136" s="547"/>
      <c r="JNV136" s="547"/>
      <c r="JNW136" s="547"/>
      <c r="JNX136" s="548"/>
      <c r="JNY136" s="547"/>
      <c r="JNZ136" s="547"/>
      <c r="JOA136" s="547"/>
      <c r="JOB136" s="552"/>
      <c r="JOC136" s="548"/>
      <c r="JOD136" s="552"/>
      <c r="JOE136" s="552"/>
      <c r="JOF136" s="552"/>
      <c r="JOG136" s="552"/>
      <c r="JOH136" s="548"/>
      <c r="JOI136" s="553"/>
      <c r="JOJ136" s="553"/>
      <c r="JOK136" s="553"/>
      <c r="JOL136" s="8"/>
      <c r="JOM136" s="8"/>
      <c r="JON136" s="458"/>
      <c r="JOO136" s="8"/>
      <c r="JOP136" s="8"/>
      <c r="JOQ136" s="547"/>
      <c r="JOR136" s="547"/>
      <c r="JOS136" s="547"/>
      <c r="JOT136" s="547"/>
      <c r="JOU136" s="548"/>
      <c r="JOV136" s="547"/>
      <c r="JOW136" s="547"/>
      <c r="JOX136" s="547"/>
      <c r="JOY136" s="547"/>
      <c r="JOZ136" s="548"/>
      <c r="JPA136" s="547"/>
      <c r="JPB136" s="547"/>
      <c r="JPC136" s="547"/>
      <c r="JPD136" s="547"/>
      <c r="JPE136" s="548"/>
      <c r="JPF136" s="547"/>
      <c r="JPG136" s="547"/>
      <c r="JPH136" s="547"/>
      <c r="JPI136" s="552"/>
      <c r="JPJ136" s="548"/>
      <c r="JPK136" s="552"/>
      <c r="JPL136" s="552"/>
      <c r="JPM136" s="552"/>
      <c r="JPN136" s="552"/>
      <c r="JPO136" s="548"/>
      <c r="JPP136" s="553"/>
      <c r="JPQ136" s="553"/>
      <c r="JPR136" s="553"/>
      <c r="JPS136" s="8"/>
      <c r="JPT136" s="8"/>
      <c r="JPU136" s="458"/>
      <c r="JPV136" s="8"/>
      <c r="JPW136" s="8"/>
      <c r="JPX136" s="547"/>
      <c r="JPY136" s="547"/>
      <c r="JPZ136" s="547"/>
      <c r="JQA136" s="547"/>
      <c r="JQB136" s="548"/>
      <c r="JQC136" s="547"/>
      <c r="JQD136" s="547"/>
      <c r="JQE136" s="547"/>
      <c r="JQF136" s="547"/>
      <c r="JQG136" s="548"/>
      <c r="JQH136" s="547"/>
      <c r="JQI136" s="547"/>
      <c r="JQJ136" s="547"/>
      <c r="JQK136" s="547"/>
      <c r="JQL136" s="548"/>
      <c r="JQM136" s="547"/>
      <c r="JQN136" s="547"/>
      <c r="JQO136" s="547"/>
      <c r="JQP136" s="552"/>
      <c r="JQQ136" s="548"/>
      <c r="JQR136" s="552"/>
      <c r="JQS136" s="552"/>
      <c r="JQT136" s="552"/>
      <c r="JQU136" s="552"/>
      <c r="JQV136" s="548"/>
      <c r="JQW136" s="553"/>
      <c r="JQX136" s="553"/>
      <c r="JQY136" s="553"/>
      <c r="JQZ136" s="8"/>
      <c r="JRA136" s="8"/>
      <c r="JRB136" s="458"/>
      <c r="JRC136" s="8"/>
      <c r="JRD136" s="8"/>
      <c r="JRE136" s="547"/>
      <c r="JRF136" s="547"/>
      <c r="JRG136" s="547"/>
      <c r="JRH136" s="547"/>
      <c r="JRI136" s="548"/>
      <c r="JRJ136" s="547"/>
      <c r="JRK136" s="547"/>
      <c r="JRL136" s="547"/>
      <c r="JRM136" s="547"/>
      <c r="JRN136" s="548"/>
      <c r="JRO136" s="547"/>
      <c r="JRP136" s="547"/>
      <c r="JRQ136" s="547"/>
      <c r="JRR136" s="547"/>
      <c r="JRS136" s="548"/>
      <c r="JRT136" s="547"/>
      <c r="JRU136" s="547"/>
      <c r="JRV136" s="547"/>
      <c r="JRW136" s="552"/>
      <c r="JRX136" s="548"/>
      <c r="JRY136" s="552"/>
      <c r="JRZ136" s="552"/>
      <c r="JSA136" s="552"/>
      <c r="JSB136" s="552"/>
      <c r="JSC136" s="548"/>
      <c r="JSD136" s="553"/>
      <c r="JSE136" s="553"/>
      <c r="JSF136" s="553"/>
      <c r="JSG136" s="8"/>
      <c r="JSH136" s="8"/>
      <c r="JSI136" s="458"/>
      <c r="JSJ136" s="8"/>
      <c r="JSK136" s="8"/>
      <c r="JSL136" s="547"/>
      <c r="JSM136" s="547"/>
      <c r="JSN136" s="547"/>
      <c r="JSO136" s="547"/>
      <c r="JSP136" s="548"/>
      <c r="JSQ136" s="547"/>
      <c r="JSR136" s="547"/>
      <c r="JSS136" s="547"/>
      <c r="JST136" s="547"/>
      <c r="JSU136" s="548"/>
      <c r="JSV136" s="547"/>
      <c r="JSW136" s="547"/>
      <c r="JSX136" s="547"/>
      <c r="JSY136" s="547"/>
      <c r="JSZ136" s="548"/>
      <c r="JTA136" s="547"/>
      <c r="JTB136" s="547"/>
      <c r="JTC136" s="547"/>
      <c r="JTD136" s="552"/>
      <c r="JTE136" s="548"/>
      <c r="JTF136" s="552"/>
      <c r="JTG136" s="552"/>
      <c r="JTH136" s="552"/>
      <c r="JTI136" s="552"/>
      <c r="JTJ136" s="548"/>
      <c r="JTK136" s="553"/>
      <c r="JTL136" s="553"/>
      <c r="JTM136" s="553"/>
      <c r="JTN136" s="8"/>
      <c r="JTO136" s="8"/>
      <c r="JTP136" s="458"/>
      <c r="JTQ136" s="8"/>
      <c r="JTR136" s="8"/>
      <c r="JTS136" s="547"/>
      <c r="JTT136" s="547"/>
      <c r="JTU136" s="547"/>
      <c r="JTV136" s="547"/>
      <c r="JTW136" s="548"/>
      <c r="JTX136" s="547"/>
      <c r="JTY136" s="547"/>
      <c r="JTZ136" s="547"/>
      <c r="JUA136" s="547"/>
      <c r="JUB136" s="548"/>
      <c r="JUC136" s="547"/>
      <c r="JUD136" s="547"/>
      <c r="JUE136" s="547"/>
      <c r="JUF136" s="547"/>
      <c r="JUG136" s="548"/>
      <c r="JUH136" s="547"/>
      <c r="JUI136" s="547"/>
      <c r="JUJ136" s="547"/>
      <c r="JUK136" s="552"/>
      <c r="JUL136" s="548"/>
      <c r="JUM136" s="552"/>
      <c r="JUN136" s="552"/>
      <c r="JUO136" s="552"/>
      <c r="JUP136" s="552"/>
      <c r="JUQ136" s="548"/>
      <c r="JUR136" s="553"/>
      <c r="JUS136" s="553"/>
      <c r="JUT136" s="553"/>
      <c r="JUU136" s="8"/>
      <c r="JUV136" s="8"/>
      <c r="JUW136" s="458"/>
      <c r="JUX136" s="8"/>
      <c r="JUY136" s="8"/>
      <c r="JUZ136" s="547"/>
      <c r="JVA136" s="547"/>
      <c r="JVB136" s="547"/>
      <c r="JVC136" s="547"/>
      <c r="JVD136" s="548"/>
      <c r="JVE136" s="547"/>
      <c r="JVF136" s="547"/>
      <c r="JVG136" s="547"/>
      <c r="JVH136" s="547"/>
      <c r="JVI136" s="548"/>
      <c r="JVJ136" s="547"/>
      <c r="JVK136" s="547"/>
      <c r="JVL136" s="547"/>
      <c r="JVM136" s="547"/>
      <c r="JVN136" s="548"/>
      <c r="JVO136" s="547"/>
      <c r="JVP136" s="547"/>
      <c r="JVQ136" s="547"/>
      <c r="JVR136" s="552"/>
      <c r="JVS136" s="548"/>
      <c r="JVT136" s="552"/>
      <c r="JVU136" s="552"/>
      <c r="JVV136" s="552"/>
      <c r="JVW136" s="552"/>
      <c r="JVX136" s="548"/>
      <c r="JVY136" s="553"/>
      <c r="JVZ136" s="553"/>
      <c r="JWA136" s="553"/>
      <c r="JWB136" s="8"/>
      <c r="JWC136" s="8"/>
      <c r="JWD136" s="458"/>
      <c r="JWE136" s="8"/>
      <c r="JWF136" s="8"/>
      <c r="JWG136" s="547"/>
      <c r="JWH136" s="547"/>
      <c r="JWI136" s="547"/>
      <c r="JWJ136" s="547"/>
      <c r="JWK136" s="548"/>
      <c r="JWL136" s="547"/>
      <c r="JWM136" s="547"/>
      <c r="JWN136" s="547"/>
      <c r="JWO136" s="547"/>
      <c r="JWP136" s="548"/>
      <c r="JWQ136" s="547"/>
      <c r="JWR136" s="547"/>
      <c r="JWS136" s="547"/>
      <c r="JWT136" s="547"/>
      <c r="JWU136" s="548"/>
      <c r="JWV136" s="547"/>
      <c r="JWW136" s="547"/>
      <c r="JWX136" s="547"/>
      <c r="JWY136" s="552"/>
      <c r="JWZ136" s="548"/>
      <c r="JXA136" s="552"/>
      <c r="JXB136" s="552"/>
      <c r="JXC136" s="552"/>
      <c r="JXD136" s="552"/>
      <c r="JXE136" s="548"/>
      <c r="JXF136" s="553"/>
      <c r="JXG136" s="553"/>
      <c r="JXH136" s="553"/>
      <c r="JXI136" s="8"/>
      <c r="JXJ136" s="8"/>
      <c r="JXK136" s="458"/>
      <c r="JXL136" s="8"/>
      <c r="JXM136" s="8"/>
      <c r="JXN136" s="547"/>
      <c r="JXO136" s="547"/>
      <c r="JXP136" s="547"/>
      <c r="JXQ136" s="547"/>
      <c r="JXR136" s="548"/>
      <c r="JXS136" s="547"/>
      <c r="JXT136" s="547"/>
      <c r="JXU136" s="547"/>
      <c r="JXV136" s="547"/>
      <c r="JXW136" s="548"/>
      <c r="JXX136" s="547"/>
      <c r="JXY136" s="547"/>
      <c r="JXZ136" s="547"/>
      <c r="JYA136" s="547"/>
      <c r="JYB136" s="548"/>
      <c r="JYC136" s="547"/>
      <c r="JYD136" s="547"/>
      <c r="JYE136" s="547"/>
      <c r="JYF136" s="552"/>
      <c r="JYG136" s="548"/>
      <c r="JYH136" s="552"/>
      <c r="JYI136" s="552"/>
      <c r="JYJ136" s="552"/>
      <c r="JYK136" s="552"/>
      <c r="JYL136" s="548"/>
      <c r="JYM136" s="553"/>
      <c r="JYN136" s="553"/>
      <c r="JYO136" s="553"/>
      <c r="JYP136" s="8"/>
      <c r="JYQ136" s="8"/>
      <c r="JYR136" s="458"/>
      <c r="JYS136" s="8"/>
      <c r="JYT136" s="8"/>
      <c r="JYU136" s="547"/>
      <c r="JYV136" s="547"/>
      <c r="JYW136" s="547"/>
      <c r="JYX136" s="547"/>
      <c r="JYY136" s="548"/>
      <c r="JYZ136" s="547"/>
      <c r="JZA136" s="547"/>
      <c r="JZB136" s="547"/>
      <c r="JZC136" s="547"/>
      <c r="JZD136" s="548"/>
      <c r="JZE136" s="547"/>
      <c r="JZF136" s="547"/>
      <c r="JZG136" s="547"/>
      <c r="JZH136" s="547"/>
      <c r="JZI136" s="548"/>
      <c r="JZJ136" s="547"/>
      <c r="JZK136" s="547"/>
      <c r="JZL136" s="547"/>
      <c r="JZM136" s="552"/>
      <c r="JZN136" s="548"/>
      <c r="JZO136" s="552"/>
      <c r="JZP136" s="552"/>
      <c r="JZQ136" s="552"/>
      <c r="JZR136" s="552"/>
      <c r="JZS136" s="548"/>
      <c r="JZT136" s="553"/>
      <c r="JZU136" s="553"/>
      <c r="JZV136" s="553"/>
      <c r="JZW136" s="8"/>
      <c r="JZX136" s="8"/>
      <c r="JZY136" s="458"/>
      <c r="JZZ136" s="8"/>
      <c r="KAA136" s="8"/>
      <c r="KAB136" s="547"/>
      <c r="KAC136" s="547"/>
      <c r="KAD136" s="547"/>
      <c r="KAE136" s="547"/>
      <c r="KAF136" s="548"/>
      <c r="KAG136" s="547"/>
      <c r="KAH136" s="547"/>
      <c r="KAI136" s="547"/>
      <c r="KAJ136" s="547"/>
      <c r="KAK136" s="548"/>
      <c r="KAL136" s="547"/>
      <c r="KAM136" s="547"/>
      <c r="KAN136" s="547"/>
      <c r="KAO136" s="547"/>
      <c r="KAP136" s="548"/>
      <c r="KAQ136" s="547"/>
      <c r="KAR136" s="547"/>
      <c r="KAS136" s="547"/>
      <c r="KAT136" s="552"/>
      <c r="KAU136" s="548"/>
      <c r="KAV136" s="552"/>
      <c r="KAW136" s="552"/>
      <c r="KAX136" s="552"/>
      <c r="KAY136" s="552"/>
      <c r="KAZ136" s="548"/>
      <c r="KBA136" s="553"/>
      <c r="KBB136" s="553"/>
      <c r="KBC136" s="553"/>
      <c r="KBD136" s="8"/>
      <c r="KBE136" s="8"/>
      <c r="KBF136" s="458"/>
      <c r="KBG136" s="8"/>
      <c r="KBH136" s="8"/>
      <c r="KBI136" s="547"/>
      <c r="KBJ136" s="547"/>
      <c r="KBK136" s="547"/>
      <c r="KBL136" s="547"/>
      <c r="KBM136" s="548"/>
      <c r="KBN136" s="547"/>
      <c r="KBO136" s="547"/>
      <c r="KBP136" s="547"/>
      <c r="KBQ136" s="547"/>
      <c r="KBR136" s="548"/>
      <c r="KBS136" s="547"/>
      <c r="KBT136" s="547"/>
      <c r="KBU136" s="547"/>
      <c r="KBV136" s="547"/>
      <c r="KBW136" s="548"/>
      <c r="KBX136" s="547"/>
      <c r="KBY136" s="547"/>
      <c r="KBZ136" s="547"/>
      <c r="KCA136" s="552"/>
      <c r="KCB136" s="548"/>
      <c r="KCC136" s="552"/>
      <c r="KCD136" s="552"/>
      <c r="KCE136" s="552"/>
      <c r="KCF136" s="552"/>
      <c r="KCG136" s="548"/>
      <c r="KCH136" s="553"/>
      <c r="KCI136" s="553"/>
      <c r="KCJ136" s="553"/>
      <c r="KCK136" s="8"/>
      <c r="KCL136" s="8"/>
      <c r="KCM136" s="458"/>
      <c r="KCN136" s="8"/>
      <c r="KCO136" s="8"/>
      <c r="KCP136" s="547"/>
      <c r="KCQ136" s="547"/>
      <c r="KCR136" s="547"/>
      <c r="KCS136" s="547"/>
      <c r="KCT136" s="548"/>
      <c r="KCU136" s="547"/>
      <c r="KCV136" s="547"/>
      <c r="KCW136" s="547"/>
      <c r="KCX136" s="547"/>
      <c r="KCY136" s="548"/>
      <c r="KCZ136" s="547"/>
      <c r="KDA136" s="547"/>
      <c r="KDB136" s="547"/>
      <c r="KDC136" s="547"/>
      <c r="KDD136" s="548"/>
      <c r="KDE136" s="547"/>
      <c r="KDF136" s="547"/>
      <c r="KDG136" s="547"/>
      <c r="KDH136" s="552"/>
      <c r="KDI136" s="548"/>
      <c r="KDJ136" s="552"/>
      <c r="KDK136" s="552"/>
      <c r="KDL136" s="552"/>
      <c r="KDM136" s="552"/>
      <c r="KDN136" s="548"/>
      <c r="KDO136" s="553"/>
      <c r="KDP136" s="553"/>
      <c r="KDQ136" s="553"/>
      <c r="KDR136" s="8"/>
      <c r="KDS136" s="8"/>
      <c r="KDT136" s="458"/>
      <c r="KDU136" s="8"/>
      <c r="KDV136" s="8"/>
      <c r="KDW136" s="547"/>
      <c r="KDX136" s="547"/>
      <c r="KDY136" s="547"/>
      <c r="KDZ136" s="547"/>
      <c r="KEA136" s="548"/>
      <c r="KEB136" s="547"/>
      <c r="KEC136" s="547"/>
      <c r="KED136" s="547"/>
      <c r="KEE136" s="547"/>
      <c r="KEF136" s="548"/>
      <c r="KEG136" s="547"/>
      <c r="KEH136" s="547"/>
      <c r="KEI136" s="547"/>
      <c r="KEJ136" s="547"/>
      <c r="KEK136" s="548"/>
      <c r="KEL136" s="547"/>
      <c r="KEM136" s="547"/>
      <c r="KEN136" s="547"/>
      <c r="KEO136" s="552"/>
      <c r="KEP136" s="548"/>
      <c r="KEQ136" s="552"/>
      <c r="KER136" s="552"/>
      <c r="KES136" s="552"/>
      <c r="KET136" s="552"/>
      <c r="KEU136" s="548"/>
      <c r="KEV136" s="553"/>
      <c r="KEW136" s="553"/>
      <c r="KEX136" s="553"/>
      <c r="KEY136" s="8"/>
      <c r="KEZ136" s="8"/>
      <c r="KFA136" s="458"/>
      <c r="KFB136" s="8"/>
      <c r="KFC136" s="8"/>
      <c r="KFD136" s="547"/>
      <c r="KFE136" s="547"/>
      <c r="KFF136" s="547"/>
      <c r="KFG136" s="547"/>
      <c r="KFH136" s="548"/>
      <c r="KFI136" s="547"/>
      <c r="KFJ136" s="547"/>
      <c r="KFK136" s="547"/>
      <c r="KFL136" s="547"/>
      <c r="KFM136" s="548"/>
      <c r="KFN136" s="547"/>
      <c r="KFO136" s="547"/>
      <c r="KFP136" s="547"/>
      <c r="KFQ136" s="547"/>
      <c r="KFR136" s="548"/>
      <c r="KFS136" s="547"/>
      <c r="KFT136" s="547"/>
      <c r="KFU136" s="547"/>
      <c r="KFV136" s="552"/>
      <c r="KFW136" s="548"/>
      <c r="KFX136" s="552"/>
      <c r="KFY136" s="552"/>
      <c r="KFZ136" s="552"/>
      <c r="KGA136" s="552"/>
      <c r="KGB136" s="548"/>
      <c r="KGC136" s="553"/>
      <c r="KGD136" s="553"/>
      <c r="KGE136" s="553"/>
      <c r="KGF136" s="8"/>
      <c r="KGG136" s="8"/>
      <c r="KGH136" s="458"/>
      <c r="KGI136" s="8"/>
      <c r="KGJ136" s="8"/>
      <c r="KGK136" s="547"/>
      <c r="KGL136" s="547"/>
      <c r="KGM136" s="547"/>
      <c r="KGN136" s="547"/>
      <c r="KGO136" s="548"/>
      <c r="KGP136" s="547"/>
      <c r="KGQ136" s="547"/>
      <c r="KGR136" s="547"/>
      <c r="KGS136" s="547"/>
      <c r="KGT136" s="548"/>
      <c r="KGU136" s="547"/>
      <c r="KGV136" s="547"/>
      <c r="KGW136" s="547"/>
      <c r="KGX136" s="547"/>
      <c r="KGY136" s="548"/>
      <c r="KGZ136" s="547"/>
      <c r="KHA136" s="547"/>
      <c r="KHB136" s="547"/>
      <c r="KHC136" s="552"/>
      <c r="KHD136" s="548"/>
      <c r="KHE136" s="552"/>
      <c r="KHF136" s="552"/>
      <c r="KHG136" s="552"/>
      <c r="KHH136" s="552"/>
      <c r="KHI136" s="548"/>
      <c r="KHJ136" s="553"/>
      <c r="KHK136" s="553"/>
      <c r="KHL136" s="553"/>
      <c r="KHM136" s="8"/>
      <c r="KHN136" s="8"/>
      <c r="KHO136" s="458"/>
      <c r="KHP136" s="8"/>
      <c r="KHQ136" s="8"/>
      <c r="KHR136" s="547"/>
      <c r="KHS136" s="547"/>
      <c r="KHT136" s="547"/>
      <c r="KHU136" s="547"/>
      <c r="KHV136" s="548"/>
      <c r="KHW136" s="547"/>
      <c r="KHX136" s="547"/>
      <c r="KHY136" s="547"/>
      <c r="KHZ136" s="547"/>
      <c r="KIA136" s="548"/>
      <c r="KIB136" s="547"/>
      <c r="KIC136" s="547"/>
      <c r="KID136" s="547"/>
      <c r="KIE136" s="547"/>
      <c r="KIF136" s="548"/>
      <c r="KIG136" s="547"/>
      <c r="KIH136" s="547"/>
      <c r="KII136" s="547"/>
      <c r="KIJ136" s="552"/>
      <c r="KIK136" s="548"/>
      <c r="KIL136" s="552"/>
      <c r="KIM136" s="552"/>
      <c r="KIN136" s="552"/>
      <c r="KIO136" s="552"/>
      <c r="KIP136" s="548"/>
      <c r="KIQ136" s="553"/>
      <c r="KIR136" s="553"/>
      <c r="KIS136" s="553"/>
      <c r="KIT136" s="8"/>
      <c r="KIU136" s="8"/>
      <c r="KIV136" s="458"/>
      <c r="KIW136" s="8"/>
      <c r="KIX136" s="8"/>
      <c r="KIY136" s="547"/>
      <c r="KIZ136" s="547"/>
      <c r="KJA136" s="547"/>
      <c r="KJB136" s="547"/>
      <c r="KJC136" s="548"/>
      <c r="KJD136" s="547"/>
      <c r="KJE136" s="547"/>
      <c r="KJF136" s="547"/>
      <c r="KJG136" s="547"/>
      <c r="KJH136" s="548"/>
      <c r="KJI136" s="547"/>
      <c r="KJJ136" s="547"/>
      <c r="KJK136" s="547"/>
      <c r="KJL136" s="547"/>
      <c r="KJM136" s="548"/>
      <c r="KJN136" s="547"/>
      <c r="KJO136" s="547"/>
      <c r="KJP136" s="547"/>
      <c r="KJQ136" s="552"/>
      <c r="KJR136" s="548"/>
      <c r="KJS136" s="552"/>
      <c r="KJT136" s="552"/>
      <c r="KJU136" s="552"/>
      <c r="KJV136" s="552"/>
      <c r="KJW136" s="548"/>
      <c r="KJX136" s="553"/>
      <c r="KJY136" s="553"/>
      <c r="KJZ136" s="553"/>
      <c r="KKA136" s="8"/>
      <c r="KKB136" s="8"/>
      <c r="KKC136" s="458"/>
      <c r="KKD136" s="8"/>
      <c r="KKE136" s="8"/>
      <c r="KKF136" s="547"/>
      <c r="KKG136" s="547"/>
      <c r="KKH136" s="547"/>
      <c r="KKI136" s="547"/>
      <c r="KKJ136" s="548"/>
      <c r="KKK136" s="547"/>
      <c r="KKL136" s="547"/>
      <c r="KKM136" s="547"/>
      <c r="KKN136" s="547"/>
      <c r="KKO136" s="548"/>
      <c r="KKP136" s="547"/>
      <c r="KKQ136" s="547"/>
      <c r="KKR136" s="547"/>
      <c r="KKS136" s="547"/>
      <c r="KKT136" s="548"/>
      <c r="KKU136" s="547"/>
      <c r="KKV136" s="547"/>
      <c r="KKW136" s="547"/>
      <c r="KKX136" s="552"/>
      <c r="KKY136" s="548"/>
      <c r="KKZ136" s="552"/>
      <c r="KLA136" s="552"/>
      <c r="KLB136" s="552"/>
      <c r="KLC136" s="552"/>
      <c r="KLD136" s="548"/>
      <c r="KLE136" s="553"/>
      <c r="KLF136" s="553"/>
      <c r="KLG136" s="553"/>
      <c r="KLH136" s="8"/>
      <c r="KLI136" s="8"/>
      <c r="KLJ136" s="458"/>
      <c r="KLK136" s="8"/>
      <c r="KLL136" s="8"/>
      <c r="KLM136" s="547"/>
      <c r="KLN136" s="547"/>
      <c r="KLO136" s="547"/>
      <c r="KLP136" s="547"/>
      <c r="KLQ136" s="548"/>
      <c r="KLR136" s="547"/>
      <c r="KLS136" s="547"/>
      <c r="KLT136" s="547"/>
      <c r="KLU136" s="547"/>
      <c r="KLV136" s="548"/>
      <c r="KLW136" s="547"/>
      <c r="KLX136" s="547"/>
      <c r="KLY136" s="547"/>
      <c r="KLZ136" s="547"/>
      <c r="KMA136" s="548"/>
      <c r="KMB136" s="547"/>
      <c r="KMC136" s="547"/>
      <c r="KMD136" s="547"/>
      <c r="KME136" s="552"/>
      <c r="KMF136" s="548"/>
      <c r="KMG136" s="552"/>
      <c r="KMH136" s="552"/>
      <c r="KMI136" s="552"/>
      <c r="KMJ136" s="552"/>
      <c r="KMK136" s="548"/>
      <c r="KML136" s="553"/>
      <c r="KMM136" s="553"/>
      <c r="KMN136" s="553"/>
      <c r="KMO136" s="8"/>
      <c r="KMP136" s="8"/>
      <c r="KMQ136" s="458"/>
      <c r="KMR136" s="8"/>
      <c r="KMS136" s="8"/>
      <c r="KMT136" s="547"/>
      <c r="KMU136" s="547"/>
      <c r="KMV136" s="547"/>
      <c r="KMW136" s="547"/>
      <c r="KMX136" s="548"/>
      <c r="KMY136" s="547"/>
      <c r="KMZ136" s="547"/>
      <c r="KNA136" s="547"/>
      <c r="KNB136" s="547"/>
      <c r="KNC136" s="548"/>
      <c r="KND136" s="547"/>
      <c r="KNE136" s="547"/>
      <c r="KNF136" s="547"/>
      <c r="KNG136" s="547"/>
      <c r="KNH136" s="548"/>
      <c r="KNI136" s="547"/>
      <c r="KNJ136" s="547"/>
      <c r="KNK136" s="547"/>
      <c r="KNL136" s="552"/>
      <c r="KNM136" s="548"/>
      <c r="KNN136" s="552"/>
      <c r="KNO136" s="552"/>
      <c r="KNP136" s="552"/>
      <c r="KNQ136" s="552"/>
      <c r="KNR136" s="548"/>
      <c r="KNS136" s="553"/>
      <c r="KNT136" s="553"/>
      <c r="KNU136" s="553"/>
      <c r="KNV136" s="8"/>
      <c r="KNW136" s="8"/>
      <c r="KNX136" s="458"/>
      <c r="KNY136" s="8"/>
      <c r="KNZ136" s="8"/>
      <c r="KOA136" s="547"/>
      <c r="KOB136" s="547"/>
      <c r="KOC136" s="547"/>
      <c r="KOD136" s="547"/>
      <c r="KOE136" s="548"/>
      <c r="KOF136" s="547"/>
      <c r="KOG136" s="547"/>
      <c r="KOH136" s="547"/>
      <c r="KOI136" s="547"/>
      <c r="KOJ136" s="548"/>
      <c r="KOK136" s="547"/>
      <c r="KOL136" s="547"/>
      <c r="KOM136" s="547"/>
      <c r="KON136" s="547"/>
      <c r="KOO136" s="548"/>
      <c r="KOP136" s="547"/>
      <c r="KOQ136" s="547"/>
      <c r="KOR136" s="547"/>
      <c r="KOS136" s="552"/>
      <c r="KOT136" s="548"/>
      <c r="KOU136" s="552"/>
      <c r="KOV136" s="552"/>
      <c r="KOW136" s="552"/>
      <c r="KOX136" s="552"/>
      <c r="KOY136" s="548"/>
      <c r="KOZ136" s="553"/>
      <c r="KPA136" s="553"/>
      <c r="KPB136" s="553"/>
      <c r="KPC136" s="8"/>
      <c r="KPD136" s="8"/>
      <c r="KPE136" s="458"/>
      <c r="KPF136" s="8"/>
      <c r="KPG136" s="8"/>
      <c r="KPH136" s="547"/>
      <c r="KPI136" s="547"/>
      <c r="KPJ136" s="547"/>
      <c r="KPK136" s="547"/>
      <c r="KPL136" s="548"/>
      <c r="KPM136" s="547"/>
      <c r="KPN136" s="547"/>
      <c r="KPO136" s="547"/>
      <c r="KPP136" s="547"/>
      <c r="KPQ136" s="548"/>
      <c r="KPR136" s="547"/>
      <c r="KPS136" s="547"/>
      <c r="KPT136" s="547"/>
      <c r="KPU136" s="547"/>
      <c r="KPV136" s="548"/>
      <c r="KPW136" s="547"/>
      <c r="KPX136" s="547"/>
      <c r="KPY136" s="547"/>
      <c r="KPZ136" s="552"/>
      <c r="KQA136" s="548"/>
      <c r="KQB136" s="552"/>
      <c r="KQC136" s="552"/>
      <c r="KQD136" s="552"/>
      <c r="KQE136" s="552"/>
      <c r="KQF136" s="548"/>
      <c r="KQG136" s="553"/>
      <c r="KQH136" s="553"/>
      <c r="KQI136" s="553"/>
      <c r="KQJ136" s="8"/>
      <c r="KQK136" s="8"/>
      <c r="KQL136" s="458"/>
      <c r="KQM136" s="8"/>
      <c r="KQN136" s="8"/>
      <c r="KQO136" s="547"/>
      <c r="KQP136" s="547"/>
      <c r="KQQ136" s="547"/>
      <c r="KQR136" s="547"/>
      <c r="KQS136" s="548"/>
      <c r="KQT136" s="547"/>
      <c r="KQU136" s="547"/>
      <c r="KQV136" s="547"/>
      <c r="KQW136" s="547"/>
      <c r="KQX136" s="548"/>
      <c r="KQY136" s="547"/>
      <c r="KQZ136" s="547"/>
      <c r="KRA136" s="547"/>
      <c r="KRB136" s="547"/>
      <c r="KRC136" s="548"/>
      <c r="KRD136" s="547"/>
      <c r="KRE136" s="547"/>
      <c r="KRF136" s="547"/>
      <c r="KRG136" s="552"/>
      <c r="KRH136" s="548"/>
      <c r="KRI136" s="552"/>
      <c r="KRJ136" s="552"/>
      <c r="KRK136" s="552"/>
      <c r="KRL136" s="552"/>
      <c r="KRM136" s="548"/>
      <c r="KRN136" s="553"/>
      <c r="KRO136" s="553"/>
      <c r="KRP136" s="553"/>
      <c r="KRQ136" s="8"/>
      <c r="KRR136" s="8"/>
      <c r="KRS136" s="458"/>
      <c r="KRT136" s="8"/>
      <c r="KRU136" s="8"/>
      <c r="KRV136" s="547"/>
      <c r="KRW136" s="547"/>
      <c r="KRX136" s="547"/>
      <c r="KRY136" s="547"/>
      <c r="KRZ136" s="548"/>
      <c r="KSA136" s="547"/>
      <c r="KSB136" s="547"/>
      <c r="KSC136" s="547"/>
      <c r="KSD136" s="547"/>
      <c r="KSE136" s="548"/>
      <c r="KSF136" s="547"/>
      <c r="KSG136" s="547"/>
      <c r="KSH136" s="547"/>
      <c r="KSI136" s="547"/>
      <c r="KSJ136" s="548"/>
      <c r="KSK136" s="547"/>
      <c r="KSL136" s="547"/>
      <c r="KSM136" s="547"/>
      <c r="KSN136" s="552"/>
      <c r="KSO136" s="548"/>
      <c r="KSP136" s="552"/>
      <c r="KSQ136" s="552"/>
      <c r="KSR136" s="552"/>
      <c r="KSS136" s="552"/>
      <c r="KST136" s="548"/>
      <c r="KSU136" s="553"/>
      <c r="KSV136" s="553"/>
      <c r="KSW136" s="553"/>
      <c r="KSX136" s="8"/>
      <c r="KSY136" s="8"/>
      <c r="KSZ136" s="458"/>
      <c r="KTA136" s="8"/>
      <c r="KTB136" s="8"/>
      <c r="KTC136" s="547"/>
      <c r="KTD136" s="547"/>
      <c r="KTE136" s="547"/>
      <c r="KTF136" s="547"/>
      <c r="KTG136" s="548"/>
      <c r="KTH136" s="547"/>
      <c r="KTI136" s="547"/>
      <c r="KTJ136" s="547"/>
      <c r="KTK136" s="547"/>
      <c r="KTL136" s="548"/>
      <c r="KTM136" s="547"/>
      <c r="KTN136" s="547"/>
      <c r="KTO136" s="547"/>
      <c r="KTP136" s="547"/>
      <c r="KTQ136" s="548"/>
      <c r="KTR136" s="547"/>
      <c r="KTS136" s="547"/>
      <c r="KTT136" s="547"/>
      <c r="KTU136" s="552"/>
      <c r="KTV136" s="548"/>
      <c r="KTW136" s="552"/>
      <c r="KTX136" s="552"/>
      <c r="KTY136" s="552"/>
      <c r="KTZ136" s="552"/>
      <c r="KUA136" s="548"/>
      <c r="KUB136" s="553"/>
      <c r="KUC136" s="553"/>
      <c r="KUD136" s="553"/>
      <c r="KUE136" s="8"/>
      <c r="KUF136" s="8"/>
      <c r="KUG136" s="458"/>
      <c r="KUH136" s="8"/>
      <c r="KUI136" s="8"/>
      <c r="KUJ136" s="547"/>
      <c r="KUK136" s="547"/>
      <c r="KUL136" s="547"/>
      <c r="KUM136" s="547"/>
      <c r="KUN136" s="548"/>
      <c r="KUO136" s="547"/>
      <c r="KUP136" s="547"/>
      <c r="KUQ136" s="547"/>
      <c r="KUR136" s="547"/>
      <c r="KUS136" s="548"/>
      <c r="KUT136" s="547"/>
      <c r="KUU136" s="547"/>
      <c r="KUV136" s="547"/>
      <c r="KUW136" s="547"/>
      <c r="KUX136" s="548"/>
      <c r="KUY136" s="547"/>
      <c r="KUZ136" s="547"/>
      <c r="KVA136" s="547"/>
      <c r="KVB136" s="552"/>
      <c r="KVC136" s="548"/>
      <c r="KVD136" s="552"/>
      <c r="KVE136" s="552"/>
      <c r="KVF136" s="552"/>
      <c r="KVG136" s="552"/>
      <c r="KVH136" s="548"/>
      <c r="KVI136" s="553"/>
      <c r="KVJ136" s="553"/>
      <c r="KVK136" s="553"/>
      <c r="KVL136" s="8"/>
      <c r="KVM136" s="8"/>
      <c r="KVN136" s="458"/>
      <c r="KVO136" s="8"/>
      <c r="KVP136" s="8"/>
      <c r="KVQ136" s="547"/>
      <c r="KVR136" s="547"/>
      <c r="KVS136" s="547"/>
      <c r="KVT136" s="547"/>
      <c r="KVU136" s="548"/>
      <c r="KVV136" s="547"/>
      <c r="KVW136" s="547"/>
      <c r="KVX136" s="547"/>
      <c r="KVY136" s="547"/>
      <c r="KVZ136" s="548"/>
      <c r="KWA136" s="547"/>
      <c r="KWB136" s="547"/>
      <c r="KWC136" s="547"/>
      <c r="KWD136" s="547"/>
      <c r="KWE136" s="548"/>
      <c r="KWF136" s="547"/>
      <c r="KWG136" s="547"/>
      <c r="KWH136" s="547"/>
      <c r="KWI136" s="552"/>
      <c r="KWJ136" s="548"/>
      <c r="KWK136" s="552"/>
      <c r="KWL136" s="552"/>
      <c r="KWM136" s="552"/>
      <c r="KWN136" s="552"/>
      <c r="KWO136" s="548"/>
      <c r="KWP136" s="553"/>
      <c r="KWQ136" s="553"/>
      <c r="KWR136" s="553"/>
      <c r="KWS136" s="8"/>
      <c r="KWT136" s="8"/>
      <c r="KWU136" s="458"/>
      <c r="KWV136" s="8"/>
      <c r="KWW136" s="8"/>
      <c r="KWX136" s="547"/>
      <c r="KWY136" s="547"/>
      <c r="KWZ136" s="547"/>
      <c r="KXA136" s="547"/>
      <c r="KXB136" s="548"/>
      <c r="KXC136" s="547"/>
      <c r="KXD136" s="547"/>
      <c r="KXE136" s="547"/>
      <c r="KXF136" s="547"/>
      <c r="KXG136" s="548"/>
      <c r="KXH136" s="547"/>
      <c r="KXI136" s="547"/>
      <c r="KXJ136" s="547"/>
      <c r="KXK136" s="547"/>
      <c r="KXL136" s="548"/>
      <c r="KXM136" s="547"/>
      <c r="KXN136" s="547"/>
      <c r="KXO136" s="547"/>
      <c r="KXP136" s="552"/>
      <c r="KXQ136" s="548"/>
      <c r="KXR136" s="552"/>
      <c r="KXS136" s="552"/>
      <c r="KXT136" s="552"/>
      <c r="KXU136" s="552"/>
      <c r="KXV136" s="548"/>
      <c r="KXW136" s="553"/>
      <c r="KXX136" s="553"/>
      <c r="KXY136" s="553"/>
      <c r="KXZ136" s="8"/>
      <c r="KYA136" s="8"/>
      <c r="KYB136" s="458"/>
      <c r="KYC136" s="8"/>
      <c r="KYD136" s="8"/>
      <c r="KYE136" s="547"/>
      <c r="KYF136" s="547"/>
      <c r="KYG136" s="547"/>
      <c r="KYH136" s="547"/>
      <c r="KYI136" s="548"/>
      <c r="KYJ136" s="547"/>
      <c r="KYK136" s="547"/>
      <c r="KYL136" s="547"/>
      <c r="KYM136" s="547"/>
      <c r="KYN136" s="548"/>
      <c r="KYO136" s="547"/>
      <c r="KYP136" s="547"/>
      <c r="KYQ136" s="547"/>
      <c r="KYR136" s="547"/>
      <c r="KYS136" s="548"/>
      <c r="KYT136" s="547"/>
      <c r="KYU136" s="547"/>
      <c r="KYV136" s="547"/>
      <c r="KYW136" s="552"/>
      <c r="KYX136" s="548"/>
      <c r="KYY136" s="552"/>
      <c r="KYZ136" s="552"/>
      <c r="KZA136" s="552"/>
      <c r="KZB136" s="552"/>
      <c r="KZC136" s="548"/>
      <c r="KZD136" s="553"/>
      <c r="KZE136" s="553"/>
      <c r="KZF136" s="553"/>
      <c r="KZG136" s="8"/>
      <c r="KZH136" s="8"/>
      <c r="KZI136" s="458"/>
      <c r="KZJ136" s="8"/>
      <c r="KZK136" s="8"/>
      <c r="KZL136" s="547"/>
      <c r="KZM136" s="547"/>
      <c r="KZN136" s="547"/>
      <c r="KZO136" s="547"/>
      <c r="KZP136" s="548"/>
      <c r="KZQ136" s="547"/>
      <c r="KZR136" s="547"/>
      <c r="KZS136" s="547"/>
      <c r="KZT136" s="547"/>
      <c r="KZU136" s="548"/>
      <c r="KZV136" s="547"/>
      <c r="KZW136" s="547"/>
      <c r="KZX136" s="547"/>
      <c r="KZY136" s="547"/>
      <c r="KZZ136" s="548"/>
      <c r="LAA136" s="547"/>
      <c r="LAB136" s="547"/>
      <c r="LAC136" s="547"/>
      <c r="LAD136" s="552"/>
      <c r="LAE136" s="548"/>
      <c r="LAF136" s="552"/>
      <c r="LAG136" s="552"/>
      <c r="LAH136" s="552"/>
      <c r="LAI136" s="552"/>
      <c r="LAJ136" s="548"/>
      <c r="LAK136" s="553"/>
      <c r="LAL136" s="553"/>
      <c r="LAM136" s="553"/>
      <c r="LAN136" s="8"/>
      <c r="LAO136" s="8"/>
      <c r="LAP136" s="458"/>
      <c r="LAQ136" s="8"/>
      <c r="LAR136" s="8"/>
      <c r="LAS136" s="547"/>
      <c r="LAT136" s="547"/>
      <c r="LAU136" s="547"/>
      <c r="LAV136" s="547"/>
      <c r="LAW136" s="548"/>
      <c r="LAX136" s="547"/>
      <c r="LAY136" s="547"/>
      <c r="LAZ136" s="547"/>
      <c r="LBA136" s="547"/>
      <c r="LBB136" s="548"/>
      <c r="LBC136" s="547"/>
      <c r="LBD136" s="547"/>
      <c r="LBE136" s="547"/>
      <c r="LBF136" s="547"/>
      <c r="LBG136" s="548"/>
      <c r="LBH136" s="547"/>
      <c r="LBI136" s="547"/>
      <c r="LBJ136" s="547"/>
      <c r="LBK136" s="552"/>
      <c r="LBL136" s="548"/>
      <c r="LBM136" s="552"/>
      <c r="LBN136" s="552"/>
      <c r="LBO136" s="552"/>
      <c r="LBP136" s="552"/>
      <c r="LBQ136" s="548"/>
      <c r="LBR136" s="553"/>
      <c r="LBS136" s="553"/>
      <c r="LBT136" s="553"/>
      <c r="LBU136" s="8"/>
      <c r="LBV136" s="8"/>
      <c r="LBW136" s="458"/>
      <c r="LBX136" s="8"/>
      <c r="LBY136" s="8"/>
      <c r="LBZ136" s="547"/>
      <c r="LCA136" s="547"/>
      <c r="LCB136" s="547"/>
      <c r="LCC136" s="547"/>
      <c r="LCD136" s="548"/>
      <c r="LCE136" s="547"/>
      <c r="LCF136" s="547"/>
      <c r="LCG136" s="547"/>
      <c r="LCH136" s="547"/>
      <c r="LCI136" s="548"/>
      <c r="LCJ136" s="547"/>
      <c r="LCK136" s="547"/>
      <c r="LCL136" s="547"/>
      <c r="LCM136" s="547"/>
      <c r="LCN136" s="548"/>
      <c r="LCO136" s="547"/>
      <c r="LCP136" s="547"/>
      <c r="LCQ136" s="547"/>
      <c r="LCR136" s="552"/>
      <c r="LCS136" s="548"/>
      <c r="LCT136" s="552"/>
      <c r="LCU136" s="552"/>
      <c r="LCV136" s="552"/>
      <c r="LCW136" s="552"/>
      <c r="LCX136" s="548"/>
      <c r="LCY136" s="553"/>
      <c r="LCZ136" s="553"/>
      <c r="LDA136" s="553"/>
      <c r="LDB136" s="8"/>
      <c r="LDC136" s="8"/>
      <c r="LDD136" s="458"/>
      <c r="LDE136" s="8"/>
      <c r="LDF136" s="8"/>
      <c r="LDG136" s="547"/>
      <c r="LDH136" s="547"/>
      <c r="LDI136" s="547"/>
      <c r="LDJ136" s="547"/>
      <c r="LDK136" s="548"/>
      <c r="LDL136" s="547"/>
      <c r="LDM136" s="547"/>
      <c r="LDN136" s="547"/>
      <c r="LDO136" s="547"/>
      <c r="LDP136" s="548"/>
      <c r="LDQ136" s="547"/>
      <c r="LDR136" s="547"/>
      <c r="LDS136" s="547"/>
      <c r="LDT136" s="547"/>
      <c r="LDU136" s="548"/>
      <c r="LDV136" s="547"/>
      <c r="LDW136" s="547"/>
      <c r="LDX136" s="547"/>
      <c r="LDY136" s="552"/>
      <c r="LDZ136" s="548"/>
      <c r="LEA136" s="552"/>
      <c r="LEB136" s="552"/>
      <c r="LEC136" s="552"/>
      <c r="LED136" s="552"/>
      <c r="LEE136" s="548"/>
      <c r="LEF136" s="553"/>
      <c r="LEG136" s="553"/>
      <c r="LEH136" s="553"/>
      <c r="LEI136" s="8"/>
      <c r="LEJ136" s="8"/>
      <c r="LEK136" s="458"/>
      <c r="LEL136" s="8"/>
      <c r="LEM136" s="8"/>
      <c r="LEN136" s="547"/>
      <c r="LEO136" s="547"/>
      <c r="LEP136" s="547"/>
      <c r="LEQ136" s="547"/>
      <c r="LER136" s="548"/>
      <c r="LES136" s="547"/>
      <c r="LET136" s="547"/>
      <c r="LEU136" s="547"/>
      <c r="LEV136" s="547"/>
      <c r="LEW136" s="548"/>
      <c r="LEX136" s="547"/>
      <c r="LEY136" s="547"/>
      <c r="LEZ136" s="547"/>
      <c r="LFA136" s="547"/>
      <c r="LFB136" s="548"/>
      <c r="LFC136" s="547"/>
      <c r="LFD136" s="547"/>
      <c r="LFE136" s="547"/>
      <c r="LFF136" s="552"/>
      <c r="LFG136" s="548"/>
      <c r="LFH136" s="552"/>
      <c r="LFI136" s="552"/>
      <c r="LFJ136" s="552"/>
      <c r="LFK136" s="552"/>
      <c r="LFL136" s="548"/>
      <c r="LFM136" s="553"/>
      <c r="LFN136" s="553"/>
      <c r="LFO136" s="553"/>
      <c r="LFP136" s="8"/>
      <c r="LFQ136" s="8"/>
      <c r="LFR136" s="458"/>
      <c r="LFS136" s="8"/>
      <c r="LFT136" s="8"/>
      <c r="LFU136" s="547"/>
      <c r="LFV136" s="547"/>
      <c r="LFW136" s="547"/>
      <c r="LFX136" s="547"/>
      <c r="LFY136" s="548"/>
      <c r="LFZ136" s="547"/>
      <c r="LGA136" s="547"/>
      <c r="LGB136" s="547"/>
      <c r="LGC136" s="547"/>
      <c r="LGD136" s="548"/>
      <c r="LGE136" s="547"/>
      <c r="LGF136" s="547"/>
      <c r="LGG136" s="547"/>
      <c r="LGH136" s="547"/>
      <c r="LGI136" s="548"/>
      <c r="LGJ136" s="547"/>
      <c r="LGK136" s="547"/>
      <c r="LGL136" s="547"/>
      <c r="LGM136" s="552"/>
      <c r="LGN136" s="548"/>
      <c r="LGO136" s="552"/>
      <c r="LGP136" s="552"/>
      <c r="LGQ136" s="552"/>
      <c r="LGR136" s="552"/>
      <c r="LGS136" s="548"/>
      <c r="LGT136" s="553"/>
      <c r="LGU136" s="553"/>
      <c r="LGV136" s="553"/>
      <c r="LGW136" s="8"/>
      <c r="LGX136" s="8"/>
      <c r="LGY136" s="458"/>
      <c r="LGZ136" s="8"/>
      <c r="LHA136" s="8"/>
      <c r="LHB136" s="547"/>
      <c r="LHC136" s="547"/>
      <c r="LHD136" s="547"/>
      <c r="LHE136" s="547"/>
      <c r="LHF136" s="548"/>
      <c r="LHG136" s="547"/>
      <c r="LHH136" s="547"/>
      <c r="LHI136" s="547"/>
      <c r="LHJ136" s="547"/>
      <c r="LHK136" s="548"/>
      <c r="LHL136" s="547"/>
      <c r="LHM136" s="547"/>
      <c r="LHN136" s="547"/>
      <c r="LHO136" s="547"/>
      <c r="LHP136" s="548"/>
      <c r="LHQ136" s="547"/>
      <c r="LHR136" s="547"/>
      <c r="LHS136" s="547"/>
      <c r="LHT136" s="552"/>
      <c r="LHU136" s="548"/>
      <c r="LHV136" s="552"/>
      <c r="LHW136" s="552"/>
      <c r="LHX136" s="552"/>
      <c r="LHY136" s="552"/>
      <c r="LHZ136" s="548"/>
      <c r="LIA136" s="553"/>
      <c r="LIB136" s="553"/>
      <c r="LIC136" s="553"/>
      <c r="LID136" s="8"/>
      <c r="LIE136" s="8"/>
      <c r="LIF136" s="458"/>
      <c r="LIG136" s="8"/>
      <c r="LIH136" s="8"/>
      <c r="LII136" s="547"/>
      <c r="LIJ136" s="547"/>
      <c r="LIK136" s="547"/>
      <c r="LIL136" s="547"/>
      <c r="LIM136" s="548"/>
      <c r="LIN136" s="547"/>
      <c r="LIO136" s="547"/>
      <c r="LIP136" s="547"/>
      <c r="LIQ136" s="547"/>
      <c r="LIR136" s="548"/>
      <c r="LIS136" s="547"/>
      <c r="LIT136" s="547"/>
      <c r="LIU136" s="547"/>
      <c r="LIV136" s="547"/>
      <c r="LIW136" s="548"/>
      <c r="LIX136" s="547"/>
      <c r="LIY136" s="547"/>
      <c r="LIZ136" s="547"/>
      <c r="LJA136" s="552"/>
      <c r="LJB136" s="548"/>
      <c r="LJC136" s="552"/>
      <c r="LJD136" s="552"/>
      <c r="LJE136" s="552"/>
      <c r="LJF136" s="552"/>
      <c r="LJG136" s="548"/>
      <c r="LJH136" s="553"/>
      <c r="LJI136" s="553"/>
      <c r="LJJ136" s="553"/>
      <c r="LJK136" s="8"/>
      <c r="LJL136" s="8"/>
      <c r="LJM136" s="458"/>
      <c r="LJN136" s="8"/>
      <c r="LJO136" s="8"/>
      <c r="LJP136" s="547"/>
      <c r="LJQ136" s="547"/>
      <c r="LJR136" s="547"/>
      <c r="LJS136" s="547"/>
      <c r="LJT136" s="548"/>
      <c r="LJU136" s="547"/>
      <c r="LJV136" s="547"/>
      <c r="LJW136" s="547"/>
      <c r="LJX136" s="547"/>
      <c r="LJY136" s="548"/>
      <c r="LJZ136" s="547"/>
      <c r="LKA136" s="547"/>
      <c r="LKB136" s="547"/>
      <c r="LKC136" s="547"/>
      <c r="LKD136" s="548"/>
      <c r="LKE136" s="547"/>
      <c r="LKF136" s="547"/>
      <c r="LKG136" s="547"/>
      <c r="LKH136" s="552"/>
      <c r="LKI136" s="548"/>
      <c r="LKJ136" s="552"/>
      <c r="LKK136" s="552"/>
      <c r="LKL136" s="552"/>
      <c r="LKM136" s="552"/>
      <c r="LKN136" s="548"/>
      <c r="LKO136" s="553"/>
      <c r="LKP136" s="553"/>
      <c r="LKQ136" s="553"/>
      <c r="LKR136" s="8"/>
      <c r="LKS136" s="8"/>
      <c r="LKT136" s="458"/>
      <c r="LKU136" s="8"/>
      <c r="LKV136" s="8"/>
      <c r="LKW136" s="547"/>
      <c r="LKX136" s="547"/>
      <c r="LKY136" s="547"/>
      <c r="LKZ136" s="547"/>
      <c r="LLA136" s="548"/>
      <c r="LLB136" s="547"/>
      <c r="LLC136" s="547"/>
      <c r="LLD136" s="547"/>
      <c r="LLE136" s="547"/>
      <c r="LLF136" s="548"/>
      <c r="LLG136" s="547"/>
      <c r="LLH136" s="547"/>
      <c r="LLI136" s="547"/>
      <c r="LLJ136" s="547"/>
      <c r="LLK136" s="548"/>
      <c r="LLL136" s="547"/>
      <c r="LLM136" s="547"/>
      <c r="LLN136" s="547"/>
      <c r="LLO136" s="552"/>
      <c r="LLP136" s="548"/>
      <c r="LLQ136" s="552"/>
      <c r="LLR136" s="552"/>
      <c r="LLS136" s="552"/>
      <c r="LLT136" s="552"/>
      <c r="LLU136" s="548"/>
      <c r="LLV136" s="553"/>
      <c r="LLW136" s="553"/>
      <c r="LLX136" s="553"/>
      <c r="LLY136" s="8"/>
      <c r="LLZ136" s="8"/>
      <c r="LMA136" s="458"/>
      <c r="LMB136" s="8"/>
      <c r="LMC136" s="8"/>
      <c r="LMD136" s="547"/>
      <c r="LME136" s="547"/>
      <c r="LMF136" s="547"/>
      <c r="LMG136" s="547"/>
      <c r="LMH136" s="548"/>
      <c r="LMI136" s="547"/>
      <c r="LMJ136" s="547"/>
      <c r="LMK136" s="547"/>
      <c r="LML136" s="547"/>
      <c r="LMM136" s="548"/>
      <c r="LMN136" s="547"/>
      <c r="LMO136" s="547"/>
      <c r="LMP136" s="547"/>
      <c r="LMQ136" s="547"/>
      <c r="LMR136" s="548"/>
      <c r="LMS136" s="547"/>
      <c r="LMT136" s="547"/>
      <c r="LMU136" s="547"/>
      <c r="LMV136" s="552"/>
      <c r="LMW136" s="548"/>
      <c r="LMX136" s="552"/>
      <c r="LMY136" s="552"/>
      <c r="LMZ136" s="552"/>
      <c r="LNA136" s="552"/>
      <c r="LNB136" s="548"/>
      <c r="LNC136" s="553"/>
      <c r="LND136" s="553"/>
      <c r="LNE136" s="553"/>
      <c r="LNF136" s="8"/>
      <c r="LNG136" s="8"/>
      <c r="LNH136" s="458"/>
      <c r="LNI136" s="8"/>
      <c r="LNJ136" s="8"/>
      <c r="LNK136" s="547"/>
      <c r="LNL136" s="547"/>
      <c r="LNM136" s="547"/>
      <c r="LNN136" s="547"/>
      <c r="LNO136" s="548"/>
      <c r="LNP136" s="547"/>
      <c r="LNQ136" s="547"/>
      <c r="LNR136" s="547"/>
      <c r="LNS136" s="547"/>
      <c r="LNT136" s="548"/>
      <c r="LNU136" s="547"/>
      <c r="LNV136" s="547"/>
      <c r="LNW136" s="547"/>
      <c r="LNX136" s="547"/>
      <c r="LNY136" s="548"/>
      <c r="LNZ136" s="547"/>
      <c r="LOA136" s="547"/>
      <c r="LOB136" s="547"/>
      <c r="LOC136" s="552"/>
      <c r="LOD136" s="548"/>
      <c r="LOE136" s="552"/>
      <c r="LOF136" s="552"/>
      <c r="LOG136" s="552"/>
      <c r="LOH136" s="552"/>
      <c r="LOI136" s="548"/>
      <c r="LOJ136" s="553"/>
      <c r="LOK136" s="553"/>
      <c r="LOL136" s="553"/>
      <c r="LOM136" s="8"/>
      <c r="LON136" s="8"/>
      <c r="LOO136" s="458"/>
      <c r="LOP136" s="8"/>
      <c r="LOQ136" s="8"/>
      <c r="LOR136" s="547"/>
      <c r="LOS136" s="547"/>
      <c r="LOT136" s="547"/>
      <c r="LOU136" s="547"/>
      <c r="LOV136" s="548"/>
      <c r="LOW136" s="547"/>
      <c r="LOX136" s="547"/>
      <c r="LOY136" s="547"/>
      <c r="LOZ136" s="547"/>
      <c r="LPA136" s="548"/>
      <c r="LPB136" s="547"/>
      <c r="LPC136" s="547"/>
      <c r="LPD136" s="547"/>
      <c r="LPE136" s="547"/>
      <c r="LPF136" s="548"/>
      <c r="LPG136" s="547"/>
      <c r="LPH136" s="547"/>
      <c r="LPI136" s="547"/>
      <c r="LPJ136" s="552"/>
      <c r="LPK136" s="548"/>
      <c r="LPL136" s="552"/>
      <c r="LPM136" s="552"/>
      <c r="LPN136" s="552"/>
      <c r="LPO136" s="552"/>
      <c r="LPP136" s="548"/>
      <c r="LPQ136" s="553"/>
      <c r="LPR136" s="553"/>
      <c r="LPS136" s="553"/>
      <c r="LPT136" s="8"/>
      <c r="LPU136" s="8"/>
      <c r="LPV136" s="458"/>
      <c r="LPW136" s="8"/>
      <c r="LPX136" s="8"/>
      <c r="LPY136" s="547"/>
      <c r="LPZ136" s="547"/>
      <c r="LQA136" s="547"/>
      <c r="LQB136" s="547"/>
      <c r="LQC136" s="548"/>
      <c r="LQD136" s="547"/>
      <c r="LQE136" s="547"/>
      <c r="LQF136" s="547"/>
      <c r="LQG136" s="547"/>
      <c r="LQH136" s="548"/>
      <c r="LQI136" s="547"/>
      <c r="LQJ136" s="547"/>
      <c r="LQK136" s="547"/>
      <c r="LQL136" s="547"/>
      <c r="LQM136" s="548"/>
      <c r="LQN136" s="547"/>
      <c r="LQO136" s="547"/>
      <c r="LQP136" s="547"/>
      <c r="LQQ136" s="552"/>
      <c r="LQR136" s="548"/>
      <c r="LQS136" s="552"/>
      <c r="LQT136" s="552"/>
      <c r="LQU136" s="552"/>
      <c r="LQV136" s="552"/>
      <c r="LQW136" s="548"/>
      <c r="LQX136" s="553"/>
      <c r="LQY136" s="553"/>
      <c r="LQZ136" s="553"/>
      <c r="LRA136" s="8"/>
      <c r="LRB136" s="8"/>
      <c r="LRC136" s="458"/>
      <c r="LRD136" s="8"/>
      <c r="LRE136" s="8"/>
      <c r="LRF136" s="547"/>
      <c r="LRG136" s="547"/>
      <c r="LRH136" s="547"/>
      <c r="LRI136" s="547"/>
      <c r="LRJ136" s="548"/>
      <c r="LRK136" s="547"/>
      <c r="LRL136" s="547"/>
      <c r="LRM136" s="547"/>
      <c r="LRN136" s="547"/>
      <c r="LRO136" s="548"/>
      <c r="LRP136" s="547"/>
      <c r="LRQ136" s="547"/>
      <c r="LRR136" s="547"/>
      <c r="LRS136" s="547"/>
      <c r="LRT136" s="548"/>
      <c r="LRU136" s="547"/>
      <c r="LRV136" s="547"/>
      <c r="LRW136" s="547"/>
      <c r="LRX136" s="552"/>
      <c r="LRY136" s="548"/>
      <c r="LRZ136" s="552"/>
      <c r="LSA136" s="552"/>
      <c r="LSB136" s="552"/>
      <c r="LSC136" s="552"/>
      <c r="LSD136" s="548"/>
      <c r="LSE136" s="553"/>
      <c r="LSF136" s="553"/>
      <c r="LSG136" s="553"/>
      <c r="LSH136" s="8"/>
      <c r="LSI136" s="8"/>
      <c r="LSJ136" s="458"/>
      <c r="LSK136" s="8"/>
      <c r="LSL136" s="8"/>
      <c r="LSM136" s="547"/>
      <c r="LSN136" s="547"/>
      <c r="LSO136" s="547"/>
      <c r="LSP136" s="547"/>
      <c r="LSQ136" s="548"/>
      <c r="LSR136" s="547"/>
      <c r="LSS136" s="547"/>
      <c r="LST136" s="547"/>
      <c r="LSU136" s="547"/>
      <c r="LSV136" s="548"/>
      <c r="LSW136" s="547"/>
      <c r="LSX136" s="547"/>
      <c r="LSY136" s="547"/>
      <c r="LSZ136" s="547"/>
      <c r="LTA136" s="548"/>
      <c r="LTB136" s="547"/>
      <c r="LTC136" s="547"/>
      <c r="LTD136" s="547"/>
      <c r="LTE136" s="552"/>
      <c r="LTF136" s="548"/>
      <c r="LTG136" s="552"/>
      <c r="LTH136" s="552"/>
      <c r="LTI136" s="552"/>
      <c r="LTJ136" s="552"/>
      <c r="LTK136" s="548"/>
      <c r="LTL136" s="553"/>
      <c r="LTM136" s="553"/>
      <c r="LTN136" s="553"/>
      <c r="LTO136" s="8"/>
      <c r="LTP136" s="8"/>
      <c r="LTQ136" s="458"/>
      <c r="LTR136" s="8"/>
      <c r="LTS136" s="8"/>
      <c r="LTT136" s="547"/>
      <c r="LTU136" s="547"/>
      <c r="LTV136" s="547"/>
      <c r="LTW136" s="547"/>
      <c r="LTX136" s="548"/>
      <c r="LTY136" s="547"/>
      <c r="LTZ136" s="547"/>
      <c r="LUA136" s="547"/>
      <c r="LUB136" s="547"/>
      <c r="LUC136" s="548"/>
      <c r="LUD136" s="547"/>
      <c r="LUE136" s="547"/>
      <c r="LUF136" s="547"/>
      <c r="LUG136" s="547"/>
      <c r="LUH136" s="548"/>
      <c r="LUI136" s="547"/>
      <c r="LUJ136" s="547"/>
      <c r="LUK136" s="547"/>
      <c r="LUL136" s="552"/>
      <c r="LUM136" s="548"/>
      <c r="LUN136" s="552"/>
      <c r="LUO136" s="552"/>
      <c r="LUP136" s="552"/>
      <c r="LUQ136" s="552"/>
      <c r="LUR136" s="548"/>
      <c r="LUS136" s="553"/>
      <c r="LUT136" s="553"/>
      <c r="LUU136" s="553"/>
      <c r="LUV136" s="8"/>
      <c r="LUW136" s="8"/>
      <c r="LUX136" s="458"/>
      <c r="LUY136" s="8"/>
      <c r="LUZ136" s="8"/>
      <c r="LVA136" s="547"/>
      <c r="LVB136" s="547"/>
      <c r="LVC136" s="547"/>
      <c r="LVD136" s="547"/>
      <c r="LVE136" s="548"/>
      <c r="LVF136" s="547"/>
      <c r="LVG136" s="547"/>
      <c r="LVH136" s="547"/>
      <c r="LVI136" s="547"/>
      <c r="LVJ136" s="548"/>
      <c r="LVK136" s="547"/>
      <c r="LVL136" s="547"/>
      <c r="LVM136" s="547"/>
      <c r="LVN136" s="547"/>
      <c r="LVO136" s="548"/>
      <c r="LVP136" s="547"/>
      <c r="LVQ136" s="547"/>
      <c r="LVR136" s="547"/>
      <c r="LVS136" s="552"/>
      <c r="LVT136" s="548"/>
      <c r="LVU136" s="552"/>
      <c r="LVV136" s="552"/>
      <c r="LVW136" s="552"/>
      <c r="LVX136" s="552"/>
      <c r="LVY136" s="548"/>
      <c r="LVZ136" s="553"/>
      <c r="LWA136" s="553"/>
      <c r="LWB136" s="553"/>
      <c r="LWC136" s="8"/>
      <c r="LWD136" s="8"/>
      <c r="LWE136" s="458"/>
      <c r="LWF136" s="8"/>
      <c r="LWG136" s="8"/>
      <c r="LWH136" s="547"/>
      <c r="LWI136" s="547"/>
      <c r="LWJ136" s="547"/>
      <c r="LWK136" s="547"/>
      <c r="LWL136" s="548"/>
      <c r="LWM136" s="547"/>
      <c r="LWN136" s="547"/>
      <c r="LWO136" s="547"/>
      <c r="LWP136" s="547"/>
      <c r="LWQ136" s="548"/>
      <c r="LWR136" s="547"/>
      <c r="LWS136" s="547"/>
      <c r="LWT136" s="547"/>
      <c r="LWU136" s="547"/>
      <c r="LWV136" s="548"/>
      <c r="LWW136" s="547"/>
      <c r="LWX136" s="547"/>
      <c r="LWY136" s="547"/>
      <c r="LWZ136" s="552"/>
      <c r="LXA136" s="548"/>
      <c r="LXB136" s="552"/>
      <c r="LXC136" s="552"/>
      <c r="LXD136" s="552"/>
      <c r="LXE136" s="552"/>
      <c r="LXF136" s="548"/>
      <c r="LXG136" s="553"/>
      <c r="LXH136" s="553"/>
      <c r="LXI136" s="553"/>
      <c r="LXJ136" s="8"/>
      <c r="LXK136" s="8"/>
      <c r="LXL136" s="458"/>
      <c r="LXM136" s="8"/>
      <c r="LXN136" s="8"/>
      <c r="LXO136" s="547"/>
      <c r="LXP136" s="547"/>
      <c r="LXQ136" s="547"/>
      <c r="LXR136" s="547"/>
      <c r="LXS136" s="548"/>
      <c r="LXT136" s="547"/>
      <c r="LXU136" s="547"/>
      <c r="LXV136" s="547"/>
      <c r="LXW136" s="547"/>
      <c r="LXX136" s="548"/>
      <c r="LXY136" s="547"/>
      <c r="LXZ136" s="547"/>
      <c r="LYA136" s="547"/>
      <c r="LYB136" s="547"/>
      <c r="LYC136" s="548"/>
      <c r="LYD136" s="547"/>
      <c r="LYE136" s="547"/>
      <c r="LYF136" s="547"/>
      <c r="LYG136" s="552"/>
      <c r="LYH136" s="548"/>
      <c r="LYI136" s="552"/>
      <c r="LYJ136" s="552"/>
      <c r="LYK136" s="552"/>
      <c r="LYL136" s="552"/>
      <c r="LYM136" s="548"/>
      <c r="LYN136" s="553"/>
      <c r="LYO136" s="553"/>
      <c r="LYP136" s="553"/>
      <c r="LYQ136" s="8"/>
      <c r="LYR136" s="8"/>
      <c r="LYS136" s="458"/>
      <c r="LYT136" s="8"/>
      <c r="LYU136" s="8"/>
      <c r="LYV136" s="547"/>
      <c r="LYW136" s="547"/>
      <c r="LYX136" s="547"/>
      <c r="LYY136" s="547"/>
      <c r="LYZ136" s="548"/>
      <c r="LZA136" s="547"/>
      <c r="LZB136" s="547"/>
      <c r="LZC136" s="547"/>
      <c r="LZD136" s="547"/>
      <c r="LZE136" s="548"/>
      <c r="LZF136" s="547"/>
      <c r="LZG136" s="547"/>
      <c r="LZH136" s="547"/>
      <c r="LZI136" s="547"/>
      <c r="LZJ136" s="548"/>
      <c r="LZK136" s="547"/>
      <c r="LZL136" s="547"/>
      <c r="LZM136" s="547"/>
      <c r="LZN136" s="552"/>
      <c r="LZO136" s="548"/>
      <c r="LZP136" s="552"/>
      <c r="LZQ136" s="552"/>
      <c r="LZR136" s="552"/>
      <c r="LZS136" s="552"/>
      <c r="LZT136" s="548"/>
      <c r="LZU136" s="553"/>
      <c r="LZV136" s="553"/>
      <c r="LZW136" s="553"/>
      <c r="LZX136" s="8"/>
      <c r="LZY136" s="8"/>
      <c r="LZZ136" s="458"/>
      <c r="MAA136" s="8"/>
      <c r="MAB136" s="8"/>
      <c r="MAC136" s="547"/>
      <c r="MAD136" s="547"/>
      <c r="MAE136" s="547"/>
      <c r="MAF136" s="547"/>
      <c r="MAG136" s="548"/>
      <c r="MAH136" s="547"/>
      <c r="MAI136" s="547"/>
      <c r="MAJ136" s="547"/>
      <c r="MAK136" s="547"/>
      <c r="MAL136" s="548"/>
      <c r="MAM136" s="547"/>
      <c r="MAN136" s="547"/>
      <c r="MAO136" s="547"/>
      <c r="MAP136" s="547"/>
      <c r="MAQ136" s="548"/>
      <c r="MAR136" s="547"/>
      <c r="MAS136" s="547"/>
      <c r="MAT136" s="547"/>
      <c r="MAU136" s="552"/>
      <c r="MAV136" s="548"/>
      <c r="MAW136" s="552"/>
      <c r="MAX136" s="552"/>
      <c r="MAY136" s="552"/>
      <c r="MAZ136" s="552"/>
      <c r="MBA136" s="548"/>
      <c r="MBB136" s="553"/>
      <c r="MBC136" s="553"/>
      <c r="MBD136" s="553"/>
      <c r="MBE136" s="8"/>
      <c r="MBF136" s="8"/>
      <c r="MBG136" s="458"/>
      <c r="MBH136" s="8"/>
      <c r="MBI136" s="8"/>
      <c r="MBJ136" s="547"/>
      <c r="MBK136" s="547"/>
      <c r="MBL136" s="547"/>
      <c r="MBM136" s="547"/>
      <c r="MBN136" s="548"/>
      <c r="MBO136" s="547"/>
      <c r="MBP136" s="547"/>
      <c r="MBQ136" s="547"/>
      <c r="MBR136" s="547"/>
      <c r="MBS136" s="548"/>
      <c r="MBT136" s="547"/>
      <c r="MBU136" s="547"/>
      <c r="MBV136" s="547"/>
      <c r="MBW136" s="547"/>
      <c r="MBX136" s="548"/>
      <c r="MBY136" s="547"/>
      <c r="MBZ136" s="547"/>
      <c r="MCA136" s="547"/>
      <c r="MCB136" s="552"/>
      <c r="MCC136" s="548"/>
      <c r="MCD136" s="552"/>
      <c r="MCE136" s="552"/>
      <c r="MCF136" s="552"/>
      <c r="MCG136" s="552"/>
      <c r="MCH136" s="548"/>
      <c r="MCI136" s="553"/>
      <c r="MCJ136" s="553"/>
      <c r="MCK136" s="553"/>
      <c r="MCL136" s="8"/>
      <c r="MCM136" s="8"/>
      <c r="MCN136" s="458"/>
      <c r="MCO136" s="8"/>
      <c r="MCP136" s="8"/>
      <c r="MCQ136" s="547"/>
      <c r="MCR136" s="547"/>
      <c r="MCS136" s="547"/>
      <c r="MCT136" s="547"/>
      <c r="MCU136" s="548"/>
      <c r="MCV136" s="547"/>
      <c r="MCW136" s="547"/>
      <c r="MCX136" s="547"/>
      <c r="MCY136" s="547"/>
      <c r="MCZ136" s="548"/>
      <c r="MDA136" s="547"/>
      <c r="MDB136" s="547"/>
      <c r="MDC136" s="547"/>
      <c r="MDD136" s="547"/>
      <c r="MDE136" s="548"/>
      <c r="MDF136" s="547"/>
      <c r="MDG136" s="547"/>
      <c r="MDH136" s="547"/>
      <c r="MDI136" s="552"/>
      <c r="MDJ136" s="548"/>
      <c r="MDK136" s="552"/>
      <c r="MDL136" s="552"/>
      <c r="MDM136" s="552"/>
      <c r="MDN136" s="552"/>
      <c r="MDO136" s="548"/>
      <c r="MDP136" s="553"/>
      <c r="MDQ136" s="553"/>
      <c r="MDR136" s="553"/>
      <c r="MDS136" s="8"/>
      <c r="MDT136" s="8"/>
      <c r="MDU136" s="458"/>
      <c r="MDV136" s="8"/>
      <c r="MDW136" s="8"/>
      <c r="MDX136" s="547"/>
      <c r="MDY136" s="547"/>
      <c r="MDZ136" s="547"/>
      <c r="MEA136" s="547"/>
      <c r="MEB136" s="548"/>
      <c r="MEC136" s="547"/>
      <c r="MED136" s="547"/>
      <c r="MEE136" s="547"/>
      <c r="MEF136" s="547"/>
      <c r="MEG136" s="548"/>
      <c r="MEH136" s="547"/>
      <c r="MEI136" s="547"/>
      <c r="MEJ136" s="547"/>
      <c r="MEK136" s="547"/>
      <c r="MEL136" s="548"/>
      <c r="MEM136" s="547"/>
      <c r="MEN136" s="547"/>
      <c r="MEO136" s="547"/>
      <c r="MEP136" s="552"/>
      <c r="MEQ136" s="548"/>
      <c r="MER136" s="552"/>
      <c r="MES136" s="552"/>
      <c r="MET136" s="552"/>
      <c r="MEU136" s="552"/>
      <c r="MEV136" s="548"/>
      <c r="MEW136" s="553"/>
      <c r="MEX136" s="553"/>
      <c r="MEY136" s="553"/>
      <c r="MEZ136" s="8"/>
      <c r="MFA136" s="8"/>
      <c r="MFB136" s="458"/>
      <c r="MFC136" s="8"/>
      <c r="MFD136" s="8"/>
      <c r="MFE136" s="547"/>
      <c r="MFF136" s="547"/>
      <c r="MFG136" s="547"/>
      <c r="MFH136" s="547"/>
      <c r="MFI136" s="548"/>
      <c r="MFJ136" s="547"/>
      <c r="MFK136" s="547"/>
      <c r="MFL136" s="547"/>
      <c r="MFM136" s="547"/>
      <c r="MFN136" s="548"/>
      <c r="MFO136" s="547"/>
      <c r="MFP136" s="547"/>
      <c r="MFQ136" s="547"/>
      <c r="MFR136" s="547"/>
      <c r="MFS136" s="548"/>
      <c r="MFT136" s="547"/>
      <c r="MFU136" s="547"/>
      <c r="MFV136" s="547"/>
      <c r="MFW136" s="552"/>
      <c r="MFX136" s="548"/>
      <c r="MFY136" s="552"/>
      <c r="MFZ136" s="552"/>
      <c r="MGA136" s="552"/>
      <c r="MGB136" s="552"/>
      <c r="MGC136" s="548"/>
      <c r="MGD136" s="553"/>
      <c r="MGE136" s="553"/>
      <c r="MGF136" s="553"/>
      <c r="MGG136" s="8"/>
      <c r="MGH136" s="8"/>
      <c r="MGI136" s="458"/>
      <c r="MGJ136" s="8"/>
      <c r="MGK136" s="8"/>
      <c r="MGL136" s="547"/>
      <c r="MGM136" s="547"/>
      <c r="MGN136" s="547"/>
      <c r="MGO136" s="547"/>
      <c r="MGP136" s="548"/>
      <c r="MGQ136" s="547"/>
      <c r="MGR136" s="547"/>
      <c r="MGS136" s="547"/>
      <c r="MGT136" s="547"/>
      <c r="MGU136" s="548"/>
      <c r="MGV136" s="547"/>
      <c r="MGW136" s="547"/>
      <c r="MGX136" s="547"/>
      <c r="MGY136" s="547"/>
      <c r="MGZ136" s="548"/>
      <c r="MHA136" s="547"/>
      <c r="MHB136" s="547"/>
      <c r="MHC136" s="547"/>
      <c r="MHD136" s="552"/>
      <c r="MHE136" s="548"/>
      <c r="MHF136" s="552"/>
      <c r="MHG136" s="552"/>
      <c r="MHH136" s="552"/>
      <c r="MHI136" s="552"/>
      <c r="MHJ136" s="548"/>
      <c r="MHK136" s="553"/>
      <c r="MHL136" s="553"/>
      <c r="MHM136" s="553"/>
      <c r="MHN136" s="8"/>
      <c r="MHO136" s="8"/>
      <c r="MHP136" s="458"/>
      <c r="MHQ136" s="8"/>
      <c r="MHR136" s="8"/>
      <c r="MHS136" s="547"/>
      <c r="MHT136" s="547"/>
      <c r="MHU136" s="547"/>
      <c r="MHV136" s="547"/>
      <c r="MHW136" s="548"/>
      <c r="MHX136" s="547"/>
      <c r="MHY136" s="547"/>
      <c r="MHZ136" s="547"/>
      <c r="MIA136" s="547"/>
      <c r="MIB136" s="548"/>
      <c r="MIC136" s="547"/>
      <c r="MID136" s="547"/>
      <c r="MIE136" s="547"/>
      <c r="MIF136" s="547"/>
      <c r="MIG136" s="548"/>
      <c r="MIH136" s="547"/>
      <c r="MII136" s="547"/>
      <c r="MIJ136" s="547"/>
      <c r="MIK136" s="552"/>
      <c r="MIL136" s="548"/>
      <c r="MIM136" s="552"/>
      <c r="MIN136" s="552"/>
      <c r="MIO136" s="552"/>
      <c r="MIP136" s="552"/>
      <c r="MIQ136" s="548"/>
      <c r="MIR136" s="553"/>
      <c r="MIS136" s="553"/>
      <c r="MIT136" s="553"/>
      <c r="MIU136" s="8"/>
      <c r="MIV136" s="8"/>
      <c r="MIW136" s="458"/>
      <c r="MIX136" s="8"/>
      <c r="MIY136" s="8"/>
      <c r="MIZ136" s="547"/>
      <c r="MJA136" s="547"/>
      <c r="MJB136" s="547"/>
      <c r="MJC136" s="547"/>
      <c r="MJD136" s="548"/>
      <c r="MJE136" s="547"/>
      <c r="MJF136" s="547"/>
      <c r="MJG136" s="547"/>
      <c r="MJH136" s="547"/>
      <c r="MJI136" s="548"/>
      <c r="MJJ136" s="547"/>
      <c r="MJK136" s="547"/>
      <c r="MJL136" s="547"/>
      <c r="MJM136" s="547"/>
      <c r="MJN136" s="548"/>
      <c r="MJO136" s="547"/>
      <c r="MJP136" s="547"/>
      <c r="MJQ136" s="547"/>
      <c r="MJR136" s="552"/>
      <c r="MJS136" s="548"/>
      <c r="MJT136" s="552"/>
      <c r="MJU136" s="552"/>
      <c r="MJV136" s="552"/>
      <c r="MJW136" s="552"/>
      <c r="MJX136" s="548"/>
      <c r="MJY136" s="553"/>
      <c r="MJZ136" s="553"/>
      <c r="MKA136" s="553"/>
      <c r="MKB136" s="8"/>
      <c r="MKC136" s="8"/>
      <c r="MKD136" s="458"/>
      <c r="MKE136" s="8"/>
      <c r="MKF136" s="8"/>
      <c r="MKG136" s="547"/>
      <c r="MKH136" s="547"/>
      <c r="MKI136" s="547"/>
      <c r="MKJ136" s="547"/>
      <c r="MKK136" s="548"/>
      <c r="MKL136" s="547"/>
      <c r="MKM136" s="547"/>
      <c r="MKN136" s="547"/>
      <c r="MKO136" s="547"/>
      <c r="MKP136" s="548"/>
      <c r="MKQ136" s="547"/>
      <c r="MKR136" s="547"/>
      <c r="MKS136" s="547"/>
      <c r="MKT136" s="547"/>
      <c r="MKU136" s="548"/>
      <c r="MKV136" s="547"/>
      <c r="MKW136" s="547"/>
      <c r="MKX136" s="547"/>
      <c r="MKY136" s="552"/>
      <c r="MKZ136" s="548"/>
      <c r="MLA136" s="552"/>
      <c r="MLB136" s="552"/>
      <c r="MLC136" s="552"/>
      <c r="MLD136" s="552"/>
      <c r="MLE136" s="548"/>
      <c r="MLF136" s="553"/>
      <c r="MLG136" s="553"/>
      <c r="MLH136" s="553"/>
      <c r="MLI136" s="8"/>
      <c r="MLJ136" s="8"/>
      <c r="MLK136" s="458"/>
      <c r="MLL136" s="8"/>
      <c r="MLM136" s="8"/>
      <c r="MLN136" s="547"/>
      <c r="MLO136" s="547"/>
      <c r="MLP136" s="547"/>
      <c r="MLQ136" s="547"/>
      <c r="MLR136" s="548"/>
      <c r="MLS136" s="547"/>
      <c r="MLT136" s="547"/>
      <c r="MLU136" s="547"/>
      <c r="MLV136" s="547"/>
      <c r="MLW136" s="548"/>
      <c r="MLX136" s="547"/>
      <c r="MLY136" s="547"/>
      <c r="MLZ136" s="547"/>
      <c r="MMA136" s="547"/>
      <c r="MMB136" s="548"/>
      <c r="MMC136" s="547"/>
      <c r="MMD136" s="547"/>
      <c r="MME136" s="547"/>
      <c r="MMF136" s="552"/>
      <c r="MMG136" s="548"/>
      <c r="MMH136" s="552"/>
      <c r="MMI136" s="552"/>
      <c r="MMJ136" s="552"/>
      <c r="MMK136" s="552"/>
      <c r="MML136" s="548"/>
      <c r="MMM136" s="553"/>
      <c r="MMN136" s="553"/>
      <c r="MMO136" s="553"/>
      <c r="MMP136" s="8"/>
      <c r="MMQ136" s="8"/>
      <c r="MMR136" s="458"/>
      <c r="MMS136" s="8"/>
      <c r="MMT136" s="8"/>
      <c r="MMU136" s="547"/>
      <c r="MMV136" s="547"/>
      <c r="MMW136" s="547"/>
      <c r="MMX136" s="547"/>
      <c r="MMY136" s="548"/>
      <c r="MMZ136" s="547"/>
      <c r="MNA136" s="547"/>
      <c r="MNB136" s="547"/>
      <c r="MNC136" s="547"/>
      <c r="MND136" s="548"/>
      <c r="MNE136" s="547"/>
      <c r="MNF136" s="547"/>
      <c r="MNG136" s="547"/>
      <c r="MNH136" s="547"/>
      <c r="MNI136" s="548"/>
      <c r="MNJ136" s="547"/>
      <c r="MNK136" s="547"/>
      <c r="MNL136" s="547"/>
      <c r="MNM136" s="552"/>
      <c r="MNN136" s="548"/>
      <c r="MNO136" s="552"/>
      <c r="MNP136" s="552"/>
      <c r="MNQ136" s="552"/>
      <c r="MNR136" s="552"/>
      <c r="MNS136" s="548"/>
      <c r="MNT136" s="553"/>
      <c r="MNU136" s="553"/>
      <c r="MNV136" s="553"/>
      <c r="MNW136" s="8"/>
      <c r="MNX136" s="8"/>
      <c r="MNY136" s="458"/>
      <c r="MNZ136" s="8"/>
      <c r="MOA136" s="8"/>
      <c r="MOB136" s="547"/>
      <c r="MOC136" s="547"/>
      <c r="MOD136" s="547"/>
      <c r="MOE136" s="547"/>
      <c r="MOF136" s="548"/>
      <c r="MOG136" s="547"/>
      <c r="MOH136" s="547"/>
      <c r="MOI136" s="547"/>
      <c r="MOJ136" s="547"/>
      <c r="MOK136" s="548"/>
      <c r="MOL136" s="547"/>
      <c r="MOM136" s="547"/>
      <c r="MON136" s="547"/>
      <c r="MOO136" s="547"/>
      <c r="MOP136" s="548"/>
      <c r="MOQ136" s="547"/>
      <c r="MOR136" s="547"/>
      <c r="MOS136" s="547"/>
      <c r="MOT136" s="552"/>
      <c r="MOU136" s="548"/>
      <c r="MOV136" s="552"/>
      <c r="MOW136" s="552"/>
      <c r="MOX136" s="552"/>
      <c r="MOY136" s="552"/>
      <c r="MOZ136" s="548"/>
      <c r="MPA136" s="553"/>
      <c r="MPB136" s="553"/>
      <c r="MPC136" s="553"/>
      <c r="MPD136" s="8"/>
      <c r="MPE136" s="8"/>
      <c r="MPF136" s="458"/>
      <c r="MPG136" s="8"/>
      <c r="MPH136" s="8"/>
      <c r="MPI136" s="547"/>
      <c r="MPJ136" s="547"/>
      <c r="MPK136" s="547"/>
      <c r="MPL136" s="547"/>
      <c r="MPM136" s="548"/>
      <c r="MPN136" s="547"/>
      <c r="MPO136" s="547"/>
      <c r="MPP136" s="547"/>
      <c r="MPQ136" s="547"/>
      <c r="MPR136" s="548"/>
      <c r="MPS136" s="547"/>
      <c r="MPT136" s="547"/>
      <c r="MPU136" s="547"/>
      <c r="MPV136" s="547"/>
      <c r="MPW136" s="548"/>
      <c r="MPX136" s="547"/>
      <c r="MPY136" s="547"/>
      <c r="MPZ136" s="547"/>
      <c r="MQA136" s="552"/>
      <c r="MQB136" s="548"/>
      <c r="MQC136" s="552"/>
      <c r="MQD136" s="552"/>
      <c r="MQE136" s="552"/>
      <c r="MQF136" s="552"/>
      <c r="MQG136" s="548"/>
      <c r="MQH136" s="553"/>
      <c r="MQI136" s="553"/>
      <c r="MQJ136" s="553"/>
      <c r="MQK136" s="8"/>
      <c r="MQL136" s="8"/>
      <c r="MQM136" s="458"/>
      <c r="MQN136" s="8"/>
      <c r="MQO136" s="8"/>
      <c r="MQP136" s="547"/>
      <c r="MQQ136" s="547"/>
      <c r="MQR136" s="547"/>
      <c r="MQS136" s="547"/>
      <c r="MQT136" s="548"/>
      <c r="MQU136" s="547"/>
      <c r="MQV136" s="547"/>
      <c r="MQW136" s="547"/>
      <c r="MQX136" s="547"/>
      <c r="MQY136" s="548"/>
      <c r="MQZ136" s="547"/>
      <c r="MRA136" s="547"/>
      <c r="MRB136" s="547"/>
      <c r="MRC136" s="547"/>
      <c r="MRD136" s="548"/>
      <c r="MRE136" s="547"/>
      <c r="MRF136" s="547"/>
      <c r="MRG136" s="547"/>
      <c r="MRH136" s="552"/>
      <c r="MRI136" s="548"/>
      <c r="MRJ136" s="552"/>
      <c r="MRK136" s="552"/>
      <c r="MRL136" s="552"/>
      <c r="MRM136" s="552"/>
      <c r="MRN136" s="548"/>
      <c r="MRO136" s="553"/>
      <c r="MRP136" s="553"/>
      <c r="MRQ136" s="553"/>
      <c r="MRR136" s="8"/>
      <c r="MRS136" s="8"/>
      <c r="MRT136" s="458"/>
      <c r="MRU136" s="8"/>
      <c r="MRV136" s="8"/>
      <c r="MRW136" s="547"/>
      <c r="MRX136" s="547"/>
      <c r="MRY136" s="547"/>
      <c r="MRZ136" s="547"/>
      <c r="MSA136" s="548"/>
      <c r="MSB136" s="547"/>
      <c r="MSC136" s="547"/>
      <c r="MSD136" s="547"/>
      <c r="MSE136" s="547"/>
      <c r="MSF136" s="548"/>
      <c r="MSG136" s="547"/>
      <c r="MSH136" s="547"/>
      <c r="MSI136" s="547"/>
      <c r="MSJ136" s="547"/>
      <c r="MSK136" s="548"/>
      <c r="MSL136" s="547"/>
      <c r="MSM136" s="547"/>
      <c r="MSN136" s="547"/>
      <c r="MSO136" s="552"/>
      <c r="MSP136" s="548"/>
      <c r="MSQ136" s="552"/>
      <c r="MSR136" s="552"/>
      <c r="MSS136" s="552"/>
      <c r="MST136" s="552"/>
      <c r="MSU136" s="548"/>
      <c r="MSV136" s="553"/>
      <c r="MSW136" s="553"/>
      <c r="MSX136" s="553"/>
      <c r="MSY136" s="8"/>
      <c r="MSZ136" s="8"/>
      <c r="MTA136" s="458"/>
      <c r="MTB136" s="8"/>
      <c r="MTC136" s="8"/>
      <c r="MTD136" s="547"/>
      <c r="MTE136" s="547"/>
      <c r="MTF136" s="547"/>
      <c r="MTG136" s="547"/>
      <c r="MTH136" s="548"/>
      <c r="MTI136" s="547"/>
      <c r="MTJ136" s="547"/>
      <c r="MTK136" s="547"/>
      <c r="MTL136" s="547"/>
      <c r="MTM136" s="548"/>
      <c r="MTN136" s="547"/>
      <c r="MTO136" s="547"/>
      <c r="MTP136" s="547"/>
      <c r="MTQ136" s="547"/>
      <c r="MTR136" s="548"/>
      <c r="MTS136" s="547"/>
      <c r="MTT136" s="547"/>
      <c r="MTU136" s="547"/>
      <c r="MTV136" s="552"/>
      <c r="MTW136" s="548"/>
      <c r="MTX136" s="552"/>
      <c r="MTY136" s="552"/>
      <c r="MTZ136" s="552"/>
      <c r="MUA136" s="552"/>
      <c r="MUB136" s="548"/>
      <c r="MUC136" s="553"/>
      <c r="MUD136" s="553"/>
      <c r="MUE136" s="553"/>
      <c r="MUF136" s="8"/>
      <c r="MUG136" s="8"/>
      <c r="MUH136" s="458"/>
      <c r="MUI136" s="8"/>
      <c r="MUJ136" s="8"/>
      <c r="MUK136" s="547"/>
      <c r="MUL136" s="547"/>
      <c r="MUM136" s="547"/>
      <c r="MUN136" s="547"/>
      <c r="MUO136" s="548"/>
      <c r="MUP136" s="547"/>
      <c r="MUQ136" s="547"/>
      <c r="MUR136" s="547"/>
      <c r="MUS136" s="547"/>
      <c r="MUT136" s="548"/>
      <c r="MUU136" s="547"/>
      <c r="MUV136" s="547"/>
      <c r="MUW136" s="547"/>
      <c r="MUX136" s="547"/>
      <c r="MUY136" s="548"/>
      <c r="MUZ136" s="547"/>
      <c r="MVA136" s="547"/>
      <c r="MVB136" s="547"/>
      <c r="MVC136" s="552"/>
      <c r="MVD136" s="548"/>
      <c r="MVE136" s="552"/>
      <c r="MVF136" s="552"/>
      <c r="MVG136" s="552"/>
      <c r="MVH136" s="552"/>
      <c r="MVI136" s="548"/>
      <c r="MVJ136" s="553"/>
      <c r="MVK136" s="553"/>
      <c r="MVL136" s="553"/>
      <c r="MVM136" s="8"/>
      <c r="MVN136" s="8"/>
      <c r="MVO136" s="458"/>
      <c r="MVP136" s="8"/>
      <c r="MVQ136" s="8"/>
      <c r="MVR136" s="547"/>
      <c r="MVS136" s="547"/>
      <c r="MVT136" s="547"/>
      <c r="MVU136" s="547"/>
      <c r="MVV136" s="548"/>
      <c r="MVW136" s="547"/>
      <c r="MVX136" s="547"/>
      <c r="MVY136" s="547"/>
      <c r="MVZ136" s="547"/>
      <c r="MWA136" s="548"/>
      <c r="MWB136" s="547"/>
      <c r="MWC136" s="547"/>
      <c r="MWD136" s="547"/>
      <c r="MWE136" s="547"/>
      <c r="MWF136" s="548"/>
      <c r="MWG136" s="547"/>
      <c r="MWH136" s="547"/>
      <c r="MWI136" s="547"/>
      <c r="MWJ136" s="552"/>
      <c r="MWK136" s="548"/>
      <c r="MWL136" s="552"/>
      <c r="MWM136" s="552"/>
      <c r="MWN136" s="552"/>
      <c r="MWO136" s="552"/>
      <c r="MWP136" s="548"/>
      <c r="MWQ136" s="553"/>
      <c r="MWR136" s="553"/>
      <c r="MWS136" s="553"/>
      <c r="MWT136" s="8"/>
      <c r="MWU136" s="8"/>
      <c r="MWV136" s="458"/>
      <c r="MWW136" s="8"/>
      <c r="MWX136" s="8"/>
      <c r="MWY136" s="547"/>
      <c r="MWZ136" s="547"/>
      <c r="MXA136" s="547"/>
      <c r="MXB136" s="547"/>
      <c r="MXC136" s="548"/>
      <c r="MXD136" s="547"/>
      <c r="MXE136" s="547"/>
      <c r="MXF136" s="547"/>
      <c r="MXG136" s="547"/>
      <c r="MXH136" s="548"/>
      <c r="MXI136" s="547"/>
      <c r="MXJ136" s="547"/>
      <c r="MXK136" s="547"/>
      <c r="MXL136" s="547"/>
      <c r="MXM136" s="548"/>
      <c r="MXN136" s="547"/>
      <c r="MXO136" s="547"/>
      <c r="MXP136" s="547"/>
      <c r="MXQ136" s="552"/>
      <c r="MXR136" s="548"/>
      <c r="MXS136" s="552"/>
      <c r="MXT136" s="552"/>
      <c r="MXU136" s="552"/>
      <c r="MXV136" s="552"/>
      <c r="MXW136" s="548"/>
      <c r="MXX136" s="553"/>
      <c r="MXY136" s="553"/>
      <c r="MXZ136" s="553"/>
      <c r="MYA136" s="8"/>
      <c r="MYB136" s="8"/>
      <c r="MYC136" s="458"/>
      <c r="MYD136" s="8"/>
      <c r="MYE136" s="8"/>
      <c r="MYF136" s="547"/>
      <c r="MYG136" s="547"/>
      <c r="MYH136" s="547"/>
      <c r="MYI136" s="547"/>
      <c r="MYJ136" s="548"/>
      <c r="MYK136" s="547"/>
      <c r="MYL136" s="547"/>
      <c r="MYM136" s="547"/>
      <c r="MYN136" s="547"/>
      <c r="MYO136" s="548"/>
      <c r="MYP136" s="547"/>
      <c r="MYQ136" s="547"/>
      <c r="MYR136" s="547"/>
      <c r="MYS136" s="547"/>
      <c r="MYT136" s="548"/>
      <c r="MYU136" s="547"/>
      <c r="MYV136" s="547"/>
      <c r="MYW136" s="547"/>
      <c r="MYX136" s="552"/>
      <c r="MYY136" s="548"/>
      <c r="MYZ136" s="552"/>
      <c r="MZA136" s="552"/>
      <c r="MZB136" s="552"/>
      <c r="MZC136" s="552"/>
      <c r="MZD136" s="548"/>
      <c r="MZE136" s="553"/>
      <c r="MZF136" s="553"/>
      <c r="MZG136" s="553"/>
      <c r="MZH136" s="8"/>
      <c r="MZI136" s="8"/>
      <c r="MZJ136" s="458"/>
      <c r="MZK136" s="8"/>
      <c r="MZL136" s="8"/>
      <c r="MZM136" s="547"/>
      <c r="MZN136" s="547"/>
      <c r="MZO136" s="547"/>
      <c r="MZP136" s="547"/>
      <c r="MZQ136" s="548"/>
      <c r="MZR136" s="547"/>
      <c r="MZS136" s="547"/>
      <c r="MZT136" s="547"/>
      <c r="MZU136" s="547"/>
      <c r="MZV136" s="548"/>
      <c r="MZW136" s="547"/>
      <c r="MZX136" s="547"/>
      <c r="MZY136" s="547"/>
      <c r="MZZ136" s="547"/>
      <c r="NAA136" s="548"/>
      <c r="NAB136" s="547"/>
      <c r="NAC136" s="547"/>
      <c r="NAD136" s="547"/>
      <c r="NAE136" s="552"/>
      <c r="NAF136" s="548"/>
      <c r="NAG136" s="552"/>
      <c r="NAH136" s="552"/>
      <c r="NAI136" s="552"/>
      <c r="NAJ136" s="552"/>
      <c r="NAK136" s="548"/>
      <c r="NAL136" s="553"/>
      <c r="NAM136" s="553"/>
      <c r="NAN136" s="553"/>
      <c r="NAO136" s="8"/>
      <c r="NAP136" s="8"/>
      <c r="NAQ136" s="458"/>
      <c r="NAR136" s="8"/>
      <c r="NAS136" s="8"/>
      <c r="NAT136" s="547"/>
      <c r="NAU136" s="547"/>
      <c r="NAV136" s="547"/>
      <c r="NAW136" s="547"/>
      <c r="NAX136" s="548"/>
      <c r="NAY136" s="547"/>
      <c r="NAZ136" s="547"/>
      <c r="NBA136" s="547"/>
      <c r="NBB136" s="547"/>
      <c r="NBC136" s="548"/>
      <c r="NBD136" s="547"/>
      <c r="NBE136" s="547"/>
      <c r="NBF136" s="547"/>
      <c r="NBG136" s="547"/>
      <c r="NBH136" s="548"/>
      <c r="NBI136" s="547"/>
      <c r="NBJ136" s="547"/>
      <c r="NBK136" s="547"/>
      <c r="NBL136" s="552"/>
      <c r="NBM136" s="548"/>
      <c r="NBN136" s="552"/>
      <c r="NBO136" s="552"/>
      <c r="NBP136" s="552"/>
      <c r="NBQ136" s="552"/>
      <c r="NBR136" s="548"/>
      <c r="NBS136" s="553"/>
      <c r="NBT136" s="553"/>
      <c r="NBU136" s="553"/>
      <c r="NBV136" s="8"/>
      <c r="NBW136" s="8"/>
      <c r="NBX136" s="458"/>
      <c r="NBY136" s="8"/>
      <c r="NBZ136" s="8"/>
      <c r="NCA136" s="547"/>
      <c r="NCB136" s="547"/>
      <c r="NCC136" s="547"/>
      <c r="NCD136" s="547"/>
      <c r="NCE136" s="548"/>
      <c r="NCF136" s="547"/>
      <c r="NCG136" s="547"/>
      <c r="NCH136" s="547"/>
      <c r="NCI136" s="547"/>
      <c r="NCJ136" s="548"/>
      <c r="NCK136" s="547"/>
      <c r="NCL136" s="547"/>
      <c r="NCM136" s="547"/>
      <c r="NCN136" s="547"/>
      <c r="NCO136" s="548"/>
      <c r="NCP136" s="547"/>
      <c r="NCQ136" s="547"/>
      <c r="NCR136" s="547"/>
      <c r="NCS136" s="552"/>
      <c r="NCT136" s="548"/>
      <c r="NCU136" s="552"/>
      <c r="NCV136" s="552"/>
      <c r="NCW136" s="552"/>
      <c r="NCX136" s="552"/>
      <c r="NCY136" s="548"/>
      <c r="NCZ136" s="553"/>
      <c r="NDA136" s="553"/>
      <c r="NDB136" s="553"/>
      <c r="NDC136" s="8"/>
      <c r="NDD136" s="8"/>
      <c r="NDE136" s="458"/>
      <c r="NDF136" s="8"/>
      <c r="NDG136" s="8"/>
      <c r="NDH136" s="547"/>
      <c r="NDI136" s="547"/>
      <c r="NDJ136" s="547"/>
      <c r="NDK136" s="547"/>
      <c r="NDL136" s="548"/>
      <c r="NDM136" s="547"/>
      <c r="NDN136" s="547"/>
      <c r="NDO136" s="547"/>
      <c r="NDP136" s="547"/>
      <c r="NDQ136" s="548"/>
      <c r="NDR136" s="547"/>
      <c r="NDS136" s="547"/>
      <c r="NDT136" s="547"/>
      <c r="NDU136" s="547"/>
      <c r="NDV136" s="548"/>
      <c r="NDW136" s="547"/>
      <c r="NDX136" s="547"/>
      <c r="NDY136" s="547"/>
      <c r="NDZ136" s="552"/>
      <c r="NEA136" s="548"/>
      <c r="NEB136" s="552"/>
      <c r="NEC136" s="552"/>
      <c r="NED136" s="552"/>
      <c r="NEE136" s="552"/>
      <c r="NEF136" s="548"/>
      <c r="NEG136" s="553"/>
      <c r="NEH136" s="553"/>
      <c r="NEI136" s="553"/>
      <c r="NEJ136" s="8"/>
      <c r="NEK136" s="8"/>
      <c r="NEL136" s="458"/>
      <c r="NEM136" s="8"/>
      <c r="NEN136" s="8"/>
      <c r="NEO136" s="547"/>
      <c r="NEP136" s="547"/>
      <c r="NEQ136" s="547"/>
      <c r="NER136" s="547"/>
      <c r="NES136" s="548"/>
      <c r="NET136" s="547"/>
      <c r="NEU136" s="547"/>
      <c r="NEV136" s="547"/>
      <c r="NEW136" s="547"/>
      <c r="NEX136" s="548"/>
      <c r="NEY136" s="547"/>
      <c r="NEZ136" s="547"/>
      <c r="NFA136" s="547"/>
      <c r="NFB136" s="547"/>
      <c r="NFC136" s="548"/>
      <c r="NFD136" s="547"/>
      <c r="NFE136" s="547"/>
      <c r="NFF136" s="547"/>
      <c r="NFG136" s="552"/>
      <c r="NFH136" s="548"/>
      <c r="NFI136" s="552"/>
      <c r="NFJ136" s="552"/>
      <c r="NFK136" s="552"/>
      <c r="NFL136" s="552"/>
      <c r="NFM136" s="548"/>
      <c r="NFN136" s="553"/>
      <c r="NFO136" s="553"/>
      <c r="NFP136" s="553"/>
      <c r="NFQ136" s="8"/>
      <c r="NFR136" s="8"/>
      <c r="NFS136" s="458"/>
      <c r="NFT136" s="8"/>
      <c r="NFU136" s="8"/>
      <c r="NFV136" s="547"/>
      <c r="NFW136" s="547"/>
      <c r="NFX136" s="547"/>
      <c r="NFY136" s="547"/>
      <c r="NFZ136" s="548"/>
      <c r="NGA136" s="547"/>
      <c r="NGB136" s="547"/>
      <c r="NGC136" s="547"/>
      <c r="NGD136" s="547"/>
      <c r="NGE136" s="548"/>
      <c r="NGF136" s="547"/>
      <c r="NGG136" s="547"/>
      <c r="NGH136" s="547"/>
      <c r="NGI136" s="547"/>
      <c r="NGJ136" s="548"/>
      <c r="NGK136" s="547"/>
      <c r="NGL136" s="547"/>
      <c r="NGM136" s="547"/>
      <c r="NGN136" s="552"/>
      <c r="NGO136" s="548"/>
      <c r="NGP136" s="552"/>
      <c r="NGQ136" s="552"/>
      <c r="NGR136" s="552"/>
      <c r="NGS136" s="552"/>
      <c r="NGT136" s="548"/>
      <c r="NGU136" s="553"/>
      <c r="NGV136" s="553"/>
      <c r="NGW136" s="553"/>
      <c r="NGX136" s="8"/>
      <c r="NGY136" s="8"/>
      <c r="NGZ136" s="458"/>
      <c r="NHA136" s="8"/>
      <c r="NHB136" s="8"/>
      <c r="NHC136" s="547"/>
      <c r="NHD136" s="547"/>
      <c r="NHE136" s="547"/>
      <c r="NHF136" s="547"/>
      <c r="NHG136" s="548"/>
      <c r="NHH136" s="547"/>
      <c r="NHI136" s="547"/>
      <c r="NHJ136" s="547"/>
      <c r="NHK136" s="547"/>
      <c r="NHL136" s="548"/>
      <c r="NHM136" s="547"/>
      <c r="NHN136" s="547"/>
      <c r="NHO136" s="547"/>
      <c r="NHP136" s="547"/>
      <c r="NHQ136" s="548"/>
      <c r="NHR136" s="547"/>
      <c r="NHS136" s="547"/>
      <c r="NHT136" s="547"/>
      <c r="NHU136" s="552"/>
      <c r="NHV136" s="548"/>
      <c r="NHW136" s="552"/>
      <c r="NHX136" s="552"/>
      <c r="NHY136" s="552"/>
      <c r="NHZ136" s="552"/>
      <c r="NIA136" s="548"/>
      <c r="NIB136" s="553"/>
      <c r="NIC136" s="553"/>
      <c r="NID136" s="553"/>
      <c r="NIE136" s="8"/>
      <c r="NIF136" s="8"/>
      <c r="NIG136" s="458"/>
      <c r="NIH136" s="8"/>
      <c r="NII136" s="8"/>
      <c r="NIJ136" s="547"/>
      <c r="NIK136" s="547"/>
      <c r="NIL136" s="547"/>
      <c r="NIM136" s="547"/>
      <c r="NIN136" s="548"/>
      <c r="NIO136" s="547"/>
      <c r="NIP136" s="547"/>
      <c r="NIQ136" s="547"/>
      <c r="NIR136" s="547"/>
      <c r="NIS136" s="548"/>
      <c r="NIT136" s="547"/>
      <c r="NIU136" s="547"/>
      <c r="NIV136" s="547"/>
      <c r="NIW136" s="547"/>
      <c r="NIX136" s="548"/>
      <c r="NIY136" s="547"/>
      <c r="NIZ136" s="547"/>
      <c r="NJA136" s="547"/>
      <c r="NJB136" s="552"/>
      <c r="NJC136" s="548"/>
      <c r="NJD136" s="552"/>
      <c r="NJE136" s="552"/>
      <c r="NJF136" s="552"/>
      <c r="NJG136" s="552"/>
      <c r="NJH136" s="548"/>
      <c r="NJI136" s="553"/>
      <c r="NJJ136" s="553"/>
      <c r="NJK136" s="553"/>
      <c r="NJL136" s="8"/>
      <c r="NJM136" s="8"/>
      <c r="NJN136" s="458"/>
      <c r="NJO136" s="8"/>
      <c r="NJP136" s="8"/>
      <c r="NJQ136" s="547"/>
      <c r="NJR136" s="547"/>
      <c r="NJS136" s="547"/>
      <c r="NJT136" s="547"/>
      <c r="NJU136" s="548"/>
      <c r="NJV136" s="547"/>
      <c r="NJW136" s="547"/>
      <c r="NJX136" s="547"/>
      <c r="NJY136" s="547"/>
      <c r="NJZ136" s="548"/>
      <c r="NKA136" s="547"/>
      <c r="NKB136" s="547"/>
      <c r="NKC136" s="547"/>
      <c r="NKD136" s="547"/>
      <c r="NKE136" s="548"/>
      <c r="NKF136" s="547"/>
      <c r="NKG136" s="547"/>
      <c r="NKH136" s="547"/>
      <c r="NKI136" s="552"/>
      <c r="NKJ136" s="548"/>
      <c r="NKK136" s="552"/>
      <c r="NKL136" s="552"/>
      <c r="NKM136" s="552"/>
      <c r="NKN136" s="552"/>
      <c r="NKO136" s="548"/>
      <c r="NKP136" s="553"/>
      <c r="NKQ136" s="553"/>
      <c r="NKR136" s="553"/>
      <c r="NKS136" s="8"/>
      <c r="NKT136" s="8"/>
      <c r="NKU136" s="458"/>
      <c r="NKV136" s="8"/>
      <c r="NKW136" s="8"/>
      <c r="NKX136" s="547"/>
      <c r="NKY136" s="547"/>
      <c r="NKZ136" s="547"/>
      <c r="NLA136" s="547"/>
      <c r="NLB136" s="548"/>
      <c r="NLC136" s="547"/>
      <c r="NLD136" s="547"/>
      <c r="NLE136" s="547"/>
      <c r="NLF136" s="547"/>
      <c r="NLG136" s="548"/>
      <c r="NLH136" s="547"/>
      <c r="NLI136" s="547"/>
      <c r="NLJ136" s="547"/>
      <c r="NLK136" s="547"/>
      <c r="NLL136" s="548"/>
      <c r="NLM136" s="547"/>
      <c r="NLN136" s="547"/>
      <c r="NLO136" s="547"/>
      <c r="NLP136" s="552"/>
      <c r="NLQ136" s="548"/>
      <c r="NLR136" s="552"/>
      <c r="NLS136" s="552"/>
      <c r="NLT136" s="552"/>
      <c r="NLU136" s="552"/>
      <c r="NLV136" s="548"/>
      <c r="NLW136" s="553"/>
      <c r="NLX136" s="553"/>
      <c r="NLY136" s="553"/>
      <c r="NLZ136" s="8"/>
      <c r="NMA136" s="8"/>
      <c r="NMB136" s="458"/>
      <c r="NMC136" s="8"/>
      <c r="NMD136" s="8"/>
      <c r="NME136" s="547"/>
      <c r="NMF136" s="547"/>
      <c r="NMG136" s="547"/>
      <c r="NMH136" s="547"/>
      <c r="NMI136" s="548"/>
      <c r="NMJ136" s="547"/>
      <c r="NMK136" s="547"/>
      <c r="NML136" s="547"/>
      <c r="NMM136" s="547"/>
      <c r="NMN136" s="548"/>
      <c r="NMO136" s="547"/>
      <c r="NMP136" s="547"/>
      <c r="NMQ136" s="547"/>
      <c r="NMR136" s="547"/>
      <c r="NMS136" s="548"/>
      <c r="NMT136" s="547"/>
      <c r="NMU136" s="547"/>
      <c r="NMV136" s="547"/>
      <c r="NMW136" s="552"/>
      <c r="NMX136" s="548"/>
      <c r="NMY136" s="552"/>
      <c r="NMZ136" s="552"/>
      <c r="NNA136" s="552"/>
      <c r="NNB136" s="552"/>
      <c r="NNC136" s="548"/>
      <c r="NND136" s="553"/>
      <c r="NNE136" s="553"/>
      <c r="NNF136" s="553"/>
      <c r="NNG136" s="8"/>
      <c r="NNH136" s="8"/>
      <c r="NNI136" s="458"/>
      <c r="NNJ136" s="8"/>
      <c r="NNK136" s="8"/>
      <c r="NNL136" s="547"/>
      <c r="NNM136" s="547"/>
      <c r="NNN136" s="547"/>
      <c r="NNO136" s="547"/>
      <c r="NNP136" s="548"/>
      <c r="NNQ136" s="547"/>
      <c r="NNR136" s="547"/>
      <c r="NNS136" s="547"/>
      <c r="NNT136" s="547"/>
      <c r="NNU136" s="548"/>
      <c r="NNV136" s="547"/>
      <c r="NNW136" s="547"/>
      <c r="NNX136" s="547"/>
      <c r="NNY136" s="547"/>
      <c r="NNZ136" s="548"/>
      <c r="NOA136" s="547"/>
      <c r="NOB136" s="547"/>
      <c r="NOC136" s="547"/>
      <c r="NOD136" s="552"/>
      <c r="NOE136" s="548"/>
      <c r="NOF136" s="552"/>
      <c r="NOG136" s="552"/>
      <c r="NOH136" s="552"/>
      <c r="NOI136" s="552"/>
      <c r="NOJ136" s="548"/>
      <c r="NOK136" s="553"/>
      <c r="NOL136" s="553"/>
      <c r="NOM136" s="553"/>
      <c r="NON136" s="8"/>
      <c r="NOO136" s="8"/>
      <c r="NOP136" s="458"/>
      <c r="NOQ136" s="8"/>
      <c r="NOR136" s="8"/>
      <c r="NOS136" s="547"/>
      <c r="NOT136" s="547"/>
      <c r="NOU136" s="547"/>
      <c r="NOV136" s="547"/>
      <c r="NOW136" s="548"/>
      <c r="NOX136" s="547"/>
      <c r="NOY136" s="547"/>
      <c r="NOZ136" s="547"/>
      <c r="NPA136" s="547"/>
      <c r="NPB136" s="548"/>
      <c r="NPC136" s="547"/>
      <c r="NPD136" s="547"/>
      <c r="NPE136" s="547"/>
      <c r="NPF136" s="547"/>
      <c r="NPG136" s="548"/>
      <c r="NPH136" s="547"/>
      <c r="NPI136" s="547"/>
      <c r="NPJ136" s="547"/>
      <c r="NPK136" s="552"/>
      <c r="NPL136" s="548"/>
      <c r="NPM136" s="552"/>
      <c r="NPN136" s="552"/>
      <c r="NPO136" s="552"/>
      <c r="NPP136" s="552"/>
      <c r="NPQ136" s="548"/>
      <c r="NPR136" s="553"/>
      <c r="NPS136" s="553"/>
      <c r="NPT136" s="553"/>
      <c r="NPU136" s="8"/>
      <c r="NPV136" s="8"/>
      <c r="NPW136" s="458"/>
      <c r="NPX136" s="8"/>
      <c r="NPY136" s="8"/>
      <c r="NPZ136" s="547"/>
      <c r="NQA136" s="547"/>
      <c r="NQB136" s="547"/>
      <c r="NQC136" s="547"/>
      <c r="NQD136" s="548"/>
      <c r="NQE136" s="547"/>
      <c r="NQF136" s="547"/>
      <c r="NQG136" s="547"/>
      <c r="NQH136" s="547"/>
      <c r="NQI136" s="548"/>
      <c r="NQJ136" s="547"/>
      <c r="NQK136" s="547"/>
      <c r="NQL136" s="547"/>
      <c r="NQM136" s="547"/>
      <c r="NQN136" s="548"/>
      <c r="NQO136" s="547"/>
      <c r="NQP136" s="547"/>
      <c r="NQQ136" s="547"/>
      <c r="NQR136" s="552"/>
      <c r="NQS136" s="548"/>
      <c r="NQT136" s="552"/>
      <c r="NQU136" s="552"/>
      <c r="NQV136" s="552"/>
      <c r="NQW136" s="552"/>
      <c r="NQX136" s="548"/>
      <c r="NQY136" s="553"/>
      <c r="NQZ136" s="553"/>
      <c r="NRA136" s="553"/>
      <c r="NRB136" s="8"/>
      <c r="NRC136" s="8"/>
      <c r="NRD136" s="458"/>
      <c r="NRE136" s="8"/>
      <c r="NRF136" s="8"/>
      <c r="NRG136" s="547"/>
      <c r="NRH136" s="547"/>
      <c r="NRI136" s="547"/>
      <c r="NRJ136" s="547"/>
      <c r="NRK136" s="548"/>
      <c r="NRL136" s="547"/>
      <c r="NRM136" s="547"/>
      <c r="NRN136" s="547"/>
      <c r="NRO136" s="547"/>
      <c r="NRP136" s="548"/>
      <c r="NRQ136" s="547"/>
      <c r="NRR136" s="547"/>
      <c r="NRS136" s="547"/>
      <c r="NRT136" s="547"/>
      <c r="NRU136" s="548"/>
      <c r="NRV136" s="547"/>
      <c r="NRW136" s="547"/>
      <c r="NRX136" s="547"/>
      <c r="NRY136" s="552"/>
      <c r="NRZ136" s="548"/>
      <c r="NSA136" s="552"/>
      <c r="NSB136" s="552"/>
      <c r="NSC136" s="552"/>
      <c r="NSD136" s="552"/>
      <c r="NSE136" s="548"/>
      <c r="NSF136" s="553"/>
      <c r="NSG136" s="553"/>
      <c r="NSH136" s="553"/>
      <c r="NSI136" s="8"/>
      <c r="NSJ136" s="8"/>
      <c r="NSK136" s="458"/>
      <c r="NSL136" s="8"/>
      <c r="NSM136" s="8"/>
      <c r="NSN136" s="547"/>
      <c r="NSO136" s="547"/>
      <c r="NSP136" s="547"/>
      <c r="NSQ136" s="547"/>
      <c r="NSR136" s="548"/>
      <c r="NSS136" s="547"/>
      <c r="NST136" s="547"/>
      <c r="NSU136" s="547"/>
      <c r="NSV136" s="547"/>
      <c r="NSW136" s="548"/>
      <c r="NSX136" s="547"/>
      <c r="NSY136" s="547"/>
      <c r="NSZ136" s="547"/>
      <c r="NTA136" s="547"/>
      <c r="NTB136" s="548"/>
      <c r="NTC136" s="547"/>
      <c r="NTD136" s="547"/>
      <c r="NTE136" s="547"/>
      <c r="NTF136" s="552"/>
      <c r="NTG136" s="548"/>
      <c r="NTH136" s="552"/>
      <c r="NTI136" s="552"/>
      <c r="NTJ136" s="552"/>
      <c r="NTK136" s="552"/>
      <c r="NTL136" s="548"/>
      <c r="NTM136" s="553"/>
      <c r="NTN136" s="553"/>
      <c r="NTO136" s="553"/>
      <c r="NTP136" s="8"/>
      <c r="NTQ136" s="8"/>
      <c r="NTR136" s="458"/>
      <c r="NTS136" s="8"/>
      <c r="NTT136" s="8"/>
      <c r="NTU136" s="547"/>
      <c r="NTV136" s="547"/>
      <c r="NTW136" s="547"/>
      <c r="NTX136" s="547"/>
      <c r="NTY136" s="548"/>
      <c r="NTZ136" s="547"/>
      <c r="NUA136" s="547"/>
      <c r="NUB136" s="547"/>
      <c r="NUC136" s="547"/>
      <c r="NUD136" s="548"/>
      <c r="NUE136" s="547"/>
      <c r="NUF136" s="547"/>
      <c r="NUG136" s="547"/>
      <c r="NUH136" s="547"/>
      <c r="NUI136" s="548"/>
      <c r="NUJ136" s="547"/>
      <c r="NUK136" s="547"/>
      <c r="NUL136" s="547"/>
      <c r="NUM136" s="552"/>
      <c r="NUN136" s="548"/>
      <c r="NUO136" s="552"/>
      <c r="NUP136" s="552"/>
      <c r="NUQ136" s="552"/>
      <c r="NUR136" s="552"/>
      <c r="NUS136" s="548"/>
      <c r="NUT136" s="553"/>
      <c r="NUU136" s="553"/>
      <c r="NUV136" s="553"/>
      <c r="NUW136" s="8"/>
      <c r="NUX136" s="8"/>
      <c r="NUY136" s="458"/>
      <c r="NUZ136" s="8"/>
      <c r="NVA136" s="8"/>
      <c r="NVB136" s="547"/>
      <c r="NVC136" s="547"/>
      <c r="NVD136" s="547"/>
      <c r="NVE136" s="547"/>
      <c r="NVF136" s="548"/>
      <c r="NVG136" s="547"/>
      <c r="NVH136" s="547"/>
      <c r="NVI136" s="547"/>
      <c r="NVJ136" s="547"/>
      <c r="NVK136" s="548"/>
      <c r="NVL136" s="547"/>
      <c r="NVM136" s="547"/>
      <c r="NVN136" s="547"/>
      <c r="NVO136" s="547"/>
      <c r="NVP136" s="548"/>
      <c r="NVQ136" s="547"/>
      <c r="NVR136" s="547"/>
      <c r="NVS136" s="547"/>
      <c r="NVT136" s="552"/>
      <c r="NVU136" s="548"/>
      <c r="NVV136" s="552"/>
      <c r="NVW136" s="552"/>
      <c r="NVX136" s="552"/>
      <c r="NVY136" s="552"/>
      <c r="NVZ136" s="548"/>
      <c r="NWA136" s="553"/>
      <c r="NWB136" s="553"/>
      <c r="NWC136" s="553"/>
      <c r="NWD136" s="8"/>
      <c r="NWE136" s="8"/>
      <c r="NWF136" s="458"/>
      <c r="NWG136" s="8"/>
      <c r="NWH136" s="8"/>
      <c r="NWI136" s="547"/>
      <c r="NWJ136" s="547"/>
      <c r="NWK136" s="547"/>
      <c r="NWL136" s="547"/>
      <c r="NWM136" s="548"/>
      <c r="NWN136" s="547"/>
      <c r="NWO136" s="547"/>
      <c r="NWP136" s="547"/>
      <c r="NWQ136" s="547"/>
      <c r="NWR136" s="548"/>
      <c r="NWS136" s="547"/>
      <c r="NWT136" s="547"/>
      <c r="NWU136" s="547"/>
      <c r="NWV136" s="547"/>
      <c r="NWW136" s="548"/>
      <c r="NWX136" s="547"/>
      <c r="NWY136" s="547"/>
      <c r="NWZ136" s="547"/>
      <c r="NXA136" s="552"/>
      <c r="NXB136" s="548"/>
      <c r="NXC136" s="552"/>
      <c r="NXD136" s="552"/>
      <c r="NXE136" s="552"/>
      <c r="NXF136" s="552"/>
      <c r="NXG136" s="548"/>
      <c r="NXH136" s="553"/>
      <c r="NXI136" s="553"/>
      <c r="NXJ136" s="553"/>
      <c r="NXK136" s="8"/>
      <c r="NXL136" s="8"/>
      <c r="NXM136" s="458"/>
      <c r="NXN136" s="8"/>
      <c r="NXO136" s="8"/>
      <c r="NXP136" s="547"/>
      <c r="NXQ136" s="547"/>
      <c r="NXR136" s="547"/>
      <c r="NXS136" s="547"/>
      <c r="NXT136" s="548"/>
      <c r="NXU136" s="547"/>
      <c r="NXV136" s="547"/>
      <c r="NXW136" s="547"/>
      <c r="NXX136" s="547"/>
      <c r="NXY136" s="548"/>
      <c r="NXZ136" s="547"/>
      <c r="NYA136" s="547"/>
      <c r="NYB136" s="547"/>
      <c r="NYC136" s="547"/>
      <c r="NYD136" s="548"/>
      <c r="NYE136" s="547"/>
      <c r="NYF136" s="547"/>
      <c r="NYG136" s="547"/>
      <c r="NYH136" s="552"/>
      <c r="NYI136" s="548"/>
      <c r="NYJ136" s="552"/>
      <c r="NYK136" s="552"/>
      <c r="NYL136" s="552"/>
      <c r="NYM136" s="552"/>
      <c r="NYN136" s="548"/>
      <c r="NYO136" s="553"/>
      <c r="NYP136" s="553"/>
      <c r="NYQ136" s="553"/>
      <c r="NYR136" s="8"/>
      <c r="NYS136" s="8"/>
      <c r="NYT136" s="458"/>
      <c r="NYU136" s="8"/>
      <c r="NYV136" s="8"/>
      <c r="NYW136" s="547"/>
      <c r="NYX136" s="547"/>
      <c r="NYY136" s="547"/>
      <c r="NYZ136" s="547"/>
      <c r="NZA136" s="548"/>
      <c r="NZB136" s="547"/>
      <c r="NZC136" s="547"/>
      <c r="NZD136" s="547"/>
      <c r="NZE136" s="547"/>
      <c r="NZF136" s="548"/>
      <c r="NZG136" s="547"/>
      <c r="NZH136" s="547"/>
      <c r="NZI136" s="547"/>
      <c r="NZJ136" s="547"/>
      <c r="NZK136" s="548"/>
      <c r="NZL136" s="547"/>
      <c r="NZM136" s="547"/>
      <c r="NZN136" s="547"/>
      <c r="NZO136" s="552"/>
      <c r="NZP136" s="548"/>
      <c r="NZQ136" s="552"/>
      <c r="NZR136" s="552"/>
      <c r="NZS136" s="552"/>
      <c r="NZT136" s="552"/>
      <c r="NZU136" s="548"/>
      <c r="NZV136" s="553"/>
      <c r="NZW136" s="553"/>
      <c r="NZX136" s="553"/>
      <c r="NZY136" s="8"/>
      <c r="NZZ136" s="8"/>
      <c r="OAA136" s="458"/>
      <c r="OAB136" s="8"/>
      <c r="OAC136" s="8"/>
      <c r="OAD136" s="547"/>
      <c r="OAE136" s="547"/>
      <c r="OAF136" s="547"/>
      <c r="OAG136" s="547"/>
      <c r="OAH136" s="548"/>
      <c r="OAI136" s="547"/>
      <c r="OAJ136" s="547"/>
      <c r="OAK136" s="547"/>
      <c r="OAL136" s="547"/>
      <c r="OAM136" s="548"/>
      <c r="OAN136" s="547"/>
      <c r="OAO136" s="547"/>
      <c r="OAP136" s="547"/>
      <c r="OAQ136" s="547"/>
      <c r="OAR136" s="548"/>
      <c r="OAS136" s="547"/>
      <c r="OAT136" s="547"/>
      <c r="OAU136" s="547"/>
      <c r="OAV136" s="552"/>
      <c r="OAW136" s="548"/>
      <c r="OAX136" s="552"/>
      <c r="OAY136" s="552"/>
      <c r="OAZ136" s="552"/>
      <c r="OBA136" s="552"/>
      <c r="OBB136" s="548"/>
      <c r="OBC136" s="553"/>
      <c r="OBD136" s="553"/>
      <c r="OBE136" s="553"/>
      <c r="OBF136" s="8"/>
      <c r="OBG136" s="8"/>
      <c r="OBH136" s="458"/>
      <c r="OBI136" s="8"/>
      <c r="OBJ136" s="8"/>
      <c r="OBK136" s="547"/>
      <c r="OBL136" s="547"/>
      <c r="OBM136" s="547"/>
      <c r="OBN136" s="547"/>
      <c r="OBO136" s="548"/>
      <c r="OBP136" s="547"/>
      <c r="OBQ136" s="547"/>
      <c r="OBR136" s="547"/>
      <c r="OBS136" s="547"/>
      <c r="OBT136" s="548"/>
      <c r="OBU136" s="547"/>
      <c r="OBV136" s="547"/>
      <c r="OBW136" s="547"/>
      <c r="OBX136" s="547"/>
      <c r="OBY136" s="548"/>
      <c r="OBZ136" s="547"/>
      <c r="OCA136" s="547"/>
      <c r="OCB136" s="547"/>
      <c r="OCC136" s="552"/>
      <c r="OCD136" s="548"/>
      <c r="OCE136" s="552"/>
      <c r="OCF136" s="552"/>
      <c r="OCG136" s="552"/>
      <c r="OCH136" s="552"/>
      <c r="OCI136" s="548"/>
      <c r="OCJ136" s="553"/>
      <c r="OCK136" s="553"/>
      <c r="OCL136" s="553"/>
      <c r="OCM136" s="8"/>
      <c r="OCN136" s="8"/>
      <c r="OCO136" s="458"/>
      <c r="OCP136" s="8"/>
      <c r="OCQ136" s="8"/>
      <c r="OCR136" s="547"/>
      <c r="OCS136" s="547"/>
      <c r="OCT136" s="547"/>
      <c r="OCU136" s="547"/>
      <c r="OCV136" s="548"/>
      <c r="OCW136" s="547"/>
      <c r="OCX136" s="547"/>
      <c r="OCY136" s="547"/>
      <c r="OCZ136" s="547"/>
      <c r="ODA136" s="548"/>
      <c r="ODB136" s="547"/>
      <c r="ODC136" s="547"/>
      <c r="ODD136" s="547"/>
      <c r="ODE136" s="547"/>
      <c r="ODF136" s="548"/>
      <c r="ODG136" s="547"/>
      <c r="ODH136" s="547"/>
      <c r="ODI136" s="547"/>
      <c r="ODJ136" s="552"/>
      <c r="ODK136" s="548"/>
      <c r="ODL136" s="552"/>
      <c r="ODM136" s="552"/>
      <c r="ODN136" s="552"/>
      <c r="ODO136" s="552"/>
      <c r="ODP136" s="548"/>
      <c r="ODQ136" s="553"/>
      <c r="ODR136" s="553"/>
      <c r="ODS136" s="553"/>
      <c r="ODT136" s="8"/>
      <c r="ODU136" s="8"/>
      <c r="ODV136" s="458"/>
      <c r="ODW136" s="8"/>
      <c r="ODX136" s="8"/>
      <c r="ODY136" s="547"/>
      <c r="ODZ136" s="547"/>
      <c r="OEA136" s="547"/>
      <c r="OEB136" s="547"/>
      <c r="OEC136" s="548"/>
      <c r="OED136" s="547"/>
      <c r="OEE136" s="547"/>
      <c r="OEF136" s="547"/>
      <c r="OEG136" s="547"/>
      <c r="OEH136" s="548"/>
      <c r="OEI136" s="547"/>
      <c r="OEJ136" s="547"/>
      <c r="OEK136" s="547"/>
      <c r="OEL136" s="547"/>
      <c r="OEM136" s="548"/>
      <c r="OEN136" s="547"/>
      <c r="OEO136" s="547"/>
      <c r="OEP136" s="547"/>
      <c r="OEQ136" s="552"/>
      <c r="OER136" s="548"/>
      <c r="OES136" s="552"/>
      <c r="OET136" s="552"/>
      <c r="OEU136" s="552"/>
      <c r="OEV136" s="552"/>
      <c r="OEW136" s="548"/>
      <c r="OEX136" s="553"/>
      <c r="OEY136" s="553"/>
      <c r="OEZ136" s="553"/>
      <c r="OFA136" s="8"/>
      <c r="OFB136" s="8"/>
      <c r="OFC136" s="458"/>
      <c r="OFD136" s="8"/>
      <c r="OFE136" s="8"/>
      <c r="OFF136" s="547"/>
      <c r="OFG136" s="547"/>
      <c r="OFH136" s="547"/>
      <c r="OFI136" s="547"/>
      <c r="OFJ136" s="548"/>
      <c r="OFK136" s="547"/>
      <c r="OFL136" s="547"/>
      <c r="OFM136" s="547"/>
      <c r="OFN136" s="547"/>
      <c r="OFO136" s="548"/>
      <c r="OFP136" s="547"/>
      <c r="OFQ136" s="547"/>
      <c r="OFR136" s="547"/>
      <c r="OFS136" s="547"/>
      <c r="OFT136" s="548"/>
      <c r="OFU136" s="547"/>
      <c r="OFV136" s="547"/>
      <c r="OFW136" s="547"/>
      <c r="OFX136" s="552"/>
      <c r="OFY136" s="548"/>
      <c r="OFZ136" s="552"/>
      <c r="OGA136" s="552"/>
      <c r="OGB136" s="552"/>
      <c r="OGC136" s="552"/>
      <c r="OGD136" s="548"/>
      <c r="OGE136" s="553"/>
      <c r="OGF136" s="553"/>
      <c r="OGG136" s="553"/>
      <c r="OGH136" s="8"/>
      <c r="OGI136" s="8"/>
      <c r="OGJ136" s="458"/>
      <c r="OGK136" s="8"/>
      <c r="OGL136" s="8"/>
      <c r="OGM136" s="547"/>
      <c r="OGN136" s="547"/>
      <c r="OGO136" s="547"/>
      <c r="OGP136" s="547"/>
      <c r="OGQ136" s="548"/>
      <c r="OGR136" s="547"/>
      <c r="OGS136" s="547"/>
      <c r="OGT136" s="547"/>
      <c r="OGU136" s="547"/>
      <c r="OGV136" s="548"/>
      <c r="OGW136" s="547"/>
      <c r="OGX136" s="547"/>
      <c r="OGY136" s="547"/>
      <c r="OGZ136" s="547"/>
      <c r="OHA136" s="548"/>
      <c r="OHB136" s="547"/>
      <c r="OHC136" s="547"/>
      <c r="OHD136" s="547"/>
      <c r="OHE136" s="552"/>
      <c r="OHF136" s="548"/>
      <c r="OHG136" s="552"/>
      <c r="OHH136" s="552"/>
      <c r="OHI136" s="552"/>
      <c r="OHJ136" s="552"/>
      <c r="OHK136" s="548"/>
      <c r="OHL136" s="553"/>
      <c r="OHM136" s="553"/>
      <c r="OHN136" s="553"/>
      <c r="OHO136" s="8"/>
      <c r="OHP136" s="8"/>
      <c r="OHQ136" s="458"/>
      <c r="OHR136" s="8"/>
      <c r="OHS136" s="8"/>
      <c r="OHT136" s="547"/>
      <c r="OHU136" s="547"/>
      <c r="OHV136" s="547"/>
      <c r="OHW136" s="547"/>
      <c r="OHX136" s="548"/>
      <c r="OHY136" s="547"/>
      <c r="OHZ136" s="547"/>
      <c r="OIA136" s="547"/>
      <c r="OIB136" s="547"/>
      <c r="OIC136" s="548"/>
      <c r="OID136" s="547"/>
      <c r="OIE136" s="547"/>
      <c r="OIF136" s="547"/>
      <c r="OIG136" s="547"/>
      <c r="OIH136" s="548"/>
      <c r="OII136" s="547"/>
      <c r="OIJ136" s="547"/>
      <c r="OIK136" s="547"/>
      <c r="OIL136" s="552"/>
      <c r="OIM136" s="548"/>
      <c r="OIN136" s="552"/>
      <c r="OIO136" s="552"/>
      <c r="OIP136" s="552"/>
      <c r="OIQ136" s="552"/>
      <c r="OIR136" s="548"/>
      <c r="OIS136" s="553"/>
      <c r="OIT136" s="553"/>
      <c r="OIU136" s="553"/>
      <c r="OIV136" s="8"/>
      <c r="OIW136" s="8"/>
      <c r="OIX136" s="458"/>
      <c r="OIY136" s="8"/>
      <c r="OIZ136" s="8"/>
      <c r="OJA136" s="547"/>
      <c r="OJB136" s="547"/>
      <c r="OJC136" s="547"/>
      <c r="OJD136" s="547"/>
      <c r="OJE136" s="548"/>
      <c r="OJF136" s="547"/>
      <c r="OJG136" s="547"/>
      <c r="OJH136" s="547"/>
      <c r="OJI136" s="547"/>
      <c r="OJJ136" s="548"/>
      <c r="OJK136" s="547"/>
      <c r="OJL136" s="547"/>
      <c r="OJM136" s="547"/>
      <c r="OJN136" s="547"/>
      <c r="OJO136" s="548"/>
      <c r="OJP136" s="547"/>
      <c r="OJQ136" s="547"/>
      <c r="OJR136" s="547"/>
      <c r="OJS136" s="552"/>
      <c r="OJT136" s="548"/>
      <c r="OJU136" s="552"/>
      <c r="OJV136" s="552"/>
      <c r="OJW136" s="552"/>
      <c r="OJX136" s="552"/>
      <c r="OJY136" s="548"/>
      <c r="OJZ136" s="553"/>
      <c r="OKA136" s="553"/>
      <c r="OKB136" s="553"/>
      <c r="OKC136" s="8"/>
      <c r="OKD136" s="8"/>
      <c r="OKE136" s="458"/>
      <c r="OKF136" s="8"/>
      <c r="OKG136" s="8"/>
      <c r="OKH136" s="547"/>
      <c r="OKI136" s="547"/>
      <c r="OKJ136" s="547"/>
      <c r="OKK136" s="547"/>
      <c r="OKL136" s="548"/>
      <c r="OKM136" s="547"/>
      <c r="OKN136" s="547"/>
      <c r="OKO136" s="547"/>
      <c r="OKP136" s="547"/>
      <c r="OKQ136" s="548"/>
      <c r="OKR136" s="547"/>
      <c r="OKS136" s="547"/>
      <c r="OKT136" s="547"/>
      <c r="OKU136" s="547"/>
      <c r="OKV136" s="548"/>
      <c r="OKW136" s="547"/>
      <c r="OKX136" s="547"/>
      <c r="OKY136" s="547"/>
      <c r="OKZ136" s="552"/>
      <c r="OLA136" s="548"/>
      <c r="OLB136" s="552"/>
      <c r="OLC136" s="552"/>
      <c r="OLD136" s="552"/>
      <c r="OLE136" s="552"/>
      <c r="OLF136" s="548"/>
      <c r="OLG136" s="553"/>
      <c r="OLH136" s="553"/>
      <c r="OLI136" s="553"/>
      <c r="OLJ136" s="8"/>
      <c r="OLK136" s="8"/>
      <c r="OLL136" s="458"/>
      <c r="OLM136" s="8"/>
      <c r="OLN136" s="8"/>
      <c r="OLO136" s="547"/>
      <c r="OLP136" s="547"/>
      <c r="OLQ136" s="547"/>
      <c r="OLR136" s="547"/>
      <c r="OLS136" s="548"/>
      <c r="OLT136" s="547"/>
      <c r="OLU136" s="547"/>
      <c r="OLV136" s="547"/>
      <c r="OLW136" s="547"/>
      <c r="OLX136" s="548"/>
      <c r="OLY136" s="547"/>
      <c r="OLZ136" s="547"/>
      <c r="OMA136" s="547"/>
      <c r="OMB136" s="547"/>
      <c r="OMC136" s="548"/>
      <c r="OMD136" s="547"/>
      <c r="OME136" s="547"/>
      <c r="OMF136" s="547"/>
      <c r="OMG136" s="552"/>
      <c r="OMH136" s="548"/>
      <c r="OMI136" s="552"/>
      <c r="OMJ136" s="552"/>
      <c r="OMK136" s="552"/>
      <c r="OML136" s="552"/>
      <c r="OMM136" s="548"/>
      <c r="OMN136" s="553"/>
      <c r="OMO136" s="553"/>
      <c r="OMP136" s="553"/>
      <c r="OMQ136" s="8"/>
      <c r="OMR136" s="8"/>
      <c r="OMS136" s="458"/>
      <c r="OMT136" s="8"/>
      <c r="OMU136" s="8"/>
      <c r="OMV136" s="547"/>
      <c r="OMW136" s="547"/>
      <c r="OMX136" s="547"/>
      <c r="OMY136" s="547"/>
      <c r="OMZ136" s="548"/>
      <c r="ONA136" s="547"/>
      <c r="ONB136" s="547"/>
      <c r="ONC136" s="547"/>
      <c r="OND136" s="547"/>
      <c r="ONE136" s="548"/>
      <c r="ONF136" s="547"/>
      <c r="ONG136" s="547"/>
      <c r="ONH136" s="547"/>
      <c r="ONI136" s="547"/>
      <c r="ONJ136" s="548"/>
      <c r="ONK136" s="547"/>
      <c r="ONL136" s="547"/>
      <c r="ONM136" s="547"/>
      <c r="ONN136" s="552"/>
      <c r="ONO136" s="548"/>
      <c r="ONP136" s="552"/>
      <c r="ONQ136" s="552"/>
      <c r="ONR136" s="552"/>
      <c r="ONS136" s="552"/>
      <c r="ONT136" s="548"/>
      <c r="ONU136" s="553"/>
      <c r="ONV136" s="553"/>
      <c r="ONW136" s="553"/>
      <c r="ONX136" s="8"/>
      <c r="ONY136" s="8"/>
      <c r="ONZ136" s="458"/>
      <c r="OOA136" s="8"/>
      <c r="OOB136" s="8"/>
      <c r="OOC136" s="547"/>
      <c r="OOD136" s="547"/>
      <c r="OOE136" s="547"/>
      <c r="OOF136" s="547"/>
      <c r="OOG136" s="548"/>
      <c r="OOH136" s="547"/>
      <c r="OOI136" s="547"/>
      <c r="OOJ136" s="547"/>
      <c r="OOK136" s="547"/>
      <c r="OOL136" s="548"/>
      <c r="OOM136" s="547"/>
      <c r="OON136" s="547"/>
      <c r="OOO136" s="547"/>
      <c r="OOP136" s="547"/>
      <c r="OOQ136" s="548"/>
      <c r="OOR136" s="547"/>
      <c r="OOS136" s="547"/>
      <c r="OOT136" s="547"/>
      <c r="OOU136" s="552"/>
      <c r="OOV136" s="548"/>
      <c r="OOW136" s="552"/>
      <c r="OOX136" s="552"/>
      <c r="OOY136" s="552"/>
      <c r="OOZ136" s="552"/>
      <c r="OPA136" s="548"/>
      <c r="OPB136" s="553"/>
      <c r="OPC136" s="553"/>
      <c r="OPD136" s="553"/>
      <c r="OPE136" s="8"/>
      <c r="OPF136" s="8"/>
      <c r="OPG136" s="458"/>
      <c r="OPH136" s="8"/>
      <c r="OPI136" s="8"/>
      <c r="OPJ136" s="547"/>
      <c r="OPK136" s="547"/>
      <c r="OPL136" s="547"/>
      <c r="OPM136" s="547"/>
      <c r="OPN136" s="548"/>
      <c r="OPO136" s="547"/>
      <c r="OPP136" s="547"/>
      <c r="OPQ136" s="547"/>
      <c r="OPR136" s="547"/>
      <c r="OPS136" s="548"/>
      <c r="OPT136" s="547"/>
      <c r="OPU136" s="547"/>
      <c r="OPV136" s="547"/>
      <c r="OPW136" s="547"/>
      <c r="OPX136" s="548"/>
      <c r="OPY136" s="547"/>
      <c r="OPZ136" s="547"/>
      <c r="OQA136" s="547"/>
      <c r="OQB136" s="552"/>
      <c r="OQC136" s="548"/>
      <c r="OQD136" s="552"/>
      <c r="OQE136" s="552"/>
      <c r="OQF136" s="552"/>
      <c r="OQG136" s="552"/>
      <c r="OQH136" s="548"/>
      <c r="OQI136" s="553"/>
      <c r="OQJ136" s="553"/>
      <c r="OQK136" s="553"/>
      <c r="OQL136" s="8"/>
      <c r="OQM136" s="8"/>
      <c r="OQN136" s="458"/>
      <c r="OQO136" s="8"/>
      <c r="OQP136" s="8"/>
      <c r="OQQ136" s="547"/>
      <c r="OQR136" s="547"/>
      <c r="OQS136" s="547"/>
      <c r="OQT136" s="547"/>
      <c r="OQU136" s="548"/>
      <c r="OQV136" s="547"/>
      <c r="OQW136" s="547"/>
      <c r="OQX136" s="547"/>
      <c r="OQY136" s="547"/>
      <c r="OQZ136" s="548"/>
      <c r="ORA136" s="547"/>
      <c r="ORB136" s="547"/>
      <c r="ORC136" s="547"/>
      <c r="ORD136" s="547"/>
      <c r="ORE136" s="548"/>
      <c r="ORF136" s="547"/>
      <c r="ORG136" s="547"/>
      <c r="ORH136" s="547"/>
      <c r="ORI136" s="552"/>
      <c r="ORJ136" s="548"/>
      <c r="ORK136" s="552"/>
      <c r="ORL136" s="552"/>
      <c r="ORM136" s="552"/>
      <c r="ORN136" s="552"/>
      <c r="ORO136" s="548"/>
      <c r="ORP136" s="553"/>
      <c r="ORQ136" s="553"/>
      <c r="ORR136" s="553"/>
      <c r="ORS136" s="8"/>
      <c r="ORT136" s="8"/>
      <c r="ORU136" s="458"/>
      <c r="ORV136" s="8"/>
      <c r="ORW136" s="8"/>
      <c r="ORX136" s="547"/>
      <c r="ORY136" s="547"/>
      <c r="ORZ136" s="547"/>
      <c r="OSA136" s="547"/>
      <c r="OSB136" s="548"/>
      <c r="OSC136" s="547"/>
      <c r="OSD136" s="547"/>
      <c r="OSE136" s="547"/>
      <c r="OSF136" s="547"/>
      <c r="OSG136" s="548"/>
      <c r="OSH136" s="547"/>
      <c r="OSI136" s="547"/>
      <c r="OSJ136" s="547"/>
      <c r="OSK136" s="547"/>
      <c r="OSL136" s="548"/>
      <c r="OSM136" s="547"/>
      <c r="OSN136" s="547"/>
      <c r="OSO136" s="547"/>
      <c r="OSP136" s="552"/>
      <c r="OSQ136" s="548"/>
      <c r="OSR136" s="552"/>
      <c r="OSS136" s="552"/>
      <c r="OST136" s="552"/>
      <c r="OSU136" s="552"/>
      <c r="OSV136" s="548"/>
      <c r="OSW136" s="553"/>
      <c r="OSX136" s="553"/>
      <c r="OSY136" s="553"/>
      <c r="OSZ136" s="8"/>
      <c r="OTA136" s="8"/>
      <c r="OTB136" s="458"/>
      <c r="OTC136" s="8"/>
      <c r="OTD136" s="8"/>
      <c r="OTE136" s="547"/>
      <c r="OTF136" s="547"/>
      <c r="OTG136" s="547"/>
      <c r="OTH136" s="547"/>
      <c r="OTI136" s="548"/>
      <c r="OTJ136" s="547"/>
      <c r="OTK136" s="547"/>
      <c r="OTL136" s="547"/>
      <c r="OTM136" s="547"/>
      <c r="OTN136" s="548"/>
      <c r="OTO136" s="547"/>
      <c r="OTP136" s="547"/>
      <c r="OTQ136" s="547"/>
      <c r="OTR136" s="547"/>
      <c r="OTS136" s="548"/>
      <c r="OTT136" s="547"/>
      <c r="OTU136" s="547"/>
      <c r="OTV136" s="547"/>
      <c r="OTW136" s="552"/>
      <c r="OTX136" s="548"/>
      <c r="OTY136" s="552"/>
      <c r="OTZ136" s="552"/>
      <c r="OUA136" s="552"/>
      <c r="OUB136" s="552"/>
      <c r="OUC136" s="548"/>
      <c r="OUD136" s="553"/>
      <c r="OUE136" s="553"/>
      <c r="OUF136" s="553"/>
      <c r="OUG136" s="8"/>
      <c r="OUH136" s="8"/>
      <c r="OUI136" s="458"/>
      <c r="OUJ136" s="8"/>
      <c r="OUK136" s="8"/>
      <c r="OUL136" s="547"/>
      <c r="OUM136" s="547"/>
      <c r="OUN136" s="547"/>
      <c r="OUO136" s="547"/>
      <c r="OUP136" s="548"/>
      <c r="OUQ136" s="547"/>
      <c r="OUR136" s="547"/>
      <c r="OUS136" s="547"/>
      <c r="OUT136" s="547"/>
      <c r="OUU136" s="548"/>
      <c r="OUV136" s="547"/>
      <c r="OUW136" s="547"/>
      <c r="OUX136" s="547"/>
      <c r="OUY136" s="547"/>
      <c r="OUZ136" s="548"/>
      <c r="OVA136" s="547"/>
      <c r="OVB136" s="547"/>
      <c r="OVC136" s="547"/>
      <c r="OVD136" s="552"/>
      <c r="OVE136" s="548"/>
      <c r="OVF136" s="552"/>
      <c r="OVG136" s="552"/>
      <c r="OVH136" s="552"/>
      <c r="OVI136" s="552"/>
      <c r="OVJ136" s="548"/>
      <c r="OVK136" s="553"/>
      <c r="OVL136" s="553"/>
      <c r="OVM136" s="553"/>
      <c r="OVN136" s="8"/>
      <c r="OVO136" s="8"/>
      <c r="OVP136" s="458"/>
      <c r="OVQ136" s="8"/>
      <c r="OVR136" s="8"/>
      <c r="OVS136" s="547"/>
      <c r="OVT136" s="547"/>
      <c r="OVU136" s="547"/>
      <c r="OVV136" s="547"/>
      <c r="OVW136" s="548"/>
      <c r="OVX136" s="547"/>
      <c r="OVY136" s="547"/>
      <c r="OVZ136" s="547"/>
      <c r="OWA136" s="547"/>
      <c r="OWB136" s="548"/>
      <c r="OWC136" s="547"/>
      <c r="OWD136" s="547"/>
      <c r="OWE136" s="547"/>
      <c r="OWF136" s="547"/>
      <c r="OWG136" s="548"/>
      <c r="OWH136" s="547"/>
      <c r="OWI136" s="547"/>
      <c r="OWJ136" s="547"/>
      <c r="OWK136" s="552"/>
      <c r="OWL136" s="548"/>
      <c r="OWM136" s="552"/>
      <c r="OWN136" s="552"/>
      <c r="OWO136" s="552"/>
      <c r="OWP136" s="552"/>
      <c r="OWQ136" s="548"/>
      <c r="OWR136" s="553"/>
      <c r="OWS136" s="553"/>
      <c r="OWT136" s="553"/>
      <c r="OWU136" s="8"/>
      <c r="OWV136" s="8"/>
      <c r="OWW136" s="458"/>
      <c r="OWX136" s="8"/>
      <c r="OWY136" s="8"/>
      <c r="OWZ136" s="547"/>
      <c r="OXA136" s="547"/>
      <c r="OXB136" s="547"/>
      <c r="OXC136" s="547"/>
      <c r="OXD136" s="548"/>
      <c r="OXE136" s="547"/>
      <c r="OXF136" s="547"/>
      <c r="OXG136" s="547"/>
      <c r="OXH136" s="547"/>
      <c r="OXI136" s="548"/>
      <c r="OXJ136" s="547"/>
      <c r="OXK136" s="547"/>
      <c r="OXL136" s="547"/>
      <c r="OXM136" s="547"/>
      <c r="OXN136" s="548"/>
      <c r="OXO136" s="547"/>
      <c r="OXP136" s="547"/>
      <c r="OXQ136" s="547"/>
      <c r="OXR136" s="552"/>
      <c r="OXS136" s="548"/>
      <c r="OXT136" s="552"/>
      <c r="OXU136" s="552"/>
      <c r="OXV136" s="552"/>
      <c r="OXW136" s="552"/>
      <c r="OXX136" s="548"/>
      <c r="OXY136" s="553"/>
      <c r="OXZ136" s="553"/>
      <c r="OYA136" s="553"/>
      <c r="OYB136" s="8"/>
      <c r="OYC136" s="8"/>
      <c r="OYD136" s="458"/>
      <c r="OYE136" s="8"/>
      <c r="OYF136" s="8"/>
      <c r="OYG136" s="547"/>
      <c r="OYH136" s="547"/>
      <c r="OYI136" s="547"/>
      <c r="OYJ136" s="547"/>
      <c r="OYK136" s="548"/>
      <c r="OYL136" s="547"/>
      <c r="OYM136" s="547"/>
      <c r="OYN136" s="547"/>
      <c r="OYO136" s="547"/>
      <c r="OYP136" s="548"/>
      <c r="OYQ136" s="547"/>
      <c r="OYR136" s="547"/>
      <c r="OYS136" s="547"/>
      <c r="OYT136" s="547"/>
      <c r="OYU136" s="548"/>
      <c r="OYV136" s="547"/>
      <c r="OYW136" s="547"/>
      <c r="OYX136" s="547"/>
      <c r="OYY136" s="552"/>
      <c r="OYZ136" s="548"/>
      <c r="OZA136" s="552"/>
      <c r="OZB136" s="552"/>
      <c r="OZC136" s="552"/>
      <c r="OZD136" s="552"/>
      <c r="OZE136" s="548"/>
      <c r="OZF136" s="553"/>
      <c r="OZG136" s="553"/>
      <c r="OZH136" s="553"/>
      <c r="OZI136" s="8"/>
      <c r="OZJ136" s="8"/>
      <c r="OZK136" s="458"/>
      <c r="OZL136" s="8"/>
      <c r="OZM136" s="8"/>
      <c r="OZN136" s="547"/>
      <c r="OZO136" s="547"/>
      <c r="OZP136" s="547"/>
      <c r="OZQ136" s="547"/>
      <c r="OZR136" s="548"/>
      <c r="OZS136" s="547"/>
      <c r="OZT136" s="547"/>
      <c r="OZU136" s="547"/>
      <c r="OZV136" s="547"/>
      <c r="OZW136" s="548"/>
      <c r="OZX136" s="547"/>
      <c r="OZY136" s="547"/>
      <c r="OZZ136" s="547"/>
      <c r="PAA136" s="547"/>
      <c r="PAB136" s="548"/>
      <c r="PAC136" s="547"/>
      <c r="PAD136" s="547"/>
      <c r="PAE136" s="547"/>
      <c r="PAF136" s="552"/>
      <c r="PAG136" s="548"/>
      <c r="PAH136" s="552"/>
      <c r="PAI136" s="552"/>
      <c r="PAJ136" s="552"/>
      <c r="PAK136" s="552"/>
      <c r="PAL136" s="548"/>
      <c r="PAM136" s="553"/>
      <c r="PAN136" s="553"/>
      <c r="PAO136" s="553"/>
      <c r="PAP136" s="8"/>
      <c r="PAQ136" s="8"/>
      <c r="PAR136" s="458"/>
      <c r="PAS136" s="8"/>
      <c r="PAT136" s="8"/>
      <c r="PAU136" s="547"/>
      <c r="PAV136" s="547"/>
      <c r="PAW136" s="547"/>
      <c r="PAX136" s="547"/>
      <c r="PAY136" s="548"/>
      <c r="PAZ136" s="547"/>
      <c r="PBA136" s="547"/>
      <c r="PBB136" s="547"/>
      <c r="PBC136" s="547"/>
      <c r="PBD136" s="548"/>
      <c r="PBE136" s="547"/>
      <c r="PBF136" s="547"/>
      <c r="PBG136" s="547"/>
      <c r="PBH136" s="547"/>
      <c r="PBI136" s="548"/>
      <c r="PBJ136" s="547"/>
      <c r="PBK136" s="547"/>
      <c r="PBL136" s="547"/>
      <c r="PBM136" s="552"/>
      <c r="PBN136" s="548"/>
      <c r="PBO136" s="552"/>
      <c r="PBP136" s="552"/>
      <c r="PBQ136" s="552"/>
      <c r="PBR136" s="552"/>
      <c r="PBS136" s="548"/>
      <c r="PBT136" s="553"/>
      <c r="PBU136" s="553"/>
      <c r="PBV136" s="553"/>
      <c r="PBW136" s="8"/>
      <c r="PBX136" s="8"/>
      <c r="PBY136" s="458"/>
      <c r="PBZ136" s="8"/>
      <c r="PCA136" s="8"/>
      <c r="PCB136" s="547"/>
      <c r="PCC136" s="547"/>
      <c r="PCD136" s="547"/>
      <c r="PCE136" s="547"/>
      <c r="PCF136" s="548"/>
      <c r="PCG136" s="547"/>
      <c r="PCH136" s="547"/>
      <c r="PCI136" s="547"/>
      <c r="PCJ136" s="547"/>
      <c r="PCK136" s="548"/>
      <c r="PCL136" s="547"/>
      <c r="PCM136" s="547"/>
      <c r="PCN136" s="547"/>
      <c r="PCO136" s="547"/>
      <c r="PCP136" s="548"/>
      <c r="PCQ136" s="547"/>
      <c r="PCR136" s="547"/>
      <c r="PCS136" s="547"/>
      <c r="PCT136" s="552"/>
      <c r="PCU136" s="548"/>
      <c r="PCV136" s="552"/>
      <c r="PCW136" s="552"/>
      <c r="PCX136" s="552"/>
      <c r="PCY136" s="552"/>
      <c r="PCZ136" s="548"/>
      <c r="PDA136" s="553"/>
      <c r="PDB136" s="553"/>
      <c r="PDC136" s="553"/>
      <c r="PDD136" s="8"/>
      <c r="PDE136" s="8"/>
      <c r="PDF136" s="458"/>
      <c r="PDG136" s="8"/>
      <c r="PDH136" s="8"/>
      <c r="PDI136" s="547"/>
      <c r="PDJ136" s="547"/>
      <c r="PDK136" s="547"/>
      <c r="PDL136" s="547"/>
      <c r="PDM136" s="548"/>
      <c r="PDN136" s="547"/>
      <c r="PDO136" s="547"/>
      <c r="PDP136" s="547"/>
      <c r="PDQ136" s="547"/>
      <c r="PDR136" s="548"/>
      <c r="PDS136" s="547"/>
      <c r="PDT136" s="547"/>
      <c r="PDU136" s="547"/>
      <c r="PDV136" s="547"/>
      <c r="PDW136" s="548"/>
      <c r="PDX136" s="547"/>
      <c r="PDY136" s="547"/>
      <c r="PDZ136" s="547"/>
      <c r="PEA136" s="552"/>
      <c r="PEB136" s="548"/>
      <c r="PEC136" s="552"/>
      <c r="PED136" s="552"/>
      <c r="PEE136" s="552"/>
      <c r="PEF136" s="552"/>
      <c r="PEG136" s="548"/>
      <c r="PEH136" s="553"/>
      <c r="PEI136" s="553"/>
      <c r="PEJ136" s="553"/>
      <c r="PEK136" s="8"/>
      <c r="PEL136" s="8"/>
      <c r="PEM136" s="458"/>
      <c r="PEN136" s="8"/>
      <c r="PEO136" s="8"/>
      <c r="PEP136" s="547"/>
      <c r="PEQ136" s="547"/>
      <c r="PER136" s="547"/>
      <c r="PES136" s="547"/>
      <c r="PET136" s="548"/>
      <c r="PEU136" s="547"/>
      <c r="PEV136" s="547"/>
      <c r="PEW136" s="547"/>
      <c r="PEX136" s="547"/>
      <c r="PEY136" s="548"/>
      <c r="PEZ136" s="547"/>
      <c r="PFA136" s="547"/>
      <c r="PFB136" s="547"/>
      <c r="PFC136" s="547"/>
      <c r="PFD136" s="548"/>
      <c r="PFE136" s="547"/>
      <c r="PFF136" s="547"/>
      <c r="PFG136" s="547"/>
      <c r="PFH136" s="552"/>
      <c r="PFI136" s="548"/>
      <c r="PFJ136" s="552"/>
      <c r="PFK136" s="552"/>
      <c r="PFL136" s="552"/>
      <c r="PFM136" s="552"/>
      <c r="PFN136" s="548"/>
      <c r="PFO136" s="553"/>
      <c r="PFP136" s="553"/>
      <c r="PFQ136" s="553"/>
      <c r="PFR136" s="8"/>
      <c r="PFS136" s="8"/>
      <c r="PFT136" s="458"/>
      <c r="PFU136" s="8"/>
      <c r="PFV136" s="8"/>
      <c r="PFW136" s="547"/>
      <c r="PFX136" s="547"/>
      <c r="PFY136" s="547"/>
      <c r="PFZ136" s="547"/>
      <c r="PGA136" s="548"/>
      <c r="PGB136" s="547"/>
      <c r="PGC136" s="547"/>
      <c r="PGD136" s="547"/>
      <c r="PGE136" s="547"/>
      <c r="PGF136" s="548"/>
      <c r="PGG136" s="547"/>
      <c r="PGH136" s="547"/>
      <c r="PGI136" s="547"/>
      <c r="PGJ136" s="547"/>
      <c r="PGK136" s="548"/>
      <c r="PGL136" s="547"/>
      <c r="PGM136" s="547"/>
      <c r="PGN136" s="547"/>
      <c r="PGO136" s="552"/>
      <c r="PGP136" s="548"/>
      <c r="PGQ136" s="552"/>
      <c r="PGR136" s="552"/>
      <c r="PGS136" s="552"/>
      <c r="PGT136" s="552"/>
      <c r="PGU136" s="548"/>
      <c r="PGV136" s="553"/>
      <c r="PGW136" s="553"/>
      <c r="PGX136" s="553"/>
      <c r="PGY136" s="8"/>
      <c r="PGZ136" s="8"/>
      <c r="PHA136" s="458"/>
      <c r="PHB136" s="8"/>
      <c r="PHC136" s="8"/>
      <c r="PHD136" s="547"/>
      <c r="PHE136" s="547"/>
      <c r="PHF136" s="547"/>
      <c r="PHG136" s="547"/>
      <c r="PHH136" s="548"/>
      <c r="PHI136" s="547"/>
      <c r="PHJ136" s="547"/>
      <c r="PHK136" s="547"/>
      <c r="PHL136" s="547"/>
      <c r="PHM136" s="548"/>
      <c r="PHN136" s="547"/>
      <c r="PHO136" s="547"/>
      <c r="PHP136" s="547"/>
      <c r="PHQ136" s="547"/>
      <c r="PHR136" s="548"/>
      <c r="PHS136" s="547"/>
      <c r="PHT136" s="547"/>
      <c r="PHU136" s="547"/>
      <c r="PHV136" s="552"/>
      <c r="PHW136" s="548"/>
      <c r="PHX136" s="552"/>
      <c r="PHY136" s="552"/>
      <c r="PHZ136" s="552"/>
      <c r="PIA136" s="552"/>
      <c r="PIB136" s="548"/>
      <c r="PIC136" s="553"/>
      <c r="PID136" s="553"/>
      <c r="PIE136" s="553"/>
      <c r="PIF136" s="8"/>
      <c r="PIG136" s="8"/>
      <c r="PIH136" s="458"/>
      <c r="PII136" s="8"/>
      <c r="PIJ136" s="8"/>
      <c r="PIK136" s="547"/>
      <c r="PIL136" s="547"/>
      <c r="PIM136" s="547"/>
      <c r="PIN136" s="547"/>
      <c r="PIO136" s="548"/>
      <c r="PIP136" s="547"/>
      <c r="PIQ136" s="547"/>
      <c r="PIR136" s="547"/>
      <c r="PIS136" s="547"/>
      <c r="PIT136" s="548"/>
      <c r="PIU136" s="547"/>
      <c r="PIV136" s="547"/>
      <c r="PIW136" s="547"/>
      <c r="PIX136" s="547"/>
      <c r="PIY136" s="548"/>
      <c r="PIZ136" s="547"/>
      <c r="PJA136" s="547"/>
      <c r="PJB136" s="547"/>
      <c r="PJC136" s="552"/>
      <c r="PJD136" s="548"/>
      <c r="PJE136" s="552"/>
      <c r="PJF136" s="552"/>
      <c r="PJG136" s="552"/>
      <c r="PJH136" s="552"/>
      <c r="PJI136" s="548"/>
      <c r="PJJ136" s="553"/>
      <c r="PJK136" s="553"/>
      <c r="PJL136" s="553"/>
      <c r="PJM136" s="8"/>
      <c r="PJN136" s="8"/>
      <c r="PJO136" s="458"/>
      <c r="PJP136" s="8"/>
      <c r="PJQ136" s="8"/>
      <c r="PJR136" s="547"/>
      <c r="PJS136" s="547"/>
      <c r="PJT136" s="547"/>
      <c r="PJU136" s="547"/>
      <c r="PJV136" s="548"/>
      <c r="PJW136" s="547"/>
      <c r="PJX136" s="547"/>
      <c r="PJY136" s="547"/>
      <c r="PJZ136" s="547"/>
      <c r="PKA136" s="548"/>
      <c r="PKB136" s="547"/>
      <c r="PKC136" s="547"/>
      <c r="PKD136" s="547"/>
      <c r="PKE136" s="547"/>
      <c r="PKF136" s="548"/>
      <c r="PKG136" s="547"/>
      <c r="PKH136" s="547"/>
      <c r="PKI136" s="547"/>
      <c r="PKJ136" s="552"/>
      <c r="PKK136" s="548"/>
      <c r="PKL136" s="552"/>
      <c r="PKM136" s="552"/>
      <c r="PKN136" s="552"/>
      <c r="PKO136" s="552"/>
      <c r="PKP136" s="548"/>
      <c r="PKQ136" s="553"/>
      <c r="PKR136" s="553"/>
      <c r="PKS136" s="553"/>
      <c r="PKT136" s="8"/>
      <c r="PKU136" s="8"/>
      <c r="PKV136" s="458"/>
      <c r="PKW136" s="8"/>
      <c r="PKX136" s="8"/>
      <c r="PKY136" s="547"/>
      <c r="PKZ136" s="547"/>
      <c r="PLA136" s="547"/>
      <c r="PLB136" s="547"/>
      <c r="PLC136" s="548"/>
      <c r="PLD136" s="547"/>
      <c r="PLE136" s="547"/>
      <c r="PLF136" s="547"/>
      <c r="PLG136" s="547"/>
      <c r="PLH136" s="548"/>
      <c r="PLI136" s="547"/>
      <c r="PLJ136" s="547"/>
      <c r="PLK136" s="547"/>
      <c r="PLL136" s="547"/>
      <c r="PLM136" s="548"/>
      <c r="PLN136" s="547"/>
      <c r="PLO136" s="547"/>
      <c r="PLP136" s="547"/>
      <c r="PLQ136" s="552"/>
      <c r="PLR136" s="548"/>
      <c r="PLS136" s="552"/>
      <c r="PLT136" s="552"/>
      <c r="PLU136" s="552"/>
      <c r="PLV136" s="552"/>
      <c r="PLW136" s="548"/>
      <c r="PLX136" s="553"/>
      <c r="PLY136" s="553"/>
      <c r="PLZ136" s="553"/>
      <c r="PMA136" s="8"/>
      <c r="PMB136" s="8"/>
      <c r="PMC136" s="458"/>
      <c r="PMD136" s="8"/>
      <c r="PME136" s="8"/>
      <c r="PMF136" s="547"/>
      <c r="PMG136" s="547"/>
      <c r="PMH136" s="547"/>
      <c r="PMI136" s="547"/>
      <c r="PMJ136" s="548"/>
      <c r="PMK136" s="547"/>
      <c r="PML136" s="547"/>
      <c r="PMM136" s="547"/>
      <c r="PMN136" s="547"/>
      <c r="PMO136" s="548"/>
      <c r="PMP136" s="547"/>
      <c r="PMQ136" s="547"/>
      <c r="PMR136" s="547"/>
      <c r="PMS136" s="547"/>
      <c r="PMT136" s="548"/>
      <c r="PMU136" s="547"/>
      <c r="PMV136" s="547"/>
      <c r="PMW136" s="547"/>
      <c r="PMX136" s="552"/>
      <c r="PMY136" s="548"/>
      <c r="PMZ136" s="552"/>
      <c r="PNA136" s="552"/>
      <c r="PNB136" s="552"/>
      <c r="PNC136" s="552"/>
      <c r="PND136" s="548"/>
      <c r="PNE136" s="553"/>
      <c r="PNF136" s="553"/>
      <c r="PNG136" s="553"/>
      <c r="PNH136" s="8"/>
      <c r="PNI136" s="8"/>
      <c r="PNJ136" s="458"/>
      <c r="PNK136" s="8"/>
      <c r="PNL136" s="8"/>
      <c r="PNM136" s="547"/>
      <c r="PNN136" s="547"/>
      <c r="PNO136" s="547"/>
      <c r="PNP136" s="547"/>
      <c r="PNQ136" s="548"/>
      <c r="PNR136" s="547"/>
      <c r="PNS136" s="547"/>
      <c r="PNT136" s="547"/>
      <c r="PNU136" s="547"/>
      <c r="PNV136" s="548"/>
      <c r="PNW136" s="547"/>
      <c r="PNX136" s="547"/>
      <c r="PNY136" s="547"/>
      <c r="PNZ136" s="547"/>
      <c r="POA136" s="548"/>
      <c r="POB136" s="547"/>
      <c r="POC136" s="547"/>
      <c r="POD136" s="547"/>
      <c r="POE136" s="552"/>
      <c r="POF136" s="548"/>
      <c r="POG136" s="552"/>
      <c r="POH136" s="552"/>
      <c r="POI136" s="552"/>
      <c r="POJ136" s="552"/>
      <c r="POK136" s="548"/>
      <c r="POL136" s="553"/>
      <c r="POM136" s="553"/>
      <c r="PON136" s="553"/>
      <c r="POO136" s="8"/>
      <c r="POP136" s="8"/>
      <c r="POQ136" s="458"/>
      <c r="POR136" s="8"/>
      <c r="POS136" s="8"/>
      <c r="POT136" s="547"/>
      <c r="POU136" s="547"/>
      <c r="POV136" s="547"/>
      <c r="POW136" s="547"/>
      <c r="POX136" s="548"/>
      <c r="POY136" s="547"/>
      <c r="POZ136" s="547"/>
      <c r="PPA136" s="547"/>
      <c r="PPB136" s="547"/>
      <c r="PPC136" s="548"/>
      <c r="PPD136" s="547"/>
      <c r="PPE136" s="547"/>
      <c r="PPF136" s="547"/>
      <c r="PPG136" s="547"/>
      <c r="PPH136" s="548"/>
      <c r="PPI136" s="547"/>
      <c r="PPJ136" s="547"/>
      <c r="PPK136" s="547"/>
      <c r="PPL136" s="552"/>
      <c r="PPM136" s="548"/>
      <c r="PPN136" s="552"/>
      <c r="PPO136" s="552"/>
      <c r="PPP136" s="552"/>
      <c r="PPQ136" s="552"/>
      <c r="PPR136" s="548"/>
      <c r="PPS136" s="553"/>
      <c r="PPT136" s="553"/>
      <c r="PPU136" s="553"/>
      <c r="PPV136" s="8"/>
      <c r="PPW136" s="8"/>
      <c r="PPX136" s="458"/>
      <c r="PPY136" s="8"/>
      <c r="PPZ136" s="8"/>
      <c r="PQA136" s="547"/>
      <c r="PQB136" s="547"/>
      <c r="PQC136" s="547"/>
      <c r="PQD136" s="547"/>
      <c r="PQE136" s="548"/>
      <c r="PQF136" s="547"/>
      <c r="PQG136" s="547"/>
      <c r="PQH136" s="547"/>
      <c r="PQI136" s="547"/>
      <c r="PQJ136" s="548"/>
      <c r="PQK136" s="547"/>
      <c r="PQL136" s="547"/>
      <c r="PQM136" s="547"/>
      <c r="PQN136" s="547"/>
      <c r="PQO136" s="548"/>
      <c r="PQP136" s="547"/>
      <c r="PQQ136" s="547"/>
      <c r="PQR136" s="547"/>
      <c r="PQS136" s="552"/>
      <c r="PQT136" s="548"/>
      <c r="PQU136" s="552"/>
      <c r="PQV136" s="552"/>
      <c r="PQW136" s="552"/>
      <c r="PQX136" s="552"/>
      <c r="PQY136" s="548"/>
      <c r="PQZ136" s="553"/>
      <c r="PRA136" s="553"/>
      <c r="PRB136" s="553"/>
      <c r="PRC136" s="8"/>
      <c r="PRD136" s="8"/>
      <c r="PRE136" s="458"/>
      <c r="PRF136" s="8"/>
      <c r="PRG136" s="8"/>
      <c r="PRH136" s="547"/>
      <c r="PRI136" s="547"/>
      <c r="PRJ136" s="547"/>
      <c r="PRK136" s="547"/>
      <c r="PRL136" s="548"/>
      <c r="PRM136" s="547"/>
      <c r="PRN136" s="547"/>
      <c r="PRO136" s="547"/>
      <c r="PRP136" s="547"/>
      <c r="PRQ136" s="548"/>
      <c r="PRR136" s="547"/>
      <c r="PRS136" s="547"/>
      <c r="PRT136" s="547"/>
      <c r="PRU136" s="547"/>
      <c r="PRV136" s="548"/>
      <c r="PRW136" s="547"/>
      <c r="PRX136" s="547"/>
      <c r="PRY136" s="547"/>
      <c r="PRZ136" s="552"/>
      <c r="PSA136" s="548"/>
      <c r="PSB136" s="552"/>
      <c r="PSC136" s="552"/>
      <c r="PSD136" s="552"/>
      <c r="PSE136" s="552"/>
      <c r="PSF136" s="548"/>
      <c r="PSG136" s="553"/>
      <c r="PSH136" s="553"/>
      <c r="PSI136" s="553"/>
      <c r="PSJ136" s="8"/>
      <c r="PSK136" s="8"/>
      <c r="PSL136" s="458"/>
      <c r="PSM136" s="8"/>
      <c r="PSN136" s="8"/>
      <c r="PSO136" s="547"/>
      <c r="PSP136" s="547"/>
      <c r="PSQ136" s="547"/>
      <c r="PSR136" s="547"/>
      <c r="PSS136" s="548"/>
      <c r="PST136" s="547"/>
      <c r="PSU136" s="547"/>
      <c r="PSV136" s="547"/>
      <c r="PSW136" s="547"/>
      <c r="PSX136" s="548"/>
      <c r="PSY136" s="547"/>
      <c r="PSZ136" s="547"/>
      <c r="PTA136" s="547"/>
      <c r="PTB136" s="547"/>
      <c r="PTC136" s="548"/>
      <c r="PTD136" s="547"/>
      <c r="PTE136" s="547"/>
      <c r="PTF136" s="547"/>
      <c r="PTG136" s="552"/>
      <c r="PTH136" s="548"/>
      <c r="PTI136" s="552"/>
      <c r="PTJ136" s="552"/>
      <c r="PTK136" s="552"/>
      <c r="PTL136" s="552"/>
      <c r="PTM136" s="548"/>
      <c r="PTN136" s="553"/>
      <c r="PTO136" s="553"/>
      <c r="PTP136" s="553"/>
      <c r="PTQ136" s="8"/>
      <c r="PTR136" s="8"/>
      <c r="PTS136" s="458"/>
      <c r="PTT136" s="8"/>
      <c r="PTU136" s="8"/>
      <c r="PTV136" s="547"/>
      <c r="PTW136" s="547"/>
      <c r="PTX136" s="547"/>
      <c r="PTY136" s="547"/>
      <c r="PTZ136" s="548"/>
      <c r="PUA136" s="547"/>
      <c r="PUB136" s="547"/>
      <c r="PUC136" s="547"/>
      <c r="PUD136" s="547"/>
      <c r="PUE136" s="548"/>
      <c r="PUF136" s="547"/>
      <c r="PUG136" s="547"/>
      <c r="PUH136" s="547"/>
      <c r="PUI136" s="547"/>
      <c r="PUJ136" s="548"/>
      <c r="PUK136" s="547"/>
      <c r="PUL136" s="547"/>
      <c r="PUM136" s="547"/>
      <c r="PUN136" s="552"/>
      <c r="PUO136" s="548"/>
      <c r="PUP136" s="552"/>
      <c r="PUQ136" s="552"/>
      <c r="PUR136" s="552"/>
      <c r="PUS136" s="552"/>
      <c r="PUT136" s="548"/>
      <c r="PUU136" s="553"/>
      <c r="PUV136" s="553"/>
      <c r="PUW136" s="553"/>
      <c r="PUX136" s="8"/>
      <c r="PUY136" s="8"/>
      <c r="PUZ136" s="458"/>
      <c r="PVA136" s="8"/>
      <c r="PVB136" s="8"/>
      <c r="PVC136" s="547"/>
      <c r="PVD136" s="547"/>
      <c r="PVE136" s="547"/>
      <c r="PVF136" s="547"/>
      <c r="PVG136" s="548"/>
      <c r="PVH136" s="547"/>
      <c r="PVI136" s="547"/>
      <c r="PVJ136" s="547"/>
      <c r="PVK136" s="547"/>
      <c r="PVL136" s="548"/>
      <c r="PVM136" s="547"/>
      <c r="PVN136" s="547"/>
      <c r="PVO136" s="547"/>
      <c r="PVP136" s="547"/>
      <c r="PVQ136" s="548"/>
      <c r="PVR136" s="547"/>
      <c r="PVS136" s="547"/>
      <c r="PVT136" s="547"/>
      <c r="PVU136" s="552"/>
      <c r="PVV136" s="548"/>
      <c r="PVW136" s="552"/>
      <c r="PVX136" s="552"/>
      <c r="PVY136" s="552"/>
      <c r="PVZ136" s="552"/>
      <c r="PWA136" s="548"/>
      <c r="PWB136" s="553"/>
      <c r="PWC136" s="553"/>
      <c r="PWD136" s="553"/>
      <c r="PWE136" s="8"/>
      <c r="PWF136" s="8"/>
      <c r="PWG136" s="458"/>
      <c r="PWH136" s="8"/>
      <c r="PWI136" s="8"/>
      <c r="PWJ136" s="547"/>
      <c r="PWK136" s="547"/>
      <c r="PWL136" s="547"/>
      <c r="PWM136" s="547"/>
      <c r="PWN136" s="548"/>
      <c r="PWO136" s="547"/>
      <c r="PWP136" s="547"/>
      <c r="PWQ136" s="547"/>
      <c r="PWR136" s="547"/>
      <c r="PWS136" s="548"/>
      <c r="PWT136" s="547"/>
      <c r="PWU136" s="547"/>
      <c r="PWV136" s="547"/>
      <c r="PWW136" s="547"/>
      <c r="PWX136" s="548"/>
      <c r="PWY136" s="547"/>
      <c r="PWZ136" s="547"/>
      <c r="PXA136" s="547"/>
      <c r="PXB136" s="552"/>
      <c r="PXC136" s="548"/>
      <c r="PXD136" s="552"/>
      <c r="PXE136" s="552"/>
      <c r="PXF136" s="552"/>
      <c r="PXG136" s="552"/>
      <c r="PXH136" s="548"/>
      <c r="PXI136" s="553"/>
      <c r="PXJ136" s="553"/>
      <c r="PXK136" s="553"/>
      <c r="PXL136" s="8"/>
      <c r="PXM136" s="8"/>
      <c r="PXN136" s="458"/>
      <c r="PXO136" s="8"/>
      <c r="PXP136" s="8"/>
      <c r="PXQ136" s="547"/>
      <c r="PXR136" s="547"/>
      <c r="PXS136" s="547"/>
      <c r="PXT136" s="547"/>
      <c r="PXU136" s="548"/>
      <c r="PXV136" s="547"/>
      <c r="PXW136" s="547"/>
      <c r="PXX136" s="547"/>
      <c r="PXY136" s="547"/>
      <c r="PXZ136" s="548"/>
      <c r="PYA136" s="547"/>
      <c r="PYB136" s="547"/>
      <c r="PYC136" s="547"/>
      <c r="PYD136" s="547"/>
      <c r="PYE136" s="548"/>
      <c r="PYF136" s="547"/>
      <c r="PYG136" s="547"/>
      <c r="PYH136" s="547"/>
      <c r="PYI136" s="552"/>
      <c r="PYJ136" s="548"/>
      <c r="PYK136" s="552"/>
      <c r="PYL136" s="552"/>
      <c r="PYM136" s="552"/>
      <c r="PYN136" s="552"/>
      <c r="PYO136" s="548"/>
      <c r="PYP136" s="553"/>
      <c r="PYQ136" s="553"/>
      <c r="PYR136" s="553"/>
      <c r="PYS136" s="8"/>
      <c r="PYT136" s="8"/>
      <c r="PYU136" s="458"/>
      <c r="PYV136" s="8"/>
      <c r="PYW136" s="8"/>
      <c r="PYX136" s="547"/>
      <c r="PYY136" s="547"/>
      <c r="PYZ136" s="547"/>
      <c r="PZA136" s="547"/>
      <c r="PZB136" s="548"/>
      <c r="PZC136" s="547"/>
      <c r="PZD136" s="547"/>
      <c r="PZE136" s="547"/>
      <c r="PZF136" s="547"/>
      <c r="PZG136" s="548"/>
      <c r="PZH136" s="547"/>
      <c r="PZI136" s="547"/>
      <c r="PZJ136" s="547"/>
      <c r="PZK136" s="547"/>
      <c r="PZL136" s="548"/>
      <c r="PZM136" s="547"/>
      <c r="PZN136" s="547"/>
      <c r="PZO136" s="547"/>
      <c r="PZP136" s="552"/>
      <c r="PZQ136" s="548"/>
      <c r="PZR136" s="552"/>
      <c r="PZS136" s="552"/>
      <c r="PZT136" s="552"/>
      <c r="PZU136" s="552"/>
      <c r="PZV136" s="548"/>
      <c r="PZW136" s="553"/>
      <c r="PZX136" s="553"/>
      <c r="PZY136" s="553"/>
      <c r="PZZ136" s="8"/>
      <c r="QAA136" s="8"/>
      <c r="QAB136" s="458"/>
      <c r="QAC136" s="8"/>
      <c r="QAD136" s="8"/>
      <c r="QAE136" s="547"/>
      <c r="QAF136" s="547"/>
      <c r="QAG136" s="547"/>
      <c r="QAH136" s="547"/>
      <c r="QAI136" s="548"/>
      <c r="QAJ136" s="547"/>
      <c r="QAK136" s="547"/>
      <c r="QAL136" s="547"/>
      <c r="QAM136" s="547"/>
      <c r="QAN136" s="548"/>
      <c r="QAO136" s="547"/>
      <c r="QAP136" s="547"/>
      <c r="QAQ136" s="547"/>
      <c r="QAR136" s="547"/>
      <c r="QAS136" s="548"/>
      <c r="QAT136" s="547"/>
      <c r="QAU136" s="547"/>
      <c r="QAV136" s="547"/>
      <c r="QAW136" s="552"/>
      <c r="QAX136" s="548"/>
      <c r="QAY136" s="552"/>
      <c r="QAZ136" s="552"/>
      <c r="QBA136" s="552"/>
      <c r="QBB136" s="552"/>
      <c r="QBC136" s="548"/>
      <c r="QBD136" s="553"/>
      <c r="QBE136" s="553"/>
      <c r="QBF136" s="553"/>
      <c r="QBG136" s="8"/>
      <c r="QBH136" s="8"/>
      <c r="QBI136" s="458"/>
      <c r="QBJ136" s="8"/>
      <c r="QBK136" s="8"/>
      <c r="QBL136" s="547"/>
      <c r="QBM136" s="547"/>
      <c r="QBN136" s="547"/>
      <c r="QBO136" s="547"/>
      <c r="QBP136" s="548"/>
      <c r="QBQ136" s="547"/>
      <c r="QBR136" s="547"/>
      <c r="QBS136" s="547"/>
      <c r="QBT136" s="547"/>
      <c r="QBU136" s="548"/>
      <c r="QBV136" s="547"/>
      <c r="QBW136" s="547"/>
      <c r="QBX136" s="547"/>
      <c r="QBY136" s="547"/>
      <c r="QBZ136" s="548"/>
      <c r="QCA136" s="547"/>
      <c r="QCB136" s="547"/>
      <c r="QCC136" s="547"/>
      <c r="QCD136" s="552"/>
      <c r="QCE136" s="548"/>
      <c r="QCF136" s="552"/>
      <c r="QCG136" s="552"/>
      <c r="QCH136" s="552"/>
      <c r="QCI136" s="552"/>
      <c r="QCJ136" s="548"/>
      <c r="QCK136" s="553"/>
      <c r="QCL136" s="553"/>
      <c r="QCM136" s="553"/>
      <c r="QCN136" s="8"/>
      <c r="QCO136" s="8"/>
      <c r="QCP136" s="458"/>
      <c r="QCQ136" s="8"/>
      <c r="QCR136" s="8"/>
      <c r="QCS136" s="547"/>
      <c r="QCT136" s="547"/>
      <c r="QCU136" s="547"/>
      <c r="QCV136" s="547"/>
      <c r="QCW136" s="548"/>
      <c r="QCX136" s="547"/>
      <c r="QCY136" s="547"/>
      <c r="QCZ136" s="547"/>
      <c r="QDA136" s="547"/>
      <c r="QDB136" s="548"/>
      <c r="QDC136" s="547"/>
      <c r="QDD136" s="547"/>
      <c r="QDE136" s="547"/>
      <c r="QDF136" s="547"/>
      <c r="QDG136" s="548"/>
      <c r="QDH136" s="547"/>
      <c r="QDI136" s="547"/>
      <c r="QDJ136" s="547"/>
      <c r="QDK136" s="552"/>
      <c r="QDL136" s="548"/>
      <c r="QDM136" s="552"/>
      <c r="QDN136" s="552"/>
      <c r="QDO136" s="552"/>
      <c r="QDP136" s="552"/>
      <c r="QDQ136" s="548"/>
      <c r="QDR136" s="553"/>
      <c r="QDS136" s="553"/>
      <c r="QDT136" s="553"/>
      <c r="QDU136" s="8"/>
      <c r="QDV136" s="8"/>
      <c r="QDW136" s="458"/>
      <c r="QDX136" s="8"/>
      <c r="QDY136" s="8"/>
      <c r="QDZ136" s="547"/>
      <c r="QEA136" s="547"/>
      <c r="QEB136" s="547"/>
      <c r="QEC136" s="547"/>
      <c r="QED136" s="548"/>
      <c r="QEE136" s="547"/>
      <c r="QEF136" s="547"/>
      <c r="QEG136" s="547"/>
      <c r="QEH136" s="547"/>
      <c r="QEI136" s="548"/>
      <c r="QEJ136" s="547"/>
      <c r="QEK136" s="547"/>
      <c r="QEL136" s="547"/>
      <c r="QEM136" s="547"/>
      <c r="QEN136" s="548"/>
      <c r="QEO136" s="547"/>
      <c r="QEP136" s="547"/>
      <c r="QEQ136" s="547"/>
      <c r="QER136" s="552"/>
      <c r="QES136" s="548"/>
      <c r="QET136" s="552"/>
      <c r="QEU136" s="552"/>
      <c r="QEV136" s="552"/>
      <c r="QEW136" s="552"/>
      <c r="QEX136" s="548"/>
      <c r="QEY136" s="553"/>
      <c r="QEZ136" s="553"/>
      <c r="QFA136" s="553"/>
      <c r="QFB136" s="8"/>
      <c r="QFC136" s="8"/>
      <c r="QFD136" s="458"/>
      <c r="QFE136" s="8"/>
      <c r="QFF136" s="8"/>
      <c r="QFG136" s="547"/>
      <c r="QFH136" s="547"/>
      <c r="QFI136" s="547"/>
      <c r="QFJ136" s="547"/>
      <c r="QFK136" s="548"/>
      <c r="QFL136" s="547"/>
      <c r="QFM136" s="547"/>
      <c r="QFN136" s="547"/>
      <c r="QFO136" s="547"/>
      <c r="QFP136" s="548"/>
      <c r="QFQ136" s="547"/>
      <c r="QFR136" s="547"/>
      <c r="QFS136" s="547"/>
      <c r="QFT136" s="547"/>
      <c r="QFU136" s="548"/>
      <c r="QFV136" s="547"/>
      <c r="QFW136" s="547"/>
      <c r="QFX136" s="547"/>
      <c r="QFY136" s="552"/>
      <c r="QFZ136" s="548"/>
      <c r="QGA136" s="552"/>
      <c r="QGB136" s="552"/>
      <c r="QGC136" s="552"/>
      <c r="QGD136" s="552"/>
      <c r="QGE136" s="548"/>
      <c r="QGF136" s="553"/>
      <c r="QGG136" s="553"/>
      <c r="QGH136" s="553"/>
      <c r="QGI136" s="8"/>
      <c r="QGJ136" s="8"/>
      <c r="QGK136" s="458"/>
      <c r="QGL136" s="8"/>
      <c r="QGM136" s="8"/>
      <c r="QGN136" s="547"/>
      <c r="QGO136" s="547"/>
      <c r="QGP136" s="547"/>
      <c r="QGQ136" s="547"/>
      <c r="QGR136" s="548"/>
      <c r="QGS136" s="547"/>
      <c r="QGT136" s="547"/>
      <c r="QGU136" s="547"/>
      <c r="QGV136" s="547"/>
      <c r="QGW136" s="548"/>
      <c r="QGX136" s="547"/>
      <c r="QGY136" s="547"/>
      <c r="QGZ136" s="547"/>
      <c r="QHA136" s="547"/>
      <c r="QHB136" s="548"/>
      <c r="QHC136" s="547"/>
      <c r="QHD136" s="547"/>
      <c r="QHE136" s="547"/>
      <c r="QHF136" s="552"/>
      <c r="QHG136" s="548"/>
      <c r="QHH136" s="552"/>
      <c r="QHI136" s="552"/>
      <c r="QHJ136" s="552"/>
      <c r="QHK136" s="552"/>
      <c r="QHL136" s="548"/>
      <c r="QHM136" s="553"/>
      <c r="QHN136" s="553"/>
      <c r="QHO136" s="553"/>
      <c r="QHP136" s="8"/>
      <c r="QHQ136" s="8"/>
      <c r="QHR136" s="458"/>
      <c r="QHS136" s="8"/>
      <c r="QHT136" s="8"/>
      <c r="QHU136" s="547"/>
      <c r="QHV136" s="547"/>
      <c r="QHW136" s="547"/>
      <c r="QHX136" s="547"/>
      <c r="QHY136" s="548"/>
      <c r="QHZ136" s="547"/>
      <c r="QIA136" s="547"/>
      <c r="QIB136" s="547"/>
      <c r="QIC136" s="547"/>
      <c r="QID136" s="548"/>
      <c r="QIE136" s="547"/>
      <c r="QIF136" s="547"/>
      <c r="QIG136" s="547"/>
      <c r="QIH136" s="547"/>
      <c r="QII136" s="548"/>
      <c r="QIJ136" s="547"/>
      <c r="QIK136" s="547"/>
      <c r="QIL136" s="547"/>
      <c r="QIM136" s="552"/>
      <c r="QIN136" s="548"/>
      <c r="QIO136" s="552"/>
      <c r="QIP136" s="552"/>
      <c r="QIQ136" s="552"/>
      <c r="QIR136" s="552"/>
      <c r="QIS136" s="548"/>
      <c r="QIT136" s="553"/>
      <c r="QIU136" s="553"/>
      <c r="QIV136" s="553"/>
      <c r="QIW136" s="8"/>
      <c r="QIX136" s="8"/>
      <c r="QIY136" s="458"/>
      <c r="QIZ136" s="8"/>
      <c r="QJA136" s="8"/>
      <c r="QJB136" s="547"/>
      <c r="QJC136" s="547"/>
      <c r="QJD136" s="547"/>
      <c r="QJE136" s="547"/>
      <c r="QJF136" s="548"/>
      <c r="QJG136" s="547"/>
      <c r="QJH136" s="547"/>
      <c r="QJI136" s="547"/>
      <c r="QJJ136" s="547"/>
      <c r="QJK136" s="548"/>
      <c r="QJL136" s="547"/>
      <c r="QJM136" s="547"/>
      <c r="QJN136" s="547"/>
      <c r="QJO136" s="547"/>
      <c r="QJP136" s="548"/>
      <c r="QJQ136" s="547"/>
      <c r="QJR136" s="547"/>
      <c r="QJS136" s="547"/>
      <c r="QJT136" s="552"/>
      <c r="QJU136" s="548"/>
      <c r="QJV136" s="552"/>
      <c r="QJW136" s="552"/>
      <c r="QJX136" s="552"/>
      <c r="QJY136" s="552"/>
      <c r="QJZ136" s="548"/>
      <c r="QKA136" s="553"/>
      <c r="QKB136" s="553"/>
      <c r="QKC136" s="553"/>
      <c r="QKD136" s="8"/>
      <c r="QKE136" s="8"/>
      <c r="QKF136" s="458"/>
      <c r="QKG136" s="8"/>
      <c r="QKH136" s="8"/>
      <c r="QKI136" s="547"/>
      <c r="QKJ136" s="547"/>
      <c r="QKK136" s="547"/>
      <c r="QKL136" s="547"/>
      <c r="QKM136" s="548"/>
      <c r="QKN136" s="547"/>
      <c r="QKO136" s="547"/>
      <c r="QKP136" s="547"/>
      <c r="QKQ136" s="547"/>
      <c r="QKR136" s="548"/>
      <c r="QKS136" s="547"/>
      <c r="QKT136" s="547"/>
      <c r="QKU136" s="547"/>
      <c r="QKV136" s="547"/>
      <c r="QKW136" s="548"/>
      <c r="QKX136" s="547"/>
      <c r="QKY136" s="547"/>
      <c r="QKZ136" s="547"/>
      <c r="QLA136" s="552"/>
      <c r="QLB136" s="548"/>
      <c r="QLC136" s="552"/>
      <c r="QLD136" s="552"/>
      <c r="QLE136" s="552"/>
      <c r="QLF136" s="552"/>
      <c r="QLG136" s="548"/>
      <c r="QLH136" s="553"/>
      <c r="QLI136" s="553"/>
      <c r="QLJ136" s="553"/>
      <c r="QLK136" s="8"/>
      <c r="QLL136" s="8"/>
      <c r="QLM136" s="458"/>
      <c r="QLN136" s="8"/>
      <c r="QLO136" s="8"/>
      <c r="QLP136" s="547"/>
      <c r="QLQ136" s="547"/>
      <c r="QLR136" s="547"/>
      <c r="QLS136" s="547"/>
      <c r="QLT136" s="548"/>
      <c r="QLU136" s="547"/>
      <c r="QLV136" s="547"/>
      <c r="QLW136" s="547"/>
      <c r="QLX136" s="547"/>
      <c r="QLY136" s="548"/>
      <c r="QLZ136" s="547"/>
      <c r="QMA136" s="547"/>
      <c r="QMB136" s="547"/>
      <c r="QMC136" s="547"/>
      <c r="QMD136" s="548"/>
      <c r="QME136" s="547"/>
      <c r="QMF136" s="547"/>
      <c r="QMG136" s="547"/>
      <c r="QMH136" s="552"/>
      <c r="QMI136" s="548"/>
      <c r="QMJ136" s="552"/>
      <c r="QMK136" s="552"/>
      <c r="QML136" s="552"/>
      <c r="QMM136" s="552"/>
      <c r="QMN136" s="548"/>
      <c r="QMO136" s="553"/>
      <c r="QMP136" s="553"/>
      <c r="QMQ136" s="553"/>
      <c r="QMR136" s="8"/>
      <c r="QMS136" s="8"/>
      <c r="QMT136" s="458"/>
      <c r="QMU136" s="8"/>
      <c r="QMV136" s="8"/>
      <c r="QMW136" s="547"/>
      <c r="QMX136" s="547"/>
      <c r="QMY136" s="547"/>
      <c r="QMZ136" s="547"/>
      <c r="QNA136" s="548"/>
      <c r="QNB136" s="547"/>
      <c r="QNC136" s="547"/>
      <c r="QND136" s="547"/>
      <c r="QNE136" s="547"/>
      <c r="QNF136" s="548"/>
      <c r="QNG136" s="547"/>
      <c r="QNH136" s="547"/>
      <c r="QNI136" s="547"/>
      <c r="QNJ136" s="547"/>
      <c r="QNK136" s="548"/>
      <c r="QNL136" s="547"/>
      <c r="QNM136" s="547"/>
      <c r="QNN136" s="547"/>
      <c r="QNO136" s="552"/>
      <c r="QNP136" s="548"/>
      <c r="QNQ136" s="552"/>
      <c r="QNR136" s="552"/>
      <c r="QNS136" s="552"/>
      <c r="QNT136" s="552"/>
      <c r="QNU136" s="548"/>
      <c r="QNV136" s="553"/>
      <c r="QNW136" s="553"/>
      <c r="QNX136" s="553"/>
      <c r="QNY136" s="8"/>
      <c r="QNZ136" s="8"/>
      <c r="QOA136" s="458"/>
      <c r="QOB136" s="8"/>
      <c r="QOC136" s="8"/>
      <c r="QOD136" s="547"/>
      <c r="QOE136" s="547"/>
      <c r="QOF136" s="547"/>
      <c r="QOG136" s="547"/>
      <c r="QOH136" s="548"/>
      <c r="QOI136" s="547"/>
      <c r="QOJ136" s="547"/>
      <c r="QOK136" s="547"/>
      <c r="QOL136" s="547"/>
      <c r="QOM136" s="548"/>
      <c r="QON136" s="547"/>
      <c r="QOO136" s="547"/>
      <c r="QOP136" s="547"/>
      <c r="QOQ136" s="547"/>
      <c r="QOR136" s="548"/>
      <c r="QOS136" s="547"/>
      <c r="QOT136" s="547"/>
      <c r="QOU136" s="547"/>
      <c r="QOV136" s="552"/>
      <c r="QOW136" s="548"/>
      <c r="QOX136" s="552"/>
      <c r="QOY136" s="552"/>
      <c r="QOZ136" s="552"/>
      <c r="QPA136" s="552"/>
      <c r="QPB136" s="548"/>
      <c r="QPC136" s="553"/>
      <c r="QPD136" s="553"/>
      <c r="QPE136" s="553"/>
      <c r="QPF136" s="8"/>
      <c r="QPG136" s="8"/>
      <c r="QPH136" s="458"/>
      <c r="QPI136" s="8"/>
      <c r="QPJ136" s="8"/>
      <c r="QPK136" s="547"/>
      <c r="QPL136" s="547"/>
      <c r="QPM136" s="547"/>
      <c r="QPN136" s="547"/>
      <c r="QPO136" s="548"/>
      <c r="QPP136" s="547"/>
      <c r="QPQ136" s="547"/>
      <c r="QPR136" s="547"/>
      <c r="QPS136" s="547"/>
      <c r="QPT136" s="548"/>
      <c r="QPU136" s="547"/>
      <c r="QPV136" s="547"/>
      <c r="QPW136" s="547"/>
      <c r="QPX136" s="547"/>
      <c r="QPY136" s="548"/>
      <c r="QPZ136" s="547"/>
      <c r="QQA136" s="547"/>
      <c r="QQB136" s="547"/>
      <c r="QQC136" s="552"/>
      <c r="QQD136" s="548"/>
      <c r="QQE136" s="552"/>
      <c r="QQF136" s="552"/>
      <c r="QQG136" s="552"/>
      <c r="QQH136" s="552"/>
      <c r="QQI136" s="548"/>
      <c r="QQJ136" s="553"/>
      <c r="QQK136" s="553"/>
      <c r="QQL136" s="553"/>
      <c r="QQM136" s="8"/>
      <c r="QQN136" s="8"/>
      <c r="QQO136" s="458"/>
      <c r="QQP136" s="8"/>
      <c r="QQQ136" s="8"/>
      <c r="QQR136" s="547"/>
      <c r="QQS136" s="547"/>
      <c r="QQT136" s="547"/>
      <c r="QQU136" s="547"/>
      <c r="QQV136" s="548"/>
      <c r="QQW136" s="547"/>
      <c r="QQX136" s="547"/>
      <c r="QQY136" s="547"/>
      <c r="QQZ136" s="547"/>
      <c r="QRA136" s="548"/>
      <c r="QRB136" s="547"/>
      <c r="QRC136" s="547"/>
      <c r="QRD136" s="547"/>
      <c r="QRE136" s="547"/>
      <c r="QRF136" s="548"/>
      <c r="QRG136" s="547"/>
      <c r="QRH136" s="547"/>
      <c r="QRI136" s="547"/>
      <c r="QRJ136" s="552"/>
      <c r="QRK136" s="548"/>
      <c r="QRL136" s="552"/>
      <c r="QRM136" s="552"/>
      <c r="QRN136" s="552"/>
      <c r="QRO136" s="552"/>
      <c r="QRP136" s="548"/>
      <c r="QRQ136" s="553"/>
      <c r="QRR136" s="553"/>
      <c r="QRS136" s="553"/>
      <c r="QRT136" s="8"/>
      <c r="QRU136" s="8"/>
      <c r="QRV136" s="458"/>
      <c r="QRW136" s="8"/>
      <c r="QRX136" s="8"/>
      <c r="QRY136" s="547"/>
      <c r="QRZ136" s="547"/>
      <c r="QSA136" s="547"/>
      <c r="QSB136" s="547"/>
      <c r="QSC136" s="548"/>
      <c r="QSD136" s="547"/>
      <c r="QSE136" s="547"/>
      <c r="QSF136" s="547"/>
      <c r="QSG136" s="547"/>
      <c r="QSH136" s="548"/>
      <c r="QSI136" s="547"/>
      <c r="QSJ136" s="547"/>
      <c r="QSK136" s="547"/>
      <c r="QSL136" s="547"/>
      <c r="QSM136" s="548"/>
      <c r="QSN136" s="547"/>
      <c r="QSO136" s="547"/>
      <c r="QSP136" s="547"/>
      <c r="QSQ136" s="552"/>
      <c r="QSR136" s="548"/>
      <c r="QSS136" s="552"/>
      <c r="QST136" s="552"/>
      <c r="QSU136" s="552"/>
      <c r="QSV136" s="552"/>
      <c r="QSW136" s="548"/>
      <c r="QSX136" s="553"/>
      <c r="QSY136" s="553"/>
      <c r="QSZ136" s="553"/>
      <c r="QTA136" s="8"/>
      <c r="QTB136" s="8"/>
      <c r="QTC136" s="458"/>
      <c r="QTD136" s="8"/>
      <c r="QTE136" s="8"/>
      <c r="QTF136" s="547"/>
      <c r="QTG136" s="547"/>
      <c r="QTH136" s="547"/>
      <c r="QTI136" s="547"/>
      <c r="QTJ136" s="548"/>
      <c r="QTK136" s="547"/>
      <c r="QTL136" s="547"/>
      <c r="QTM136" s="547"/>
      <c r="QTN136" s="547"/>
      <c r="QTO136" s="548"/>
      <c r="QTP136" s="547"/>
      <c r="QTQ136" s="547"/>
      <c r="QTR136" s="547"/>
      <c r="QTS136" s="547"/>
      <c r="QTT136" s="548"/>
      <c r="QTU136" s="547"/>
      <c r="QTV136" s="547"/>
      <c r="QTW136" s="547"/>
      <c r="QTX136" s="552"/>
      <c r="QTY136" s="548"/>
      <c r="QTZ136" s="552"/>
      <c r="QUA136" s="552"/>
      <c r="QUB136" s="552"/>
      <c r="QUC136" s="552"/>
      <c r="QUD136" s="548"/>
      <c r="QUE136" s="553"/>
      <c r="QUF136" s="553"/>
      <c r="QUG136" s="553"/>
      <c r="QUH136" s="8"/>
      <c r="QUI136" s="8"/>
      <c r="QUJ136" s="458"/>
      <c r="QUK136" s="8"/>
      <c r="QUL136" s="8"/>
      <c r="QUM136" s="547"/>
      <c r="QUN136" s="547"/>
      <c r="QUO136" s="547"/>
      <c r="QUP136" s="547"/>
      <c r="QUQ136" s="548"/>
      <c r="QUR136" s="547"/>
      <c r="QUS136" s="547"/>
      <c r="QUT136" s="547"/>
      <c r="QUU136" s="547"/>
      <c r="QUV136" s="548"/>
      <c r="QUW136" s="547"/>
      <c r="QUX136" s="547"/>
      <c r="QUY136" s="547"/>
      <c r="QUZ136" s="547"/>
      <c r="QVA136" s="548"/>
      <c r="QVB136" s="547"/>
      <c r="QVC136" s="547"/>
      <c r="QVD136" s="547"/>
      <c r="QVE136" s="552"/>
      <c r="QVF136" s="548"/>
      <c r="QVG136" s="552"/>
      <c r="QVH136" s="552"/>
      <c r="QVI136" s="552"/>
      <c r="QVJ136" s="552"/>
      <c r="QVK136" s="548"/>
      <c r="QVL136" s="553"/>
      <c r="QVM136" s="553"/>
      <c r="QVN136" s="553"/>
      <c r="QVO136" s="8"/>
      <c r="QVP136" s="8"/>
      <c r="QVQ136" s="458"/>
      <c r="QVR136" s="8"/>
      <c r="QVS136" s="8"/>
      <c r="QVT136" s="547"/>
      <c r="QVU136" s="547"/>
      <c r="QVV136" s="547"/>
      <c r="QVW136" s="547"/>
      <c r="QVX136" s="548"/>
      <c r="QVY136" s="547"/>
      <c r="QVZ136" s="547"/>
      <c r="QWA136" s="547"/>
      <c r="QWB136" s="547"/>
      <c r="QWC136" s="548"/>
      <c r="QWD136" s="547"/>
      <c r="QWE136" s="547"/>
      <c r="QWF136" s="547"/>
      <c r="QWG136" s="547"/>
      <c r="QWH136" s="548"/>
      <c r="QWI136" s="547"/>
      <c r="QWJ136" s="547"/>
      <c r="QWK136" s="547"/>
      <c r="QWL136" s="552"/>
      <c r="QWM136" s="548"/>
      <c r="QWN136" s="552"/>
      <c r="QWO136" s="552"/>
      <c r="QWP136" s="552"/>
      <c r="QWQ136" s="552"/>
      <c r="QWR136" s="548"/>
      <c r="QWS136" s="553"/>
      <c r="QWT136" s="553"/>
      <c r="QWU136" s="553"/>
      <c r="QWV136" s="8"/>
      <c r="QWW136" s="8"/>
      <c r="QWX136" s="458"/>
      <c r="QWY136" s="8"/>
      <c r="QWZ136" s="8"/>
      <c r="QXA136" s="547"/>
      <c r="QXB136" s="547"/>
      <c r="QXC136" s="547"/>
      <c r="QXD136" s="547"/>
      <c r="QXE136" s="548"/>
      <c r="QXF136" s="547"/>
      <c r="QXG136" s="547"/>
      <c r="QXH136" s="547"/>
      <c r="QXI136" s="547"/>
      <c r="QXJ136" s="548"/>
      <c r="QXK136" s="547"/>
      <c r="QXL136" s="547"/>
      <c r="QXM136" s="547"/>
      <c r="QXN136" s="547"/>
      <c r="QXO136" s="548"/>
      <c r="QXP136" s="547"/>
      <c r="QXQ136" s="547"/>
      <c r="QXR136" s="547"/>
      <c r="QXS136" s="552"/>
      <c r="QXT136" s="548"/>
      <c r="QXU136" s="552"/>
      <c r="QXV136" s="552"/>
      <c r="QXW136" s="552"/>
      <c r="QXX136" s="552"/>
      <c r="QXY136" s="548"/>
      <c r="QXZ136" s="553"/>
      <c r="QYA136" s="553"/>
      <c r="QYB136" s="553"/>
      <c r="QYC136" s="8"/>
      <c r="QYD136" s="8"/>
      <c r="QYE136" s="458"/>
      <c r="QYF136" s="8"/>
      <c r="QYG136" s="8"/>
      <c r="QYH136" s="547"/>
      <c r="QYI136" s="547"/>
      <c r="QYJ136" s="547"/>
      <c r="QYK136" s="547"/>
      <c r="QYL136" s="548"/>
      <c r="QYM136" s="547"/>
      <c r="QYN136" s="547"/>
      <c r="QYO136" s="547"/>
      <c r="QYP136" s="547"/>
      <c r="QYQ136" s="548"/>
      <c r="QYR136" s="547"/>
      <c r="QYS136" s="547"/>
      <c r="QYT136" s="547"/>
      <c r="QYU136" s="547"/>
      <c r="QYV136" s="548"/>
      <c r="QYW136" s="547"/>
      <c r="QYX136" s="547"/>
      <c r="QYY136" s="547"/>
      <c r="QYZ136" s="552"/>
      <c r="QZA136" s="548"/>
      <c r="QZB136" s="552"/>
      <c r="QZC136" s="552"/>
      <c r="QZD136" s="552"/>
      <c r="QZE136" s="552"/>
      <c r="QZF136" s="548"/>
      <c r="QZG136" s="553"/>
      <c r="QZH136" s="553"/>
      <c r="QZI136" s="553"/>
      <c r="QZJ136" s="8"/>
      <c r="QZK136" s="8"/>
      <c r="QZL136" s="458"/>
      <c r="QZM136" s="8"/>
      <c r="QZN136" s="8"/>
      <c r="QZO136" s="547"/>
      <c r="QZP136" s="547"/>
      <c r="QZQ136" s="547"/>
      <c r="QZR136" s="547"/>
      <c r="QZS136" s="548"/>
      <c r="QZT136" s="547"/>
      <c r="QZU136" s="547"/>
      <c r="QZV136" s="547"/>
      <c r="QZW136" s="547"/>
      <c r="QZX136" s="548"/>
      <c r="QZY136" s="547"/>
      <c r="QZZ136" s="547"/>
      <c r="RAA136" s="547"/>
      <c r="RAB136" s="547"/>
      <c r="RAC136" s="548"/>
      <c r="RAD136" s="547"/>
      <c r="RAE136" s="547"/>
      <c r="RAF136" s="547"/>
      <c r="RAG136" s="552"/>
      <c r="RAH136" s="548"/>
      <c r="RAI136" s="552"/>
      <c r="RAJ136" s="552"/>
      <c r="RAK136" s="552"/>
      <c r="RAL136" s="552"/>
      <c r="RAM136" s="548"/>
      <c r="RAN136" s="553"/>
      <c r="RAO136" s="553"/>
      <c r="RAP136" s="553"/>
      <c r="RAQ136" s="8"/>
      <c r="RAR136" s="8"/>
      <c r="RAS136" s="458"/>
      <c r="RAT136" s="8"/>
      <c r="RAU136" s="8"/>
      <c r="RAV136" s="547"/>
      <c r="RAW136" s="547"/>
      <c r="RAX136" s="547"/>
      <c r="RAY136" s="547"/>
      <c r="RAZ136" s="548"/>
      <c r="RBA136" s="547"/>
      <c r="RBB136" s="547"/>
      <c r="RBC136" s="547"/>
      <c r="RBD136" s="547"/>
      <c r="RBE136" s="548"/>
      <c r="RBF136" s="547"/>
      <c r="RBG136" s="547"/>
      <c r="RBH136" s="547"/>
      <c r="RBI136" s="547"/>
      <c r="RBJ136" s="548"/>
      <c r="RBK136" s="547"/>
      <c r="RBL136" s="547"/>
      <c r="RBM136" s="547"/>
      <c r="RBN136" s="552"/>
      <c r="RBO136" s="548"/>
      <c r="RBP136" s="552"/>
      <c r="RBQ136" s="552"/>
      <c r="RBR136" s="552"/>
      <c r="RBS136" s="552"/>
      <c r="RBT136" s="548"/>
      <c r="RBU136" s="553"/>
      <c r="RBV136" s="553"/>
      <c r="RBW136" s="553"/>
      <c r="RBX136" s="8"/>
      <c r="RBY136" s="8"/>
      <c r="RBZ136" s="458"/>
      <c r="RCA136" s="8"/>
      <c r="RCB136" s="8"/>
      <c r="RCC136" s="547"/>
      <c r="RCD136" s="547"/>
      <c r="RCE136" s="547"/>
      <c r="RCF136" s="547"/>
      <c r="RCG136" s="548"/>
      <c r="RCH136" s="547"/>
      <c r="RCI136" s="547"/>
      <c r="RCJ136" s="547"/>
      <c r="RCK136" s="547"/>
      <c r="RCL136" s="548"/>
      <c r="RCM136" s="547"/>
      <c r="RCN136" s="547"/>
      <c r="RCO136" s="547"/>
      <c r="RCP136" s="547"/>
      <c r="RCQ136" s="548"/>
      <c r="RCR136" s="547"/>
      <c r="RCS136" s="547"/>
      <c r="RCT136" s="547"/>
      <c r="RCU136" s="552"/>
      <c r="RCV136" s="548"/>
      <c r="RCW136" s="552"/>
      <c r="RCX136" s="552"/>
      <c r="RCY136" s="552"/>
      <c r="RCZ136" s="552"/>
      <c r="RDA136" s="548"/>
      <c r="RDB136" s="553"/>
      <c r="RDC136" s="553"/>
      <c r="RDD136" s="553"/>
      <c r="RDE136" s="8"/>
      <c r="RDF136" s="8"/>
      <c r="RDG136" s="458"/>
      <c r="RDH136" s="8"/>
      <c r="RDI136" s="8"/>
      <c r="RDJ136" s="547"/>
      <c r="RDK136" s="547"/>
      <c r="RDL136" s="547"/>
      <c r="RDM136" s="547"/>
      <c r="RDN136" s="548"/>
      <c r="RDO136" s="547"/>
      <c r="RDP136" s="547"/>
      <c r="RDQ136" s="547"/>
      <c r="RDR136" s="547"/>
      <c r="RDS136" s="548"/>
      <c r="RDT136" s="547"/>
      <c r="RDU136" s="547"/>
      <c r="RDV136" s="547"/>
      <c r="RDW136" s="547"/>
      <c r="RDX136" s="548"/>
      <c r="RDY136" s="547"/>
      <c r="RDZ136" s="547"/>
      <c r="REA136" s="547"/>
      <c r="REB136" s="552"/>
      <c r="REC136" s="548"/>
      <c r="RED136" s="552"/>
      <c r="REE136" s="552"/>
      <c r="REF136" s="552"/>
      <c r="REG136" s="552"/>
      <c r="REH136" s="548"/>
      <c r="REI136" s="553"/>
      <c r="REJ136" s="553"/>
      <c r="REK136" s="553"/>
      <c r="REL136" s="8"/>
      <c r="REM136" s="8"/>
      <c r="REN136" s="458"/>
      <c r="REO136" s="8"/>
      <c r="REP136" s="8"/>
      <c r="REQ136" s="547"/>
      <c r="RER136" s="547"/>
      <c r="RES136" s="547"/>
      <c r="RET136" s="547"/>
      <c r="REU136" s="548"/>
      <c r="REV136" s="547"/>
      <c r="REW136" s="547"/>
      <c r="REX136" s="547"/>
      <c r="REY136" s="547"/>
      <c r="REZ136" s="548"/>
      <c r="RFA136" s="547"/>
      <c r="RFB136" s="547"/>
      <c r="RFC136" s="547"/>
      <c r="RFD136" s="547"/>
      <c r="RFE136" s="548"/>
      <c r="RFF136" s="547"/>
      <c r="RFG136" s="547"/>
      <c r="RFH136" s="547"/>
      <c r="RFI136" s="552"/>
      <c r="RFJ136" s="548"/>
      <c r="RFK136" s="552"/>
      <c r="RFL136" s="552"/>
      <c r="RFM136" s="552"/>
      <c r="RFN136" s="552"/>
      <c r="RFO136" s="548"/>
      <c r="RFP136" s="553"/>
      <c r="RFQ136" s="553"/>
      <c r="RFR136" s="553"/>
      <c r="RFS136" s="8"/>
      <c r="RFT136" s="8"/>
      <c r="RFU136" s="458"/>
      <c r="RFV136" s="8"/>
      <c r="RFW136" s="8"/>
      <c r="RFX136" s="547"/>
      <c r="RFY136" s="547"/>
      <c r="RFZ136" s="547"/>
      <c r="RGA136" s="547"/>
      <c r="RGB136" s="548"/>
      <c r="RGC136" s="547"/>
      <c r="RGD136" s="547"/>
      <c r="RGE136" s="547"/>
      <c r="RGF136" s="547"/>
      <c r="RGG136" s="548"/>
      <c r="RGH136" s="547"/>
      <c r="RGI136" s="547"/>
      <c r="RGJ136" s="547"/>
      <c r="RGK136" s="547"/>
      <c r="RGL136" s="548"/>
      <c r="RGM136" s="547"/>
      <c r="RGN136" s="547"/>
      <c r="RGO136" s="547"/>
      <c r="RGP136" s="552"/>
      <c r="RGQ136" s="548"/>
      <c r="RGR136" s="552"/>
      <c r="RGS136" s="552"/>
      <c r="RGT136" s="552"/>
      <c r="RGU136" s="552"/>
      <c r="RGV136" s="548"/>
      <c r="RGW136" s="553"/>
      <c r="RGX136" s="553"/>
      <c r="RGY136" s="553"/>
      <c r="RGZ136" s="8"/>
      <c r="RHA136" s="8"/>
      <c r="RHB136" s="458"/>
      <c r="RHC136" s="8"/>
      <c r="RHD136" s="8"/>
      <c r="RHE136" s="547"/>
      <c r="RHF136" s="547"/>
      <c r="RHG136" s="547"/>
      <c r="RHH136" s="547"/>
      <c r="RHI136" s="548"/>
      <c r="RHJ136" s="547"/>
      <c r="RHK136" s="547"/>
      <c r="RHL136" s="547"/>
      <c r="RHM136" s="547"/>
      <c r="RHN136" s="548"/>
      <c r="RHO136" s="547"/>
      <c r="RHP136" s="547"/>
      <c r="RHQ136" s="547"/>
      <c r="RHR136" s="547"/>
      <c r="RHS136" s="548"/>
      <c r="RHT136" s="547"/>
      <c r="RHU136" s="547"/>
      <c r="RHV136" s="547"/>
      <c r="RHW136" s="552"/>
      <c r="RHX136" s="548"/>
      <c r="RHY136" s="552"/>
      <c r="RHZ136" s="552"/>
      <c r="RIA136" s="552"/>
      <c r="RIB136" s="552"/>
      <c r="RIC136" s="548"/>
      <c r="RID136" s="553"/>
      <c r="RIE136" s="553"/>
      <c r="RIF136" s="553"/>
      <c r="RIG136" s="8"/>
      <c r="RIH136" s="8"/>
      <c r="RII136" s="458"/>
      <c r="RIJ136" s="8"/>
      <c r="RIK136" s="8"/>
      <c r="RIL136" s="547"/>
      <c r="RIM136" s="547"/>
      <c r="RIN136" s="547"/>
      <c r="RIO136" s="547"/>
      <c r="RIP136" s="548"/>
      <c r="RIQ136" s="547"/>
      <c r="RIR136" s="547"/>
      <c r="RIS136" s="547"/>
      <c r="RIT136" s="547"/>
      <c r="RIU136" s="548"/>
      <c r="RIV136" s="547"/>
      <c r="RIW136" s="547"/>
      <c r="RIX136" s="547"/>
      <c r="RIY136" s="547"/>
      <c r="RIZ136" s="548"/>
      <c r="RJA136" s="547"/>
      <c r="RJB136" s="547"/>
      <c r="RJC136" s="547"/>
      <c r="RJD136" s="552"/>
      <c r="RJE136" s="548"/>
      <c r="RJF136" s="552"/>
      <c r="RJG136" s="552"/>
      <c r="RJH136" s="552"/>
      <c r="RJI136" s="552"/>
      <c r="RJJ136" s="548"/>
      <c r="RJK136" s="553"/>
      <c r="RJL136" s="553"/>
      <c r="RJM136" s="553"/>
      <c r="RJN136" s="8"/>
      <c r="RJO136" s="8"/>
      <c r="RJP136" s="458"/>
      <c r="RJQ136" s="8"/>
      <c r="RJR136" s="8"/>
      <c r="RJS136" s="547"/>
      <c r="RJT136" s="547"/>
      <c r="RJU136" s="547"/>
      <c r="RJV136" s="547"/>
      <c r="RJW136" s="548"/>
      <c r="RJX136" s="547"/>
      <c r="RJY136" s="547"/>
      <c r="RJZ136" s="547"/>
      <c r="RKA136" s="547"/>
      <c r="RKB136" s="548"/>
      <c r="RKC136" s="547"/>
      <c r="RKD136" s="547"/>
      <c r="RKE136" s="547"/>
      <c r="RKF136" s="547"/>
      <c r="RKG136" s="548"/>
      <c r="RKH136" s="547"/>
      <c r="RKI136" s="547"/>
      <c r="RKJ136" s="547"/>
      <c r="RKK136" s="552"/>
      <c r="RKL136" s="548"/>
      <c r="RKM136" s="552"/>
      <c r="RKN136" s="552"/>
      <c r="RKO136" s="552"/>
      <c r="RKP136" s="552"/>
      <c r="RKQ136" s="548"/>
      <c r="RKR136" s="553"/>
      <c r="RKS136" s="553"/>
      <c r="RKT136" s="553"/>
      <c r="RKU136" s="8"/>
      <c r="RKV136" s="8"/>
      <c r="RKW136" s="458"/>
      <c r="RKX136" s="8"/>
      <c r="RKY136" s="8"/>
      <c r="RKZ136" s="547"/>
      <c r="RLA136" s="547"/>
      <c r="RLB136" s="547"/>
      <c r="RLC136" s="547"/>
      <c r="RLD136" s="548"/>
      <c r="RLE136" s="547"/>
      <c r="RLF136" s="547"/>
      <c r="RLG136" s="547"/>
      <c r="RLH136" s="547"/>
      <c r="RLI136" s="548"/>
      <c r="RLJ136" s="547"/>
      <c r="RLK136" s="547"/>
      <c r="RLL136" s="547"/>
      <c r="RLM136" s="547"/>
      <c r="RLN136" s="548"/>
      <c r="RLO136" s="547"/>
      <c r="RLP136" s="547"/>
      <c r="RLQ136" s="547"/>
      <c r="RLR136" s="552"/>
      <c r="RLS136" s="548"/>
      <c r="RLT136" s="552"/>
      <c r="RLU136" s="552"/>
      <c r="RLV136" s="552"/>
      <c r="RLW136" s="552"/>
      <c r="RLX136" s="548"/>
      <c r="RLY136" s="553"/>
      <c r="RLZ136" s="553"/>
      <c r="RMA136" s="553"/>
      <c r="RMB136" s="8"/>
      <c r="RMC136" s="8"/>
      <c r="RMD136" s="458"/>
      <c r="RME136" s="8"/>
      <c r="RMF136" s="8"/>
      <c r="RMG136" s="547"/>
      <c r="RMH136" s="547"/>
      <c r="RMI136" s="547"/>
      <c r="RMJ136" s="547"/>
      <c r="RMK136" s="548"/>
      <c r="RML136" s="547"/>
      <c r="RMM136" s="547"/>
      <c r="RMN136" s="547"/>
      <c r="RMO136" s="547"/>
      <c r="RMP136" s="548"/>
      <c r="RMQ136" s="547"/>
      <c r="RMR136" s="547"/>
      <c r="RMS136" s="547"/>
      <c r="RMT136" s="547"/>
      <c r="RMU136" s="548"/>
      <c r="RMV136" s="547"/>
      <c r="RMW136" s="547"/>
      <c r="RMX136" s="547"/>
      <c r="RMY136" s="552"/>
      <c r="RMZ136" s="548"/>
      <c r="RNA136" s="552"/>
      <c r="RNB136" s="552"/>
      <c r="RNC136" s="552"/>
      <c r="RND136" s="552"/>
      <c r="RNE136" s="548"/>
      <c r="RNF136" s="553"/>
      <c r="RNG136" s="553"/>
      <c r="RNH136" s="553"/>
      <c r="RNI136" s="8"/>
      <c r="RNJ136" s="8"/>
      <c r="RNK136" s="458"/>
      <c r="RNL136" s="8"/>
      <c r="RNM136" s="8"/>
      <c r="RNN136" s="547"/>
      <c r="RNO136" s="547"/>
      <c r="RNP136" s="547"/>
      <c r="RNQ136" s="547"/>
      <c r="RNR136" s="548"/>
      <c r="RNS136" s="547"/>
      <c r="RNT136" s="547"/>
      <c r="RNU136" s="547"/>
      <c r="RNV136" s="547"/>
      <c r="RNW136" s="548"/>
      <c r="RNX136" s="547"/>
      <c r="RNY136" s="547"/>
      <c r="RNZ136" s="547"/>
      <c r="ROA136" s="547"/>
      <c r="ROB136" s="548"/>
      <c r="ROC136" s="547"/>
      <c r="ROD136" s="547"/>
      <c r="ROE136" s="547"/>
      <c r="ROF136" s="552"/>
      <c r="ROG136" s="548"/>
      <c r="ROH136" s="552"/>
      <c r="ROI136" s="552"/>
      <c r="ROJ136" s="552"/>
      <c r="ROK136" s="552"/>
      <c r="ROL136" s="548"/>
      <c r="ROM136" s="553"/>
      <c r="RON136" s="553"/>
      <c r="ROO136" s="553"/>
      <c r="ROP136" s="8"/>
      <c r="ROQ136" s="8"/>
      <c r="ROR136" s="458"/>
      <c r="ROS136" s="8"/>
      <c r="ROT136" s="8"/>
      <c r="ROU136" s="547"/>
      <c r="ROV136" s="547"/>
      <c r="ROW136" s="547"/>
      <c r="ROX136" s="547"/>
      <c r="ROY136" s="548"/>
      <c r="ROZ136" s="547"/>
      <c r="RPA136" s="547"/>
      <c r="RPB136" s="547"/>
      <c r="RPC136" s="547"/>
      <c r="RPD136" s="548"/>
      <c r="RPE136" s="547"/>
      <c r="RPF136" s="547"/>
      <c r="RPG136" s="547"/>
      <c r="RPH136" s="547"/>
      <c r="RPI136" s="548"/>
      <c r="RPJ136" s="547"/>
      <c r="RPK136" s="547"/>
      <c r="RPL136" s="547"/>
      <c r="RPM136" s="552"/>
      <c r="RPN136" s="548"/>
      <c r="RPO136" s="552"/>
      <c r="RPP136" s="552"/>
      <c r="RPQ136" s="552"/>
      <c r="RPR136" s="552"/>
      <c r="RPS136" s="548"/>
      <c r="RPT136" s="553"/>
      <c r="RPU136" s="553"/>
      <c r="RPV136" s="553"/>
      <c r="RPW136" s="8"/>
      <c r="RPX136" s="8"/>
      <c r="RPY136" s="458"/>
      <c r="RPZ136" s="8"/>
      <c r="RQA136" s="8"/>
      <c r="RQB136" s="547"/>
      <c r="RQC136" s="547"/>
      <c r="RQD136" s="547"/>
      <c r="RQE136" s="547"/>
      <c r="RQF136" s="548"/>
      <c r="RQG136" s="547"/>
      <c r="RQH136" s="547"/>
      <c r="RQI136" s="547"/>
      <c r="RQJ136" s="547"/>
      <c r="RQK136" s="548"/>
      <c r="RQL136" s="547"/>
      <c r="RQM136" s="547"/>
      <c r="RQN136" s="547"/>
      <c r="RQO136" s="547"/>
      <c r="RQP136" s="548"/>
      <c r="RQQ136" s="547"/>
      <c r="RQR136" s="547"/>
      <c r="RQS136" s="547"/>
      <c r="RQT136" s="552"/>
      <c r="RQU136" s="548"/>
      <c r="RQV136" s="552"/>
      <c r="RQW136" s="552"/>
      <c r="RQX136" s="552"/>
      <c r="RQY136" s="552"/>
      <c r="RQZ136" s="548"/>
      <c r="RRA136" s="553"/>
      <c r="RRB136" s="553"/>
      <c r="RRC136" s="553"/>
      <c r="RRD136" s="8"/>
      <c r="RRE136" s="8"/>
      <c r="RRF136" s="458"/>
      <c r="RRG136" s="8"/>
      <c r="RRH136" s="8"/>
      <c r="RRI136" s="547"/>
      <c r="RRJ136" s="547"/>
      <c r="RRK136" s="547"/>
      <c r="RRL136" s="547"/>
      <c r="RRM136" s="548"/>
      <c r="RRN136" s="547"/>
      <c r="RRO136" s="547"/>
      <c r="RRP136" s="547"/>
      <c r="RRQ136" s="547"/>
      <c r="RRR136" s="548"/>
      <c r="RRS136" s="547"/>
      <c r="RRT136" s="547"/>
      <c r="RRU136" s="547"/>
      <c r="RRV136" s="547"/>
      <c r="RRW136" s="548"/>
      <c r="RRX136" s="547"/>
      <c r="RRY136" s="547"/>
      <c r="RRZ136" s="547"/>
      <c r="RSA136" s="552"/>
      <c r="RSB136" s="548"/>
      <c r="RSC136" s="552"/>
      <c r="RSD136" s="552"/>
      <c r="RSE136" s="552"/>
      <c r="RSF136" s="552"/>
      <c r="RSG136" s="548"/>
      <c r="RSH136" s="553"/>
      <c r="RSI136" s="553"/>
      <c r="RSJ136" s="553"/>
      <c r="RSK136" s="8"/>
      <c r="RSL136" s="8"/>
      <c r="RSM136" s="458"/>
      <c r="RSN136" s="8"/>
      <c r="RSO136" s="8"/>
      <c r="RSP136" s="547"/>
      <c r="RSQ136" s="547"/>
      <c r="RSR136" s="547"/>
      <c r="RSS136" s="547"/>
      <c r="RST136" s="548"/>
      <c r="RSU136" s="547"/>
      <c r="RSV136" s="547"/>
      <c r="RSW136" s="547"/>
      <c r="RSX136" s="547"/>
      <c r="RSY136" s="548"/>
      <c r="RSZ136" s="547"/>
      <c r="RTA136" s="547"/>
      <c r="RTB136" s="547"/>
      <c r="RTC136" s="547"/>
      <c r="RTD136" s="548"/>
      <c r="RTE136" s="547"/>
      <c r="RTF136" s="547"/>
      <c r="RTG136" s="547"/>
      <c r="RTH136" s="552"/>
      <c r="RTI136" s="548"/>
      <c r="RTJ136" s="552"/>
      <c r="RTK136" s="552"/>
      <c r="RTL136" s="552"/>
      <c r="RTM136" s="552"/>
      <c r="RTN136" s="548"/>
      <c r="RTO136" s="553"/>
      <c r="RTP136" s="553"/>
      <c r="RTQ136" s="553"/>
      <c r="RTR136" s="8"/>
      <c r="RTS136" s="8"/>
      <c r="RTT136" s="458"/>
      <c r="RTU136" s="8"/>
      <c r="RTV136" s="8"/>
      <c r="RTW136" s="547"/>
      <c r="RTX136" s="547"/>
      <c r="RTY136" s="547"/>
      <c r="RTZ136" s="547"/>
      <c r="RUA136" s="548"/>
      <c r="RUB136" s="547"/>
      <c r="RUC136" s="547"/>
      <c r="RUD136" s="547"/>
      <c r="RUE136" s="547"/>
      <c r="RUF136" s="548"/>
      <c r="RUG136" s="547"/>
      <c r="RUH136" s="547"/>
      <c r="RUI136" s="547"/>
      <c r="RUJ136" s="547"/>
      <c r="RUK136" s="548"/>
      <c r="RUL136" s="547"/>
      <c r="RUM136" s="547"/>
      <c r="RUN136" s="547"/>
      <c r="RUO136" s="552"/>
      <c r="RUP136" s="548"/>
      <c r="RUQ136" s="552"/>
      <c r="RUR136" s="552"/>
      <c r="RUS136" s="552"/>
      <c r="RUT136" s="552"/>
      <c r="RUU136" s="548"/>
      <c r="RUV136" s="553"/>
      <c r="RUW136" s="553"/>
      <c r="RUX136" s="553"/>
      <c r="RUY136" s="8"/>
      <c r="RUZ136" s="8"/>
      <c r="RVA136" s="458"/>
      <c r="RVB136" s="8"/>
      <c r="RVC136" s="8"/>
      <c r="RVD136" s="547"/>
      <c r="RVE136" s="547"/>
      <c r="RVF136" s="547"/>
      <c r="RVG136" s="547"/>
      <c r="RVH136" s="548"/>
      <c r="RVI136" s="547"/>
      <c r="RVJ136" s="547"/>
      <c r="RVK136" s="547"/>
      <c r="RVL136" s="547"/>
      <c r="RVM136" s="548"/>
      <c r="RVN136" s="547"/>
      <c r="RVO136" s="547"/>
      <c r="RVP136" s="547"/>
      <c r="RVQ136" s="547"/>
      <c r="RVR136" s="548"/>
      <c r="RVS136" s="547"/>
      <c r="RVT136" s="547"/>
      <c r="RVU136" s="547"/>
      <c r="RVV136" s="552"/>
      <c r="RVW136" s="548"/>
      <c r="RVX136" s="552"/>
      <c r="RVY136" s="552"/>
      <c r="RVZ136" s="552"/>
      <c r="RWA136" s="552"/>
      <c r="RWB136" s="548"/>
      <c r="RWC136" s="553"/>
      <c r="RWD136" s="553"/>
      <c r="RWE136" s="553"/>
      <c r="RWF136" s="8"/>
      <c r="RWG136" s="8"/>
      <c r="RWH136" s="458"/>
      <c r="RWI136" s="8"/>
      <c r="RWJ136" s="8"/>
      <c r="RWK136" s="547"/>
      <c r="RWL136" s="547"/>
      <c r="RWM136" s="547"/>
      <c r="RWN136" s="547"/>
      <c r="RWO136" s="548"/>
      <c r="RWP136" s="547"/>
      <c r="RWQ136" s="547"/>
      <c r="RWR136" s="547"/>
      <c r="RWS136" s="547"/>
      <c r="RWT136" s="548"/>
      <c r="RWU136" s="547"/>
      <c r="RWV136" s="547"/>
      <c r="RWW136" s="547"/>
      <c r="RWX136" s="547"/>
      <c r="RWY136" s="548"/>
      <c r="RWZ136" s="547"/>
      <c r="RXA136" s="547"/>
      <c r="RXB136" s="547"/>
      <c r="RXC136" s="552"/>
      <c r="RXD136" s="548"/>
      <c r="RXE136" s="552"/>
      <c r="RXF136" s="552"/>
      <c r="RXG136" s="552"/>
      <c r="RXH136" s="552"/>
      <c r="RXI136" s="548"/>
      <c r="RXJ136" s="553"/>
      <c r="RXK136" s="553"/>
      <c r="RXL136" s="553"/>
      <c r="RXM136" s="8"/>
      <c r="RXN136" s="8"/>
      <c r="RXO136" s="458"/>
      <c r="RXP136" s="8"/>
      <c r="RXQ136" s="8"/>
      <c r="RXR136" s="547"/>
      <c r="RXS136" s="547"/>
      <c r="RXT136" s="547"/>
      <c r="RXU136" s="547"/>
      <c r="RXV136" s="548"/>
      <c r="RXW136" s="547"/>
      <c r="RXX136" s="547"/>
      <c r="RXY136" s="547"/>
      <c r="RXZ136" s="547"/>
      <c r="RYA136" s="548"/>
      <c r="RYB136" s="547"/>
      <c r="RYC136" s="547"/>
      <c r="RYD136" s="547"/>
      <c r="RYE136" s="547"/>
      <c r="RYF136" s="548"/>
      <c r="RYG136" s="547"/>
      <c r="RYH136" s="547"/>
      <c r="RYI136" s="547"/>
      <c r="RYJ136" s="552"/>
      <c r="RYK136" s="548"/>
      <c r="RYL136" s="552"/>
      <c r="RYM136" s="552"/>
      <c r="RYN136" s="552"/>
      <c r="RYO136" s="552"/>
      <c r="RYP136" s="548"/>
      <c r="RYQ136" s="553"/>
      <c r="RYR136" s="553"/>
      <c r="RYS136" s="553"/>
      <c r="RYT136" s="8"/>
      <c r="RYU136" s="8"/>
      <c r="RYV136" s="458"/>
      <c r="RYW136" s="8"/>
      <c r="RYX136" s="8"/>
      <c r="RYY136" s="547"/>
      <c r="RYZ136" s="547"/>
      <c r="RZA136" s="547"/>
      <c r="RZB136" s="547"/>
      <c r="RZC136" s="548"/>
      <c r="RZD136" s="547"/>
      <c r="RZE136" s="547"/>
      <c r="RZF136" s="547"/>
      <c r="RZG136" s="547"/>
      <c r="RZH136" s="548"/>
      <c r="RZI136" s="547"/>
      <c r="RZJ136" s="547"/>
      <c r="RZK136" s="547"/>
      <c r="RZL136" s="547"/>
      <c r="RZM136" s="548"/>
      <c r="RZN136" s="547"/>
      <c r="RZO136" s="547"/>
      <c r="RZP136" s="547"/>
      <c r="RZQ136" s="552"/>
      <c r="RZR136" s="548"/>
      <c r="RZS136" s="552"/>
      <c r="RZT136" s="552"/>
      <c r="RZU136" s="552"/>
      <c r="RZV136" s="552"/>
      <c r="RZW136" s="548"/>
      <c r="RZX136" s="553"/>
      <c r="RZY136" s="553"/>
      <c r="RZZ136" s="553"/>
      <c r="SAA136" s="8"/>
      <c r="SAB136" s="8"/>
      <c r="SAC136" s="458"/>
      <c r="SAD136" s="8"/>
      <c r="SAE136" s="8"/>
      <c r="SAF136" s="547"/>
      <c r="SAG136" s="547"/>
      <c r="SAH136" s="547"/>
      <c r="SAI136" s="547"/>
      <c r="SAJ136" s="548"/>
      <c r="SAK136" s="547"/>
      <c r="SAL136" s="547"/>
      <c r="SAM136" s="547"/>
      <c r="SAN136" s="547"/>
      <c r="SAO136" s="548"/>
      <c r="SAP136" s="547"/>
      <c r="SAQ136" s="547"/>
      <c r="SAR136" s="547"/>
      <c r="SAS136" s="547"/>
      <c r="SAT136" s="548"/>
      <c r="SAU136" s="547"/>
      <c r="SAV136" s="547"/>
      <c r="SAW136" s="547"/>
      <c r="SAX136" s="552"/>
      <c r="SAY136" s="548"/>
      <c r="SAZ136" s="552"/>
      <c r="SBA136" s="552"/>
      <c r="SBB136" s="552"/>
      <c r="SBC136" s="552"/>
      <c r="SBD136" s="548"/>
      <c r="SBE136" s="553"/>
      <c r="SBF136" s="553"/>
      <c r="SBG136" s="553"/>
      <c r="SBH136" s="8"/>
      <c r="SBI136" s="8"/>
      <c r="SBJ136" s="458"/>
      <c r="SBK136" s="8"/>
      <c r="SBL136" s="8"/>
      <c r="SBM136" s="547"/>
      <c r="SBN136" s="547"/>
      <c r="SBO136" s="547"/>
      <c r="SBP136" s="547"/>
      <c r="SBQ136" s="548"/>
      <c r="SBR136" s="547"/>
      <c r="SBS136" s="547"/>
      <c r="SBT136" s="547"/>
      <c r="SBU136" s="547"/>
      <c r="SBV136" s="548"/>
      <c r="SBW136" s="547"/>
      <c r="SBX136" s="547"/>
      <c r="SBY136" s="547"/>
      <c r="SBZ136" s="547"/>
      <c r="SCA136" s="548"/>
      <c r="SCB136" s="547"/>
      <c r="SCC136" s="547"/>
      <c r="SCD136" s="547"/>
      <c r="SCE136" s="552"/>
      <c r="SCF136" s="548"/>
      <c r="SCG136" s="552"/>
      <c r="SCH136" s="552"/>
      <c r="SCI136" s="552"/>
      <c r="SCJ136" s="552"/>
      <c r="SCK136" s="548"/>
      <c r="SCL136" s="553"/>
      <c r="SCM136" s="553"/>
      <c r="SCN136" s="553"/>
      <c r="SCO136" s="8"/>
      <c r="SCP136" s="8"/>
      <c r="SCQ136" s="458"/>
      <c r="SCR136" s="8"/>
      <c r="SCS136" s="8"/>
      <c r="SCT136" s="547"/>
      <c r="SCU136" s="547"/>
      <c r="SCV136" s="547"/>
      <c r="SCW136" s="547"/>
      <c r="SCX136" s="548"/>
      <c r="SCY136" s="547"/>
      <c r="SCZ136" s="547"/>
      <c r="SDA136" s="547"/>
      <c r="SDB136" s="547"/>
      <c r="SDC136" s="548"/>
      <c r="SDD136" s="547"/>
      <c r="SDE136" s="547"/>
      <c r="SDF136" s="547"/>
      <c r="SDG136" s="547"/>
      <c r="SDH136" s="548"/>
      <c r="SDI136" s="547"/>
      <c r="SDJ136" s="547"/>
      <c r="SDK136" s="547"/>
      <c r="SDL136" s="552"/>
      <c r="SDM136" s="548"/>
      <c r="SDN136" s="552"/>
      <c r="SDO136" s="552"/>
      <c r="SDP136" s="552"/>
      <c r="SDQ136" s="552"/>
      <c r="SDR136" s="548"/>
      <c r="SDS136" s="553"/>
      <c r="SDT136" s="553"/>
      <c r="SDU136" s="553"/>
      <c r="SDV136" s="8"/>
      <c r="SDW136" s="8"/>
      <c r="SDX136" s="458"/>
      <c r="SDY136" s="8"/>
      <c r="SDZ136" s="8"/>
      <c r="SEA136" s="547"/>
      <c r="SEB136" s="547"/>
      <c r="SEC136" s="547"/>
      <c r="SED136" s="547"/>
      <c r="SEE136" s="548"/>
      <c r="SEF136" s="547"/>
      <c r="SEG136" s="547"/>
      <c r="SEH136" s="547"/>
      <c r="SEI136" s="547"/>
      <c r="SEJ136" s="548"/>
      <c r="SEK136" s="547"/>
      <c r="SEL136" s="547"/>
      <c r="SEM136" s="547"/>
      <c r="SEN136" s="547"/>
      <c r="SEO136" s="548"/>
      <c r="SEP136" s="547"/>
      <c r="SEQ136" s="547"/>
      <c r="SER136" s="547"/>
      <c r="SES136" s="552"/>
      <c r="SET136" s="548"/>
      <c r="SEU136" s="552"/>
      <c r="SEV136" s="552"/>
      <c r="SEW136" s="552"/>
      <c r="SEX136" s="552"/>
      <c r="SEY136" s="548"/>
      <c r="SEZ136" s="553"/>
      <c r="SFA136" s="553"/>
      <c r="SFB136" s="553"/>
      <c r="SFC136" s="8"/>
      <c r="SFD136" s="8"/>
      <c r="SFE136" s="458"/>
      <c r="SFF136" s="8"/>
      <c r="SFG136" s="8"/>
      <c r="SFH136" s="547"/>
      <c r="SFI136" s="547"/>
      <c r="SFJ136" s="547"/>
      <c r="SFK136" s="547"/>
      <c r="SFL136" s="548"/>
      <c r="SFM136" s="547"/>
      <c r="SFN136" s="547"/>
      <c r="SFO136" s="547"/>
      <c r="SFP136" s="547"/>
      <c r="SFQ136" s="548"/>
      <c r="SFR136" s="547"/>
      <c r="SFS136" s="547"/>
      <c r="SFT136" s="547"/>
      <c r="SFU136" s="547"/>
      <c r="SFV136" s="548"/>
      <c r="SFW136" s="547"/>
      <c r="SFX136" s="547"/>
      <c r="SFY136" s="547"/>
      <c r="SFZ136" s="552"/>
      <c r="SGA136" s="548"/>
      <c r="SGB136" s="552"/>
      <c r="SGC136" s="552"/>
      <c r="SGD136" s="552"/>
      <c r="SGE136" s="552"/>
      <c r="SGF136" s="548"/>
      <c r="SGG136" s="553"/>
      <c r="SGH136" s="553"/>
      <c r="SGI136" s="553"/>
      <c r="SGJ136" s="8"/>
      <c r="SGK136" s="8"/>
      <c r="SGL136" s="458"/>
      <c r="SGM136" s="8"/>
      <c r="SGN136" s="8"/>
      <c r="SGO136" s="547"/>
      <c r="SGP136" s="547"/>
      <c r="SGQ136" s="547"/>
      <c r="SGR136" s="547"/>
      <c r="SGS136" s="548"/>
      <c r="SGT136" s="547"/>
      <c r="SGU136" s="547"/>
      <c r="SGV136" s="547"/>
      <c r="SGW136" s="547"/>
      <c r="SGX136" s="548"/>
      <c r="SGY136" s="547"/>
      <c r="SGZ136" s="547"/>
      <c r="SHA136" s="547"/>
      <c r="SHB136" s="547"/>
      <c r="SHC136" s="548"/>
      <c r="SHD136" s="547"/>
      <c r="SHE136" s="547"/>
      <c r="SHF136" s="547"/>
      <c r="SHG136" s="552"/>
      <c r="SHH136" s="548"/>
      <c r="SHI136" s="552"/>
      <c r="SHJ136" s="552"/>
      <c r="SHK136" s="552"/>
      <c r="SHL136" s="552"/>
      <c r="SHM136" s="548"/>
      <c r="SHN136" s="553"/>
      <c r="SHO136" s="553"/>
      <c r="SHP136" s="553"/>
      <c r="SHQ136" s="8"/>
      <c r="SHR136" s="8"/>
      <c r="SHS136" s="458"/>
      <c r="SHT136" s="8"/>
      <c r="SHU136" s="8"/>
      <c r="SHV136" s="547"/>
      <c r="SHW136" s="547"/>
      <c r="SHX136" s="547"/>
      <c r="SHY136" s="547"/>
      <c r="SHZ136" s="548"/>
      <c r="SIA136" s="547"/>
      <c r="SIB136" s="547"/>
      <c r="SIC136" s="547"/>
      <c r="SID136" s="547"/>
      <c r="SIE136" s="548"/>
      <c r="SIF136" s="547"/>
      <c r="SIG136" s="547"/>
      <c r="SIH136" s="547"/>
      <c r="SII136" s="547"/>
      <c r="SIJ136" s="548"/>
      <c r="SIK136" s="547"/>
      <c r="SIL136" s="547"/>
      <c r="SIM136" s="547"/>
      <c r="SIN136" s="552"/>
      <c r="SIO136" s="548"/>
      <c r="SIP136" s="552"/>
      <c r="SIQ136" s="552"/>
      <c r="SIR136" s="552"/>
      <c r="SIS136" s="552"/>
      <c r="SIT136" s="548"/>
      <c r="SIU136" s="553"/>
      <c r="SIV136" s="553"/>
      <c r="SIW136" s="553"/>
      <c r="SIX136" s="8"/>
      <c r="SIY136" s="8"/>
      <c r="SIZ136" s="458"/>
      <c r="SJA136" s="8"/>
      <c r="SJB136" s="8"/>
      <c r="SJC136" s="547"/>
      <c r="SJD136" s="547"/>
      <c r="SJE136" s="547"/>
      <c r="SJF136" s="547"/>
      <c r="SJG136" s="548"/>
      <c r="SJH136" s="547"/>
      <c r="SJI136" s="547"/>
      <c r="SJJ136" s="547"/>
      <c r="SJK136" s="547"/>
      <c r="SJL136" s="548"/>
      <c r="SJM136" s="547"/>
      <c r="SJN136" s="547"/>
      <c r="SJO136" s="547"/>
      <c r="SJP136" s="547"/>
      <c r="SJQ136" s="548"/>
      <c r="SJR136" s="547"/>
      <c r="SJS136" s="547"/>
      <c r="SJT136" s="547"/>
      <c r="SJU136" s="552"/>
      <c r="SJV136" s="548"/>
      <c r="SJW136" s="552"/>
      <c r="SJX136" s="552"/>
      <c r="SJY136" s="552"/>
      <c r="SJZ136" s="552"/>
      <c r="SKA136" s="548"/>
      <c r="SKB136" s="553"/>
      <c r="SKC136" s="553"/>
      <c r="SKD136" s="553"/>
      <c r="SKE136" s="8"/>
      <c r="SKF136" s="8"/>
      <c r="SKG136" s="458"/>
      <c r="SKH136" s="8"/>
      <c r="SKI136" s="8"/>
      <c r="SKJ136" s="547"/>
      <c r="SKK136" s="547"/>
      <c r="SKL136" s="547"/>
      <c r="SKM136" s="547"/>
      <c r="SKN136" s="548"/>
      <c r="SKO136" s="547"/>
      <c r="SKP136" s="547"/>
      <c r="SKQ136" s="547"/>
      <c r="SKR136" s="547"/>
      <c r="SKS136" s="548"/>
      <c r="SKT136" s="547"/>
      <c r="SKU136" s="547"/>
      <c r="SKV136" s="547"/>
      <c r="SKW136" s="547"/>
      <c r="SKX136" s="548"/>
      <c r="SKY136" s="547"/>
      <c r="SKZ136" s="547"/>
      <c r="SLA136" s="547"/>
      <c r="SLB136" s="552"/>
      <c r="SLC136" s="548"/>
      <c r="SLD136" s="552"/>
      <c r="SLE136" s="552"/>
      <c r="SLF136" s="552"/>
      <c r="SLG136" s="552"/>
      <c r="SLH136" s="548"/>
      <c r="SLI136" s="553"/>
      <c r="SLJ136" s="553"/>
      <c r="SLK136" s="553"/>
      <c r="SLL136" s="8"/>
      <c r="SLM136" s="8"/>
      <c r="SLN136" s="458"/>
      <c r="SLO136" s="8"/>
      <c r="SLP136" s="8"/>
      <c r="SLQ136" s="547"/>
      <c r="SLR136" s="547"/>
      <c r="SLS136" s="547"/>
      <c r="SLT136" s="547"/>
      <c r="SLU136" s="548"/>
      <c r="SLV136" s="547"/>
      <c r="SLW136" s="547"/>
      <c r="SLX136" s="547"/>
      <c r="SLY136" s="547"/>
      <c r="SLZ136" s="548"/>
      <c r="SMA136" s="547"/>
      <c r="SMB136" s="547"/>
      <c r="SMC136" s="547"/>
      <c r="SMD136" s="547"/>
      <c r="SME136" s="548"/>
      <c r="SMF136" s="547"/>
      <c r="SMG136" s="547"/>
      <c r="SMH136" s="547"/>
      <c r="SMI136" s="552"/>
      <c r="SMJ136" s="548"/>
      <c r="SMK136" s="552"/>
      <c r="SML136" s="552"/>
      <c r="SMM136" s="552"/>
      <c r="SMN136" s="552"/>
      <c r="SMO136" s="548"/>
      <c r="SMP136" s="553"/>
      <c r="SMQ136" s="553"/>
      <c r="SMR136" s="553"/>
      <c r="SMS136" s="8"/>
      <c r="SMT136" s="8"/>
      <c r="SMU136" s="458"/>
      <c r="SMV136" s="8"/>
      <c r="SMW136" s="8"/>
      <c r="SMX136" s="547"/>
      <c r="SMY136" s="547"/>
      <c r="SMZ136" s="547"/>
      <c r="SNA136" s="547"/>
      <c r="SNB136" s="548"/>
      <c r="SNC136" s="547"/>
      <c r="SND136" s="547"/>
      <c r="SNE136" s="547"/>
      <c r="SNF136" s="547"/>
      <c r="SNG136" s="548"/>
      <c r="SNH136" s="547"/>
      <c r="SNI136" s="547"/>
      <c r="SNJ136" s="547"/>
      <c r="SNK136" s="547"/>
      <c r="SNL136" s="548"/>
      <c r="SNM136" s="547"/>
      <c r="SNN136" s="547"/>
      <c r="SNO136" s="547"/>
      <c r="SNP136" s="552"/>
      <c r="SNQ136" s="548"/>
      <c r="SNR136" s="552"/>
      <c r="SNS136" s="552"/>
      <c r="SNT136" s="552"/>
      <c r="SNU136" s="552"/>
      <c r="SNV136" s="548"/>
      <c r="SNW136" s="553"/>
      <c r="SNX136" s="553"/>
      <c r="SNY136" s="553"/>
      <c r="SNZ136" s="8"/>
      <c r="SOA136" s="8"/>
      <c r="SOB136" s="458"/>
      <c r="SOC136" s="8"/>
      <c r="SOD136" s="8"/>
      <c r="SOE136" s="547"/>
      <c r="SOF136" s="547"/>
      <c r="SOG136" s="547"/>
      <c r="SOH136" s="547"/>
      <c r="SOI136" s="548"/>
      <c r="SOJ136" s="547"/>
      <c r="SOK136" s="547"/>
      <c r="SOL136" s="547"/>
      <c r="SOM136" s="547"/>
      <c r="SON136" s="548"/>
      <c r="SOO136" s="547"/>
      <c r="SOP136" s="547"/>
      <c r="SOQ136" s="547"/>
      <c r="SOR136" s="547"/>
      <c r="SOS136" s="548"/>
      <c r="SOT136" s="547"/>
      <c r="SOU136" s="547"/>
      <c r="SOV136" s="547"/>
      <c r="SOW136" s="552"/>
      <c r="SOX136" s="548"/>
      <c r="SOY136" s="552"/>
      <c r="SOZ136" s="552"/>
      <c r="SPA136" s="552"/>
      <c r="SPB136" s="552"/>
      <c r="SPC136" s="548"/>
      <c r="SPD136" s="553"/>
      <c r="SPE136" s="553"/>
      <c r="SPF136" s="553"/>
      <c r="SPG136" s="8"/>
      <c r="SPH136" s="8"/>
      <c r="SPI136" s="458"/>
      <c r="SPJ136" s="8"/>
      <c r="SPK136" s="8"/>
      <c r="SPL136" s="547"/>
      <c r="SPM136" s="547"/>
      <c r="SPN136" s="547"/>
      <c r="SPO136" s="547"/>
      <c r="SPP136" s="548"/>
      <c r="SPQ136" s="547"/>
      <c r="SPR136" s="547"/>
      <c r="SPS136" s="547"/>
      <c r="SPT136" s="547"/>
      <c r="SPU136" s="548"/>
      <c r="SPV136" s="547"/>
      <c r="SPW136" s="547"/>
      <c r="SPX136" s="547"/>
      <c r="SPY136" s="547"/>
      <c r="SPZ136" s="548"/>
      <c r="SQA136" s="547"/>
      <c r="SQB136" s="547"/>
      <c r="SQC136" s="547"/>
      <c r="SQD136" s="552"/>
      <c r="SQE136" s="548"/>
      <c r="SQF136" s="552"/>
      <c r="SQG136" s="552"/>
      <c r="SQH136" s="552"/>
      <c r="SQI136" s="552"/>
      <c r="SQJ136" s="548"/>
      <c r="SQK136" s="553"/>
      <c r="SQL136" s="553"/>
      <c r="SQM136" s="553"/>
      <c r="SQN136" s="8"/>
      <c r="SQO136" s="8"/>
      <c r="SQP136" s="458"/>
      <c r="SQQ136" s="8"/>
      <c r="SQR136" s="8"/>
      <c r="SQS136" s="547"/>
      <c r="SQT136" s="547"/>
      <c r="SQU136" s="547"/>
      <c r="SQV136" s="547"/>
      <c r="SQW136" s="548"/>
      <c r="SQX136" s="547"/>
      <c r="SQY136" s="547"/>
      <c r="SQZ136" s="547"/>
      <c r="SRA136" s="547"/>
      <c r="SRB136" s="548"/>
      <c r="SRC136" s="547"/>
      <c r="SRD136" s="547"/>
      <c r="SRE136" s="547"/>
      <c r="SRF136" s="547"/>
      <c r="SRG136" s="548"/>
      <c r="SRH136" s="547"/>
      <c r="SRI136" s="547"/>
      <c r="SRJ136" s="547"/>
      <c r="SRK136" s="552"/>
      <c r="SRL136" s="548"/>
      <c r="SRM136" s="552"/>
      <c r="SRN136" s="552"/>
      <c r="SRO136" s="552"/>
      <c r="SRP136" s="552"/>
      <c r="SRQ136" s="548"/>
      <c r="SRR136" s="553"/>
      <c r="SRS136" s="553"/>
      <c r="SRT136" s="553"/>
      <c r="SRU136" s="8"/>
      <c r="SRV136" s="8"/>
      <c r="SRW136" s="458"/>
      <c r="SRX136" s="8"/>
      <c r="SRY136" s="8"/>
      <c r="SRZ136" s="547"/>
      <c r="SSA136" s="547"/>
      <c r="SSB136" s="547"/>
      <c r="SSC136" s="547"/>
      <c r="SSD136" s="548"/>
      <c r="SSE136" s="547"/>
      <c r="SSF136" s="547"/>
      <c r="SSG136" s="547"/>
      <c r="SSH136" s="547"/>
      <c r="SSI136" s="548"/>
      <c r="SSJ136" s="547"/>
      <c r="SSK136" s="547"/>
      <c r="SSL136" s="547"/>
      <c r="SSM136" s="547"/>
      <c r="SSN136" s="548"/>
      <c r="SSO136" s="547"/>
      <c r="SSP136" s="547"/>
      <c r="SSQ136" s="547"/>
      <c r="SSR136" s="552"/>
      <c r="SSS136" s="548"/>
      <c r="SST136" s="552"/>
      <c r="SSU136" s="552"/>
      <c r="SSV136" s="552"/>
      <c r="SSW136" s="552"/>
      <c r="SSX136" s="548"/>
      <c r="SSY136" s="553"/>
      <c r="SSZ136" s="553"/>
      <c r="STA136" s="553"/>
      <c r="STB136" s="8"/>
      <c r="STC136" s="8"/>
      <c r="STD136" s="458"/>
      <c r="STE136" s="8"/>
      <c r="STF136" s="8"/>
      <c r="STG136" s="547"/>
      <c r="STH136" s="547"/>
      <c r="STI136" s="547"/>
      <c r="STJ136" s="547"/>
      <c r="STK136" s="548"/>
      <c r="STL136" s="547"/>
      <c r="STM136" s="547"/>
      <c r="STN136" s="547"/>
      <c r="STO136" s="547"/>
      <c r="STP136" s="548"/>
      <c r="STQ136" s="547"/>
      <c r="STR136" s="547"/>
      <c r="STS136" s="547"/>
      <c r="STT136" s="547"/>
      <c r="STU136" s="548"/>
      <c r="STV136" s="547"/>
      <c r="STW136" s="547"/>
      <c r="STX136" s="547"/>
      <c r="STY136" s="552"/>
      <c r="STZ136" s="548"/>
      <c r="SUA136" s="552"/>
      <c r="SUB136" s="552"/>
      <c r="SUC136" s="552"/>
      <c r="SUD136" s="552"/>
      <c r="SUE136" s="548"/>
      <c r="SUF136" s="553"/>
      <c r="SUG136" s="553"/>
      <c r="SUH136" s="553"/>
      <c r="SUI136" s="8"/>
      <c r="SUJ136" s="8"/>
      <c r="SUK136" s="458"/>
      <c r="SUL136" s="8"/>
      <c r="SUM136" s="8"/>
      <c r="SUN136" s="547"/>
      <c r="SUO136" s="547"/>
      <c r="SUP136" s="547"/>
      <c r="SUQ136" s="547"/>
      <c r="SUR136" s="548"/>
      <c r="SUS136" s="547"/>
      <c r="SUT136" s="547"/>
      <c r="SUU136" s="547"/>
      <c r="SUV136" s="547"/>
      <c r="SUW136" s="548"/>
      <c r="SUX136" s="547"/>
      <c r="SUY136" s="547"/>
      <c r="SUZ136" s="547"/>
      <c r="SVA136" s="547"/>
      <c r="SVB136" s="548"/>
      <c r="SVC136" s="547"/>
      <c r="SVD136" s="547"/>
      <c r="SVE136" s="547"/>
      <c r="SVF136" s="552"/>
      <c r="SVG136" s="548"/>
      <c r="SVH136" s="552"/>
      <c r="SVI136" s="552"/>
      <c r="SVJ136" s="552"/>
      <c r="SVK136" s="552"/>
      <c r="SVL136" s="548"/>
      <c r="SVM136" s="553"/>
      <c r="SVN136" s="553"/>
      <c r="SVO136" s="553"/>
      <c r="SVP136" s="8"/>
      <c r="SVQ136" s="8"/>
      <c r="SVR136" s="458"/>
      <c r="SVS136" s="8"/>
      <c r="SVT136" s="8"/>
      <c r="SVU136" s="547"/>
      <c r="SVV136" s="547"/>
      <c r="SVW136" s="547"/>
      <c r="SVX136" s="547"/>
      <c r="SVY136" s="548"/>
      <c r="SVZ136" s="547"/>
      <c r="SWA136" s="547"/>
      <c r="SWB136" s="547"/>
      <c r="SWC136" s="547"/>
      <c r="SWD136" s="548"/>
      <c r="SWE136" s="547"/>
      <c r="SWF136" s="547"/>
      <c r="SWG136" s="547"/>
      <c r="SWH136" s="547"/>
      <c r="SWI136" s="548"/>
      <c r="SWJ136" s="547"/>
      <c r="SWK136" s="547"/>
      <c r="SWL136" s="547"/>
      <c r="SWM136" s="552"/>
      <c r="SWN136" s="548"/>
      <c r="SWO136" s="552"/>
      <c r="SWP136" s="552"/>
      <c r="SWQ136" s="552"/>
      <c r="SWR136" s="552"/>
      <c r="SWS136" s="548"/>
      <c r="SWT136" s="553"/>
      <c r="SWU136" s="553"/>
      <c r="SWV136" s="553"/>
      <c r="SWW136" s="8"/>
      <c r="SWX136" s="8"/>
      <c r="SWY136" s="458"/>
      <c r="SWZ136" s="8"/>
      <c r="SXA136" s="8"/>
      <c r="SXB136" s="547"/>
      <c r="SXC136" s="547"/>
      <c r="SXD136" s="547"/>
      <c r="SXE136" s="547"/>
      <c r="SXF136" s="548"/>
      <c r="SXG136" s="547"/>
      <c r="SXH136" s="547"/>
      <c r="SXI136" s="547"/>
      <c r="SXJ136" s="547"/>
      <c r="SXK136" s="548"/>
      <c r="SXL136" s="547"/>
      <c r="SXM136" s="547"/>
      <c r="SXN136" s="547"/>
      <c r="SXO136" s="547"/>
      <c r="SXP136" s="548"/>
      <c r="SXQ136" s="547"/>
      <c r="SXR136" s="547"/>
      <c r="SXS136" s="547"/>
      <c r="SXT136" s="552"/>
      <c r="SXU136" s="548"/>
      <c r="SXV136" s="552"/>
      <c r="SXW136" s="552"/>
      <c r="SXX136" s="552"/>
      <c r="SXY136" s="552"/>
      <c r="SXZ136" s="548"/>
      <c r="SYA136" s="553"/>
      <c r="SYB136" s="553"/>
      <c r="SYC136" s="553"/>
      <c r="SYD136" s="8"/>
      <c r="SYE136" s="8"/>
      <c r="SYF136" s="458"/>
      <c r="SYG136" s="8"/>
      <c r="SYH136" s="8"/>
      <c r="SYI136" s="547"/>
      <c r="SYJ136" s="547"/>
      <c r="SYK136" s="547"/>
      <c r="SYL136" s="547"/>
      <c r="SYM136" s="548"/>
      <c r="SYN136" s="547"/>
      <c r="SYO136" s="547"/>
      <c r="SYP136" s="547"/>
      <c r="SYQ136" s="547"/>
      <c r="SYR136" s="548"/>
      <c r="SYS136" s="547"/>
      <c r="SYT136" s="547"/>
      <c r="SYU136" s="547"/>
      <c r="SYV136" s="547"/>
      <c r="SYW136" s="548"/>
      <c r="SYX136" s="547"/>
      <c r="SYY136" s="547"/>
      <c r="SYZ136" s="547"/>
      <c r="SZA136" s="552"/>
      <c r="SZB136" s="548"/>
      <c r="SZC136" s="552"/>
      <c r="SZD136" s="552"/>
      <c r="SZE136" s="552"/>
      <c r="SZF136" s="552"/>
      <c r="SZG136" s="548"/>
      <c r="SZH136" s="553"/>
      <c r="SZI136" s="553"/>
      <c r="SZJ136" s="553"/>
      <c r="SZK136" s="8"/>
      <c r="SZL136" s="8"/>
      <c r="SZM136" s="458"/>
      <c r="SZN136" s="8"/>
      <c r="SZO136" s="8"/>
      <c r="SZP136" s="547"/>
      <c r="SZQ136" s="547"/>
      <c r="SZR136" s="547"/>
      <c r="SZS136" s="547"/>
      <c r="SZT136" s="548"/>
      <c r="SZU136" s="547"/>
      <c r="SZV136" s="547"/>
      <c r="SZW136" s="547"/>
      <c r="SZX136" s="547"/>
      <c r="SZY136" s="548"/>
      <c r="SZZ136" s="547"/>
      <c r="TAA136" s="547"/>
      <c r="TAB136" s="547"/>
      <c r="TAC136" s="547"/>
      <c r="TAD136" s="548"/>
      <c r="TAE136" s="547"/>
      <c r="TAF136" s="547"/>
      <c r="TAG136" s="547"/>
      <c r="TAH136" s="552"/>
      <c r="TAI136" s="548"/>
      <c r="TAJ136" s="552"/>
      <c r="TAK136" s="552"/>
      <c r="TAL136" s="552"/>
      <c r="TAM136" s="552"/>
      <c r="TAN136" s="548"/>
      <c r="TAO136" s="553"/>
      <c r="TAP136" s="553"/>
      <c r="TAQ136" s="553"/>
      <c r="TAR136" s="8"/>
      <c r="TAS136" s="8"/>
      <c r="TAT136" s="458"/>
      <c r="TAU136" s="8"/>
      <c r="TAV136" s="8"/>
      <c r="TAW136" s="547"/>
      <c r="TAX136" s="547"/>
      <c r="TAY136" s="547"/>
      <c r="TAZ136" s="547"/>
      <c r="TBA136" s="548"/>
      <c r="TBB136" s="547"/>
      <c r="TBC136" s="547"/>
      <c r="TBD136" s="547"/>
      <c r="TBE136" s="547"/>
      <c r="TBF136" s="548"/>
      <c r="TBG136" s="547"/>
      <c r="TBH136" s="547"/>
      <c r="TBI136" s="547"/>
      <c r="TBJ136" s="547"/>
      <c r="TBK136" s="548"/>
      <c r="TBL136" s="547"/>
      <c r="TBM136" s="547"/>
      <c r="TBN136" s="547"/>
      <c r="TBO136" s="552"/>
      <c r="TBP136" s="548"/>
      <c r="TBQ136" s="552"/>
      <c r="TBR136" s="552"/>
      <c r="TBS136" s="552"/>
      <c r="TBT136" s="552"/>
      <c r="TBU136" s="548"/>
      <c r="TBV136" s="553"/>
      <c r="TBW136" s="553"/>
      <c r="TBX136" s="553"/>
      <c r="TBY136" s="8"/>
      <c r="TBZ136" s="8"/>
      <c r="TCA136" s="458"/>
      <c r="TCB136" s="8"/>
      <c r="TCC136" s="8"/>
      <c r="TCD136" s="547"/>
      <c r="TCE136" s="547"/>
      <c r="TCF136" s="547"/>
      <c r="TCG136" s="547"/>
      <c r="TCH136" s="548"/>
      <c r="TCI136" s="547"/>
      <c r="TCJ136" s="547"/>
      <c r="TCK136" s="547"/>
      <c r="TCL136" s="547"/>
      <c r="TCM136" s="548"/>
      <c r="TCN136" s="547"/>
      <c r="TCO136" s="547"/>
      <c r="TCP136" s="547"/>
      <c r="TCQ136" s="547"/>
      <c r="TCR136" s="548"/>
      <c r="TCS136" s="547"/>
      <c r="TCT136" s="547"/>
      <c r="TCU136" s="547"/>
      <c r="TCV136" s="552"/>
      <c r="TCW136" s="548"/>
      <c r="TCX136" s="552"/>
      <c r="TCY136" s="552"/>
      <c r="TCZ136" s="552"/>
      <c r="TDA136" s="552"/>
      <c r="TDB136" s="548"/>
      <c r="TDC136" s="553"/>
      <c r="TDD136" s="553"/>
      <c r="TDE136" s="553"/>
      <c r="TDF136" s="8"/>
      <c r="TDG136" s="8"/>
      <c r="TDH136" s="458"/>
      <c r="TDI136" s="8"/>
      <c r="TDJ136" s="8"/>
      <c r="TDK136" s="547"/>
      <c r="TDL136" s="547"/>
      <c r="TDM136" s="547"/>
      <c r="TDN136" s="547"/>
      <c r="TDO136" s="548"/>
      <c r="TDP136" s="547"/>
      <c r="TDQ136" s="547"/>
      <c r="TDR136" s="547"/>
      <c r="TDS136" s="547"/>
      <c r="TDT136" s="548"/>
      <c r="TDU136" s="547"/>
      <c r="TDV136" s="547"/>
      <c r="TDW136" s="547"/>
      <c r="TDX136" s="547"/>
      <c r="TDY136" s="548"/>
      <c r="TDZ136" s="547"/>
      <c r="TEA136" s="547"/>
      <c r="TEB136" s="547"/>
      <c r="TEC136" s="552"/>
      <c r="TED136" s="548"/>
      <c r="TEE136" s="552"/>
      <c r="TEF136" s="552"/>
      <c r="TEG136" s="552"/>
      <c r="TEH136" s="552"/>
      <c r="TEI136" s="548"/>
      <c r="TEJ136" s="553"/>
      <c r="TEK136" s="553"/>
      <c r="TEL136" s="553"/>
      <c r="TEM136" s="8"/>
      <c r="TEN136" s="8"/>
      <c r="TEO136" s="458"/>
      <c r="TEP136" s="8"/>
      <c r="TEQ136" s="8"/>
      <c r="TER136" s="547"/>
      <c r="TES136" s="547"/>
      <c r="TET136" s="547"/>
      <c r="TEU136" s="547"/>
      <c r="TEV136" s="548"/>
      <c r="TEW136" s="547"/>
      <c r="TEX136" s="547"/>
      <c r="TEY136" s="547"/>
      <c r="TEZ136" s="547"/>
      <c r="TFA136" s="548"/>
      <c r="TFB136" s="547"/>
      <c r="TFC136" s="547"/>
      <c r="TFD136" s="547"/>
      <c r="TFE136" s="547"/>
      <c r="TFF136" s="548"/>
      <c r="TFG136" s="547"/>
      <c r="TFH136" s="547"/>
      <c r="TFI136" s="547"/>
      <c r="TFJ136" s="552"/>
      <c r="TFK136" s="548"/>
      <c r="TFL136" s="552"/>
      <c r="TFM136" s="552"/>
      <c r="TFN136" s="552"/>
      <c r="TFO136" s="552"/>
      <c r="TFP136" s="548"/>
      <c r="TFQ136" s="553"/>
      <c r="TFR136" s="553"/>
      <c r="TFS136" s="553"/>
      <c r="TFT136" s="8"/>
      <c r="TFU136" s="8"/>
      <c r="TFV136" s="458"/>
      <c r="TFW136" s="8"/>
      <c r="TFX136" s="8"/>
      <c r="TFY136" s="547"/>
      <c r="TFZ136" s="547"/>
      <c r="TGA136" s="547"/>
      <c r="TGB136" s="547"/>
      <c r="TGC136" s="548"/>
      <c r="TGD136" s="547"/>
      <c r="TGE136" s="547"/>
      <c r="TGF136" s="547"/>
      <c r="TGG136" s="547"/>
      <c r="TGH136" s="548"/>
      <c r="TGI136" s="547"/>
      <c r="TGJ136" s="547"/>
      <c r="TGK136" s="547"/>
      <c r="TGL136" s="547"/>
      <c r="TGM136" s="548"/>
      <c r="TGN136" s="547"/>
      <c r="TGO136" s="547"/>
      <c r="TGP136" s="547"/>
      <c r="TGQ136" s="552"/>
      <c r="TGR136" s="548"/>
      <c r="TGS136" s="552"/>
      <c r="TGT136" s="552"/>
      <c r="TGU136" s="552"/>
      <c r="TGV136" s="552"/>
      <c r="TGW136" s="548"/>
      <c r="TGX136" s="553"/>
      <c r="TGY136" s="553"/>
      <c r="TGZ136" s="553"/>
      <c r="THA136" s="8"/>
      <c r="THB136" s="8"/>
      <c r="THC136" s="458"/>
      <c r="THD136" s="8"/>
      <c r="THE136" s="8"/>
      <c r="THF136" s="547"/>
      <c r="THG136" s="547"/>
      <c r="THH136" s="547"/>
      <c r="THI136" s="547"/>
      <c r="THJ136" s="548"/>
      <c r="THK136" s="547"/>
      <c r="THL136" s="547"/>
      <c r="THM136" s="547"/>
      <c r="THN136" s="547"/>
      <c r="THO136" s="548"/>
      <c r="THP136" s="547"/>
      <c r="THQ136" s="547"/>
      <c r="THR136" s="547"/>
      <c r="THS136" s="547"/>
      <c r="THT136" s="548"/>
      <c r="THU136" s="547"/>
      <c r="THV136" s="547"/>
      <c r="THW136" s="547"/>
      <c r="THX136" s="552"/>
      <c r="THY136" s="548"/>
      <c r="THZ136" s="552"/>
      <c r="TIA136" s="552"/>
      <c r="TIB136" s="552"/>
      <c r="TIC136" s="552"/>
      <c r="TID136" s="548"/>
      <c r="TIE136" s="553"/>
      <c r="TIF136" s="553"/>
      <c r="TIG136" s="553"/>
      <c r="TIH136" s="8"/>
      <c r="TII136" s="8"/>
      <c r="TIJ136" s="458"/>
      <c r="TIK136" s="8"/>
      <c r="TIL136" s="8"/>
      <c r="TIM136" s="547"/>
      <c r="TIN136" s="547"/>
      <c r="TIO136" s="547"/>
      <c r="TIP136" s="547"/>
      <c r="TIQ136" s="548"/>
      <c r="TIR136" s="547"/>
      <c r="TIS136" s="547"/>
      <c r="TIT136" s="547"/>
      <c r="TIU136" s="547"/>
      <c r="TIV136" s="548"/>
      <c r="TIW136" s="547"/>
      <c r="TIX136" s="547"/>
      <c r="TIY136" s="547"/>
      <c r="TIZ136" s="547"/>
      <c r="TJA136" s="548"/>
      <c r="TJB136" s="547"/>
      <c r="TJC136" s="547"/>
      <c r="TJD136" s="547"/>
      <c r="TJE136" s="552"/>
      <c r="TJF136" s="548"/>
      <c r="TJG136" s="552"/>
      <c r="TJH136" s="552"/>
      <c r="TJI136" s="552"/>
      <c r="TJJ136" s="552"/>
      <c r="TJK136" s="548"/>
      <c r="TJL136" s="553"/>
      <c r="TJM136" s="553"/>
      <c r="TJN136" s="553"/>
      <c r="TJO136" s="8"/>
      <c r="TJP136" s="8"/>
      <c r="TJQ136" s="458"/>
      <c r="TJR136" s="8"/>
      <c r="TJS136" s="8"/>
      <c r="TJT136" s="547"/>
      <c r="TJU136" s="547"/>
      <c r="TJV136" s="547"/>
      <c r="TJW136" s="547"/>
      <c r="TJX136" s="548"/>
      <c r="TJY136" s="547"/>
      <c r="TJZ136" s="547"/>
      <c r="TKA136" s="547"/>
      <c r="TKB136" s="547"/>
      <c r="TKC136" s="548"/>
      <c r="TKD136" s="547"/>
      <c r="TKE136" s="547"/>
      <c r="TKF136" s="547"/>
      <c r="TKG136" s="547"/>
      <c r="TKH136" s="548"/>
      <c r="TKI136" s="547"/>
      <c r="TKJ136" s="547"/>
      <c r="TKK136" s="547"/>
      <c r="TKL136" s="552"/>
      <c r="TKM136" s="548"/>
      <c r="TKN136" s="552"/>
      <c r="TKO136" s="552"/>
      <c r="TKP136" s="552"/>
      <c r="TKQ136" s="552"/>
      <c r="TKR136" s="548"/>
      <c r="TKS136" s="553"/>
      <c r="TKT136" s="553"/>
      <c r="TKU136" s="553"/>
      <c r="TKV136" s="8"/>
      <c r="TKW136" s="8"/>
      <c r="TKX136" s="458"/>
      <c r="TKY136" s="8"/>
      <c r="TKZ136" s="8"/>
      <c r="TLA136" s="547"/>
      <c r="TLB136" s="547"/>
      <c r="TLC136" s="547"/>
      <c r="TLD136" s="547"/>
      <c r="TLE136" s="548"/>
      <c r="TLF136" s="547"/>
      <c r="TLG136" s="547"/>
      <c r="TLH136" s="547"/>
      <c r="TLI136" s="547"/>
      <c r="TLJ136" s="548"/>
      <c r="TLK136" s="547"/>
      <c r="TLL136" s="547"/>
      <c r="TLM136" s="547"/>
      <c r="TLN136" s="547"/>
      <c r="TLO136" s="548"/>
      <c r="TLP136" s="547"/>
      <c r="TLQ136" s="547"/>
      <c r="TLR136" s="547"/>
      <c r="TLS136" s="552"/>
      <c r="TLT136" s="548"/>
      <c r="TLU136" s="552"/>
      <c r="TLV136" s="552"/>
      <c r="TLW136" s="552"/>
      <c r="TLX136" s="552"/>
      <c r="TLY136" s="548"/>
      <c r="TLZ136" s="553"/>
      <c r="TMA136" s="553"/>
      <c r="TMB136" s="553"/>
      <c r="TMC136" s="8"/>
      <c r="TMD136" s="8"/>
      <c r="TME136" s="458"/>
      <c r="TMF136" s="8"/>
      <c r="TMG136" s="8"/>
      <c r="TMH136" s="547"/>
      <c r="TMI136" s="547"/>
      <c r="TMJ136" s="547"/>
      <c r="TMK136" s="547"/>
      <c r="TML136" s="548"/>
      <c r="TMM136" s="547"/>
      <c r="TMN136" s="547"/>
      <c r="TMO136" s="547"/>
      <c r="TMP136" s="547"/>
      <c r="TMQ136" s="548"/>
      <c r="TMR136" s="547"/>
      <c r="TMS136" s="547"/>
      <c r="TMT136" s="547"/>
      <c r="TMU136" s="547"/>
      <c r="TMV136" s="548"/>
      <c r="TMW136" s="547"/>
      <c r="TMX136" s="547"/>
      <c r="TMY136" s="547"/>
      <c r="TMZ136" s="552"/>
      <c r="TNA136" s="548"/>
      <c r="TNB136" s="552"/>
      <c r="TNC136" s="552"/>
      <c r="TND136" s="552"/>
      <c r="TNE136" s="552"/>
      <c r="TNF136" s="548"/>
      <c r="TNG136" s="553"/>
      <c r="TNH136" s="553"/>
      <c r="TNI136" s="553"/>
      <c r="TNJ136" s="8"/>
      <c r="TNK136" s="8"/>
      <c r="TNL136" s="458"/>
      <c r="TNM136" s="8"/>
      <c r="TNN136" s="8"/>
      <c r="TNO136" s="547"/>
      <c r="TNP136" s="547"/>
      <c r="TNQ136" s="547"/>
      <c r="TNR136" s="547"/>
      <c r="TNS136" s="548"/>
      <c r="TNT136" s="547"/>
      <c r="TNU136" s="547"/>
      <c r="TNV136" s="547"/>
      <c r="TNW136" s="547"/>
      <c r="TNX136" s="548"/>
      <c r="TNY136" s="547"/>
      <c r="TNZ136" s="547"/>
      <c r="TOA136" s="547"/>
      <c r="TOB136" s="547"/>
      <c r="TOC136" s="548"/>
      <c r="TOD136" s="547"/>
      <c r="TOE136" s="547"/>
      <c r="TOF136" s="547"/>
      <c r="TOG136" s="552"/>
      <c r="TOH136" s="548"/>
      <c r="TOI136" s="552"/>
      <c r="TOJ136" s="552"/>
      <c r="TOK136" s="552"/>
      <c r="TOL136" s="552"/>
      <c r="TOM136" s="548"/>
      <c r="TON136" s="553"/>
      <c r="TOO136" s="553"/>
      <c r="TOP136" s="553"/>
      <c r="TOQ136" s="8"/>
      <c r="TOR136" s="8"/>
      <c r="TOS136" s="458"/>
      <c r="TOT136" s="8"/>
      <c r="TOU136" s="8"/>
      <c r="TOV136" s="547"/>
      <c r="TOW136" s="547"/>
      <c r="TOX136" s="547"/>
      <c r="TOY136" s="547"/>
      <c r="TOZ136" s="548"/>
      <c r="TPA136" s="547"/>
      <c r="TPB136" s="547"/>
      <c r="TPC136" s="547"/>
      <c r="TPD136" s="547"/>
      <c r="TPE136" s="548"/>
      <c r="TPF136" s="547"/>
      <c r="TPG136" s="547"/>
      <c r="TPH136" s="547"/>
      <c r="TPI136" s="547"/>
      <c r="TPJ136" s="548"/>
      <c r="TPK136" s="547"/>
      <c r="TPL136" s="547"/>
      <c r="TPM136" s="547"/>
      <c r="TPN136" s="552"/>
      <c r="TPO136" s="548"/>
      <c r="TPP136" s="552"/>
      <c r="TPQ136" s="552"/>
      <c r="TPR136" s="552"/>
      <c r="TPS136" s="552"/>
      <c r="TPT136" s="548"/>
      <c r="TPU136" s="553"/>
      <c r="TPV136" s="553"/>
      <c r="TPW136" s="553"/>
      <c r="TPX136" s="8"/>
      <c r="TPY136" s="8"/>
      <c r="TPZ136" s="458"/>
      <c r="TQA136" s="8"/>
      <c r="TQB136" s="8"/>
      <c r="TQC136" s="547"/>
      <c r="TQD136" s="547"/>
      <c r="TQE136" s="547"/>
      <c r="TQF136" s="547"/>
      <c r="TQG136" s="548"/>
      <c r="TQH136" s="547"/>
      <c r="TQI136" s="547"/>
      <c r="TQJ136" s="547"/>
      <c r="TQK136" s="547"/>
      <c r="TQL136" s="548"/>
      <c r="TQM136" s="547"/>
      <c r="TQN136" s="547"/>
      <c r="TQO136" s="547"/>
      <c r="TQP136" s="547"/>
      <c r="TQQ136" s="548"/>
      <c r="TQR136" s="547"/>
      <c r="TQS136" s="547"/>
      <c r="TQT136" s="547"/>
      <c r="TQU136" s="552"/>
      <c r="TQV136" s="548"/>
      <c r="TQW136" s="552"/>
      <c r="TQX136" s="552"/>
      <c r="TQY136" s="552"/>
      <c r="TQZ136" s="552"/>
      <c r="TRA136" s="548"/>
      <c r="TRB136" s="553"/>
      <c r="TRC136" s="553"/>
      <c r="TRD136" s="553"/>
      <c r="TRE136" s="8"/>
      <c r="TRF136" s="8"/>
      <c r="TRG136" s="458"/>
      <c r="TRH136" s="8"/>
      <c r="TRI136" s="8"/>
      <c r="TRJ136" s="547"/>
      <c r="TRK136" s="547"/>
      <c r="TRL136" s="547"/>
      <c r="TRM136" s="547"/>
      <c r="TRN136" s="548"/>
      <c r="TRO136" s="547"/>
      <c r="TRP136" s="547"/>
      <c r="TRQ136" s="547"/>
      <c r="TRR136" s="547"/>
      <c r="TRS136" s="548"/>
      <c r="TRT136" s="547"/>
      <c r="TRU136" s="547"/>
      <c r="TRV136" s="547"/>
      <c r="TRW136" s="547"/>
      <c r="TRX136" s="548"/>
      <c r="TRY136" s="547"/>
      <c r="TRZ136" s="547"/>
      <c r="TSA136" s="547"/>
      <c r="TSB136" s="552"/>
      <c r="TSC136" s="548"/>
      <c r="TSD136" s="552"/>
      <c r="TSE136" s="552"/>
      <c r="TSF136" s="552"/>
      <c r="TSG136" s="552"/>
      <c r="TSH136" s="548"/>
      <c r="TSI136" s="553"/>
      <c r="TSJ136" s="553"/>
      <c r="TSK136" s="553"/>
      <c r="TSL136" s="8"/>
      <c r="TSM136" s="8"/>
      <c r="TSN136" s="458"/>
      <c r="TSO136" s="8"/>
      <c r="TSP136" s="8"/>
      <c r="TSQ136" s="547"/>
      <c r="TSR136" s="547"/>
      <c r="TSS136" s="547"/>
      <c r="TST136" s="547"/>
      <c r="TSU136" s="548"/>
      <c r="TSV136" s="547"/>
      <c r="TSW136" s="547"/>
      <c r="TSX136" s="547"/>
      <c r="TSY136" s="547"/>
      <c r="TSZ136" s="548"/>
      <c r="TTA136" s="547"/>
      <c r="TTB136" s="547"/>
      <c r="TTC136" s="547"/>
      <c r="TTD136" s="547"/>
      <c r="TTE136" s="548"/>
      <c r="TTF136" s="547"/>
      <c r="TTG136" s="547"/>
      <c r="TTH136" s="547"/>
      <c r="TTI136" s="552"/>
      <c r="TTJ136" s="548"/>
      <c r="TTK136" s="552"/>
      <c r="TTL136" s="552"/>
      <c r="TTM136" s="552"/>
      <c r="TTN136" s="552"/>
      <c r="TTO136" s="548"/>
      <c r="TTP136" s="553"/>
      <c r="TTQ136" s="553"/>
      <c r="TTR136" s="553"/>
      <c r="TTS136" s="8"/>
      <c r="TTT136" s="8"/>
      <c r="TTU136" s="458"/>
      <c r="TTV136" s="8"/>
      <c r="TTW136" s="8"/>
      <c r="TTX136" s="547"/>
      <c r="TTY136" s="547"/>
      <c r="TTZ136" s="547"/>
      <c r="TUA136" s="547"/>
      <c r="TUB136" s="548"/>
      <c r="TUC136" s="547"/>
      <c r="TUD136" s="547"/>
      <c r="TUE136" s="547"/>
      <c r="TUF136" s="547"/>
      <c r="TUG136" s="548"/>
      <c r="TUH136" s="547"/>
      <c r="TUI136" s="547"/>
      <c r="TUJ136" s="547"/>
      <c r="TUK136" s="547"/>
      <c r="TUL136" s="548"/>
      <c r="TUM136" s="547"/>
      <c r="TUN136" s="547"/>
      <c r="TUO136" s="547"/>
      <c r="TUP136" s="552"/>
      <c r="TUQ136" s="548"/>
      <c r="TUR136" s="552"/>
      <c r="TUS136" s="552"/>
      <c r="TUT136" s="552"/>
      <c r="TUU136" s="552"/>
      <c r="TUV136" s="548"/>
      <c r="TUW136" s="553"/>
      <c r="TUX136" s="553"/>
      <c r="TUY136" s="553"/>
      <c r="TUZ136" s="8"/>
      <c r="TVA136" s="8"/>
      <c r="TVB136" s="458"/>
      <c r="TVC136" s="8"/>
      <c r="TVD136" s="8"/>
      <c r="TVE136" s="547"/>
      <c r="TVF136" s="547"/>
      <c r="TVG136" s="547"/>
      <c r="TVH136" s="547"/>
      <c r="TVI136" s="548"/>
      <c r="TVJ136" s="547"/>
      <c r="TVK136" s="547"/>
      <c r="TVL136" s="547"/>
      <c r="TVM136" s="547"/>
      <c r="TVN136" s="548"/>
      <c r="TVO136" s="547"/>
      <c r="TVP136" s="547"/>
      <c r="TVQ136" s="547"/>
      <c r="TVR136" s="547"/>
      <c r="TVS136" s="548"/>
      <c r="TVT136" s="547"/>
      <c r="TVU136" s="547"/>
      <c r="TVV136" s="547"/>
      <c r="TVW136" s="552"/>
      <c r="TVX136" s="548"/>
      <c r="TVY136" s="552"/>
      <c r="TVZ136" s="552"/>
      <c r="TWA136" s="552"/>
      <c r="TWB136" s="552"/>
      <c r="TWC136" s="548"/>
      <c r="TWD136" s="553"/>
      <c r="TWE136" s="553"/>
      <c r="TWF136" s="553"/>
      <c r="TWG136" s="8"/>
      <c r="TWH136" s="8"/>
      <c r="TWI136" s="458"/>
      <c r="TWJ136" s="8"/>
      <c r="TWK136" s="8"/>
      <c r="TWL136" s="547"/>
      <c r="TWM136" s="547"/>
      <c r="TWN136" s="547"/>
      <c r="TWO136" s="547"/>
      <c r="TWP136" s="548"/>
      <c r="TWQ136" s="547"/>
      <c r="TWR136" s="547"/>
      <c r="TWS136" s="547"/>
      <c r="TWT136" s="547"/>
      <c r="TWU136" s="548"/>
      <c r="TWV136" s="547"/>
      <c r="TWW136" s="547"/>
      <c r="TWX136" s="547"/>
      <c r="TWY136" s="547"/>
      <c r="TWZ136" s="548"/>
      <c r="TXA136" s="547"/>
      <c r="TXB136" s="547"/>
      <c r="TXC136" s="547"/>
      <c r="TXD136" s="552"/>
      <c r="TXE136" s="548"/>
      <c r="TXF136" s="552"/>
      <c r="TXG136" s="552"/>
      <c r="TXH136" s="552"/>
      <c r="TXI136" s="552"/>
      <c r="TXJ136" s="548"/>
      <c r="TXK136" s="553"/>
      <c r="TXL136" s="553"/>
      <c r="TXM136" s="553"/>
      <c r="TXN136" s="8"/>
      <c r="TXO136" s="8"/>
      <c r="TXP136" s="458"/>
      <c r="TXQ136" s="8"/>
      <c r="TXR136" s="8"/>
      <c r="TXS136" s="547"/>
      <c r="TXT136" s="547"/>
      <c r="TXU136" s="547"/>
      <c r="TXV136" s="547"/>
      <c r="TXW136" s="548"/>
      <c r="TXX136" s="547"/>
      <c r="TXY136" s="547"/>
      <c r="TXZ136" s="547"/>
      <c r="TYA136" s="547"/>
      <c r="TYB136" s="548"/>
      <c r="TYC136" s="547"/>
      <c r="TYD136" s="547"/>
      <c r="TYE136" s="547"/>
      <c r="TYF136" s="547"/>
      <c r="TYG136" s="548"/>
      <c r="TYH136" s="547"/>
      <c r="TYI136" s="547"/>
      <c r="TYJ136" s="547"/>
      <c r="TYK136" s="552"/>
      <c r="TYL136" s="548"/>
      <c r="TYM136" s="552"/>
      <c r="TYN136" s="552"/>
      <c r="TYO136" s="552"/>
      <c r="TYP136" s="552"/>
      <c r="TYQ136" s="548"/>
      <c r="TYR136" s="553"/>
      <c r="TYS136" s="553"/>
      <c r="TYT136" s="553"/>
      <c r="TYU136" s="8"/>
      <c r="TYV136" s="8"/>
      <c r="TYW136" s="458"/>
      <c r="TYX136" s="8"/>
      <c r="TYY136" s="8"/>
      <c r="TYZ136" s="547"/>
      <c r="TZA136" s="547"/>
      <c r="TZB136" s="547"/>
      <c r="TZC136" s="547"/>
      <c r="TZD136" s="548"/>
      <c r="TZE136" s="547"/>
      <c r="TZF136" s="547"/>
      <c r="TZG136" s="547"/>
      <c r="TZH136" s="547"/>
      <c r="TZI136" s="548"/>
      <c r="TZJ136" s="547"/>
      <c r="TZK136" s="547"/>
      <c r="TZL136" s="547"/>
      <c r="TZM136" s="547"/>
      <c r="TZN136" s="548"/>
      <c r="TZO136" s="547"/>
      <c r="TZP136" s="547"/>
      <c r="TZQ136" s="547"/>
      <c r="TZR136" s="552"/>
      <c r="TZS136" s="548"/>
      <c r="TZT136" s="552"/>
      <c r="TZU136" s="552"/>
      <c r="TZV136" s="552"/>
      <c r="TZW136" s="552"/>
      <c r="TZX136" s="548"/>
      <c r="TZY136" s="553"/>
      <c r="TZZ136" s="553"/>
      <c r="UAA136" s="553"/>
      <c r="UAB136" s="8"/>
      <c r="UAC136" s="8"/>
      <c r="UAD136" s="458"/>
      <c r="UAE136" s="8"/>
      <c r="UAF136" s="8"/>
      <c r="UAG136" s="547"/>
      <c r="UAH136" s="547"/>
      <c r="UAI136" s="547"/>
      <c r="UAJ136" s="547"/>
      <c r="UAK136" s="548"/>
      <c r="UAL136" s="547"/>
      <c r="UAM136" s="547"/>
      <c r="UAN136" s="547"/>
      <c r="UAO136" s="547"/>
      <c r="UAP136" s="548"/>
      <c r="UAQ136" s="547"/>
      <c r="UAR136" s="547"/>
      <c r="UAS136" s="547"/>
      <c r="UAT136" s="547"/>
      <c r="UAU136" s="548"/>
      <c r="UAV136" s="547"/>
      <c r="UAW136" s="547"/>
      <c r="UAX136" s="547"/>
      <c r="UAY136" s="552"/>
      <c r="UAZ136" s="548"/>
      <c r="UBA136" s="552"/>
      <c r="UBB136" s="552"/>
      <c r="UBC136" s="552"/>
      <c r="UBD136" s="552"/>
      <c r="UBE136" s="548"/>
      <c r="UBF136" s="553"/>
      <c r="UBG136" s="553"/>
      <c r="UBH136" s="553"/>
      <c r="UBI136" s="8"/>
      <c r="UBJ136" s="8"/>
      <c r="UBK136" s="458"/>
      <c r="UBL136" s="8"/>
      <c r="UBM136" s="8"/>
      <c r="UBN136" s="547"/>
      <c r="UBO136" s="547"/>
      <c r="UBP136" s="547"/>
      <c r="UBQ136" s="547"/>
      <c r="UBR136" s="548"/>
      <c r="UBS136" s="547"/>
      <c r="UBT136" s="547"/>
      <c r="UBU136" s="547"/>
      <c r="UBV136" s="547"/>
      <c r="UBW136" s="548"/>
      <c r="UBX136" s="547"/>
      <c r="UBY136" s="547"/>
      <c r="UBZ136" s="547"/>
      <c r="UCA136" s="547"/>
      <c r="UCB136" s="548"/>
      <c r="UCC136" s="547"/>
      <c r="UCD136" s="547"/>
      <c r="UCE136" s="547"/>
      <c r="UCF136" s="552"/>
      <c r="UCG136" s="548"/>
      <c r="UCH136" s="552"/>
      <c r="UCI136" s="552"/>
      <c r="UCJ136" s="552"/>
      <c r="UCK136" s="552"/>
      <c r="UCL136" s="548"/>
      <c r="UCM136" s="553"/>
      <c r="UCN136" s="553"/>
      <c r="UCO136" s="553"/>
      <c r="UCP136" s="8"/>
      <c r="UCQ136" s="8"/>
      <c r="UCR136" s="458"/>
      <c r="UCS136" s="8"/>
      <c r="UCT136" s="8"/>
      <c r="UCU136" s="547"/>
      <c r="UCV136" s="547"/>
      <c r="UCW136" s="547"/>
      <c r="UCX136" s="547"/>
      <c r="UCY136" s="548"/>
      <c r="UCZ136" s="547"/>
      <c r="UDA136" s="547"/>
      <c r="UDB136" s="547"/>
      <c r="UDC136" s="547"/>
      <c r="UDD136" s="548"/>
      <c r="UDE136" s="547"/>
      <c r="UDF136" s="547"/>
      <c r="UDG136" s="547"/>
      <c r="UDH136" s="547"/>
      <c r="UDI136" s="548"/>
      <c r="UDJ136" s="547"/>
      <c r="UDK136" s="547"/>
      <c r="UDL136" s="547"/>
      <c r="UDM136" s="552"/>
      <c r="UDN136" s="548"/>
      <c r="UDO136" s="552"/>
      <c r="UDP136" s="552"/>
      <c r="UDQ136" s="552"/>
      <c r="UDR136" s="552"/>
      <c r="UDS136" s="548"/>
      <c r="UDT136" s="553"/>
      <c r="UDU136" s="553"/>
      <c r="UDV136" s="553"/>
      <c r="UDW136" s="8"/>
      <c r="UDX136" s="8"/>
      <c r="UDY136" s="458"/>
      <c r="UDZ136" s="8"/>
      <c r="UEA136" s="8"/>
      <c r="UEB136" s="547"/>
      <c r="UEC136" s="547"/>
      <c r="UED136" s="547"/>
      <c r="UEE136" s="547"/>
      <c r="UEF136" s="548"/>
      <c r="UEG136" s="547"/>
      <c r="UEH136" s="547"/>
      <c r="UEI136" s="547"/>
      <c r="UEJ136" s="547"/>
      <c r="UEK136" s="548"/>
      <c r="UEL136" s="547"/>
      <c r="UEM136" s="547"/>
      <c r="UEN136" s="547"/>
      <c r="UEO136" s="547"/>
      <c r="UEP136" s="548"/>
      <c r="UEQ136" s="547"/>
      <c r="UER136" s="547"/>
      <c r="UES136" s="547"/>
      <c r="UET136" s="552"/>
      <c r="UEU136" s="548"/>
      <c r="UEV136" s="552"/>
      <c r="UEW136" s="552"/>
      <c r="UEX136" s="552"/>
      <c r="UEY136" s="552"/>
      <c r="UEZ136" s="548"/>
      <c r="UFA136" s="553"/>
      <c r="UFB136" s="553"/>
      <c r="UFC136" s="553"/>
      <c r="UFD136" s="8"/>
      <c r="UFE136" s="8"/>
      <c r="UFF136" s="458"/>
      <c r="UFG136" s="8"/>
      <c r="UFH136" s="8"/>
      <c r="UFI136" s="547"/>
      <c r="UFJ136" s="547"/>
      <c r="UFK136" s="547"/>
      <c r="UFL136" s="547"/>
      <c r="UFM136" s="548"/>
      <c r="UFN136" s="547"/>
      <c r="UFO136" s="547"/>
      <c r="UFP136" s="547"/>
      <c r="UFQ136" s="547"/>
      <c r="UFR136" s="548"/>
      <c r="UFS136" s="547"/>
      <c r="UFT136" s="547"/>
      <c r="UFU136" s="547"/>
      <c r="UFV136" s="547"/>
      <c r="UFW136" s="548"/>
      <c r="UFX136" s="547"/>
      <c r="UFY136" s="547"/>
      <c r="UFZ136" s="547"/>
      <c r="UGA136" s="552"/>
      <c r="UGB136" s="548"/>
      <c r="UGC136" s="552"/>
      <c r="UGD136" s="552"/>
      <c r="UGE136" s="552"/>
      <c r="UGF136" s="552"/>
      <c r="UGG136" s="548"/>
      <c r="UGH136" s="553"/>
      <c r="UGI136" s="553"/>
      <c r="UGJ136" s="553"/>
      <c r="UGK136" s="8"/>
      <c r="UGL136" s="8"/>
      <c r="UGM136" s="458"/>
      <c r="UGN136" s="8"/>
      <c r="UGO136" s="8"/>
      <c r="UGP136" s="547"/>
      <c r="UGQ136" s="547"/>
      <c r="UGR136" s="547"/>
      <c r="UGS136" s="547"/>
      <c r="UGT136" s="548"/>
      <c r="UGU136" s="547"/>
      <c r="UGV136" s="547"/>
      <c r="UGW136" s="547"/>
      <c r="UGX136" s="547"/>
      <c r="UGY136" s="548"/>
      <c r="UGZ136" s="547"/>
      <c r="UHA136" s="547"/>
      <c r="UHB136" s="547"/>
      <c r="UHC136" s="547"/>
      <c r="UHD136" s="548"/>
      <c r="UHE136" s="547"/>
      <c r="UHF136" s="547"/>
      <c r="UHG136" s="547"/>
      <c r="UHH136" s="552"/>
      <c r="UHI136" s="548"/>
      <c r="UHJ136" s="552"/>
      <c r="UHK136" s="552"/>
      <c r="UHL136" s="552"/>
      <c r="UHM136" s="552"/>
      <c r="UHN136" s="548"/>
      <c r="UHO136" s="553"/>
      <c r="UHP136" s="553"/>
      <c r="UHQ136" s="553"/>
      <c r="UHR136" s="8"/>
      <c r="UHS136" s="8"/>
      <c r="UHT136" s="458"/>
      <c r="UHU136" s="8"/>
      <c r="UHV136" s="8"/>
      <c r="UHW136" s="547"/>
      <c r="UHX136" s="547"/>
      <c r="UHY136" s="547"/>
      <c r="UHZ136" s="547"/>
      <c r="UIA136" s="548"/>
      <c r="UIB136" s="547"/>
      <c r="UIC136" s="547"/>
      <c r="UID136" s="547"/>
      <c r="UIE136" s="547"/>
      <c r="UIF136" s="548"/>
      <c r="UIG136" s="547"/>
      <c r="UIH136" s="547"/>
      <c r="UII136" s="547"/>
      <c r="UIJ136" s="547"/>
      <c r="UIK136" s="548"/>
      <c r="UIL136" s="547"/>
      <c r="UIM136" s="547"/>
      <c r="UIN136" s="547"/>
      <c r="UIO136" s="552"/>
      <c r="UIP136" s="548"/>
      <c r="UIQ136" s="552"/>
      <c r="UIR136" s="552"/>
      <c r="UIS136" s="552"/>
      <c r="UIT136" s="552"/>
      <c r="UIU136" s="548"/>
      <c r="UIV136" s="553"/>
      <c r="UIW136" s="553"/>
      <c r="UIX136" s="553"/>
      <c r="UIY136" s="8"/>
      <c r="UIZ136" s="8"/>
      <c r="UJA136" s="458"/>
      <c r="UJB136" s="8"/>
      <c r="UJC136" s="8"/>
      <c r="UJD136" s="547"/>
      <c r="UJE136" s="547"/>
      <c r="UJF136" s="547"/>
      <c r="UJG136" s="547"/>
      <c r="UJH136" s="548"/>
      <c r="UJI136" s="547"/>
      <c r="UJJ136" s="547"/>
      <c r="UJK136" s="547"/>
      <c r="UJL136" s="547"/>
      <c r="UJM136" s="548"/>
      <c r="UJN136" s="547"/>
      <c r="UJO136" s="547"/>
      <c r="UJP136" s="547"/>
      <c r="UJQ136" s="547"/>
      <c r="UJR136" s="548"/>
      <c r="UJS136" s="547"/>
      <c r="UJT136" s="547"/>
      <c r="UJU136" s="547"/>
      <c r="UJV136" s="552"/>
      <c r="UJW136" s="548"/>
      <c r="UJX136" s="552"/>
      <c r="UJY136" s="552"/>
      <c r="UJZ136" s="552"/>
      <c r="UKA136" s="552"/>
      <c r="UKB136" s="548"/>
      <c r="UKC136" s="553"/>
      <c r="UKD136" s="553"/>
      <c r="UKE136" s="553"/>
      <c r="UKF136" s="8"/>
      <c r="UKG136" s="8"/>
      <c r="UKH136" s="458"/>
      <c r="UKI136" s="8"/>
      <c r="UKJ136" s="8"/>
      <c r="UKK136" s="547"/>
      <c r="UKL136" s="547"/>
      <c r="UKM136" s="547"/>
      <c r="UKN136" s="547"/>
      <c r="UKO136" s="548"/>
      <c r="UKP136" s="547"/>
      <c r="UKQ136" s="547"/>
      <c r="UKR136" s="547"/>
      <c r="UKS136" s="547"/>
      <c r="UKT136" s="548"/>
      <c r="UKU136" s="547"/>
      <c r="UKV136" s="547"/>
      <c r="UKW136" s="547"/>
      <c r="UKX136" s="547"/>
      <c r="UKY136" s="548"/>
      <c r="UKZ136" s="547"/>
      <c r="ULA136" s="547"/>
      <c r="ULB136" s="547"/>
      <c r="ULC136" s="552"/>
      <c r="ULD136" s="548"/>
      <c r="ULE136" s="552"/>
      <c r="ULF136" s="552"/>
      <c r="ULG136" s="552"/>
      <c r="ULH136" s="552"/>
      <c r="ULI136" s="548"/>
      <c r="ULJ136" s="553"/>
      <c r="ULK136" s="553"/>
      <c r="ULL136" s="553"/>
      <c r="ULM136" s="8"/>
      <c r="ULN136" s="8"/>
      <c r="ULO136" s="458"/>
      <c r="ULP136" s="8"/>
      <c r="ULQ136" s="8"/>
      <c r="ULR136" s="547"/>
      <c r="ULS136" s="547"/>
      <c r="ULT136" s="547"/>
      <c r="ULU136" s="547"/>
      <c r="ULV136" s="548"/>
      <c r="ULW136" s="547"/>
      <c r="ULX136" s="547"/>
      <c r="ULY136" s="547"/>
      <c r="ULZ136" s="547"/>
      <c r="UMA136" s="548"/>
      <c r="UMB136" s="547"/>
      <c r="UMC136" s="547"/>
      <c r="UMD136" s="547"/>
      <c r="UME136" s="547"/>
      <c r="UMF136" s="548"/>
      <c r="UMG136" s="547"/>
      <c r="UMH136" s="547"/>
      <c r="UMI136" s="547"/>
      <c r="UMJ136" s="552"/>
      <c r="UMK136" s="548"/>
      <c r="UML136" s="552"/>
      <c r="UMM136" s="552"/>
      <c r="UMN136" s="552"/>
      <c r="UMO136" s="552"/>
      <c r="UMP136" s="548"/>
      <c r="UMQ136" s="553"/>
      <c r="UMR136" s="553"/>
      <c r="UMS136" s="553"/>
      <c r="UMT136" s="8"/>
      <c r="UMU136" s="8"/>
      <c r="UMV136" s="458"/>
      <c r="UMW136" s="8"/>
      <c r="UMX136" s="8"/>
      <c r="UMY136" s="547"/>
      <c r="UMZ136" s="547"/>
      <c r="UNA136" s="547"/>
      <c r="UNB136" s="547"/>
      <c r="UNC136" s="548"/>
      <c r="UND136" s="547"/>
      <c r="UNE136" s="547"/>
      <c r="UNF136" s="547"/>
      <c r="UNG136" s="547"/>
      <c r="UNH136" s="548"/>
      <c r="UNI136" s="547"/>
      <c r="UNJ136" s="547"/>
      <c r="UNK136" s="547"/>
      <c r="UNL136" s="547"/>
      <c r="UNM136" s="548"/>
      <c r="UNN136" s="547"/>
      <c r="UNO136" s="547"/>
      <c r="UNP136" s="547"/>
      <c r="UNQ136" s="552"/>
      <c r="UNR136" s="548"/>
      <c r="UNS136" s="552"/>
      <c r="UNT136" s="552"/>
      <c r="UNU136" s="552"/>
      <c r="UNV136" s="552"/>
      <c r="UNW136" s="548"/>
      <c r="UNX136" s="553"/>
      <c r="UNY136" s="553"/>
      <c r="UNZ136" s="553"/>
      <c r="UOA136" s="8"/>
      <c r="UOB136" s="8"/>
      <c r="UOC136" s="458"/>
      <c r="UOD136" s="8"/>
      <c r="UOE136" s="8"/>
      <c r="UOF136" s="547"/>
      <c r="UOG136" s="547"/>
      <c r="UOH136" s="547"/>
      <c r="UOI136" s="547"/>
      <c r="UOJ136" s="548"/>
      <c r="UOK136" s="547"/>
      <c r="UOL136" s="547"/>
      <c r="UOM136" s="547"/>
      <c r="UON136" s="547"/>
      <c r="UOO136" s="548"/>
      <c r="UOP136" s="547"/>
      <c r="UOQ136" s="547"/>
      <c r="UOR136" s="547"/>
      <c r="UOS136" s="547"/>
      <c r="UOT136" s="548"/>
      <c r="UOU136" s="547"/>
      <c r="UOV136" s="547"/>
      <c r="UOW136" s="547"/>
      <c r="UOX136" s="552"/>
      <c r="UOY136" s="548"/>
      <c r="UOZ136" s="552"/>
      <c r="UPA136" s="552"/>
      <c r="UPB136" s="552"/>
      <c r="UPC136" s="552"/>
      <c r="UPD136" s="548"/>
      <c r="UPE136" s="553"/>
      <c r="UPF136" s="553"/>
      <c r="UPG136" s="553"/>
      <c r="UPH136" s="8"/>
      <c r="UPI136" s="8"/>
      <c r="UPJ136" s="458"/>
      <c r="UPK136" s="8"/>
      <c r="UPL136" s="8"/>
      <c r="UPM136" s="547"/>
      <c r="UPN136" s="547"/>
      <c r="UPO136" s="547"/>
      <c r="UPP136" s="547"/>
      <c r="UPQ136" s="548"/>
      <c r="UPR136" s="547"/>
      <c r="UPS136" s="547"/>
      <c r="UPT136" s="547"/>
      <c r="UPU136" s="547"/>
      <c r="UPV136" s="548"/>
      <c r="UPW136" s="547"/>
      <c r="UPX136" s="547"/>
      <c r="UPY136" s="547"/>
      <c r="UPZ136" s="547"/>
      <c r="UQA136" s="548"/>
      <c r="UQB136" s="547"/>
      <c r="UQC136" s="547"/>
      <c r="UQD136" s="547"/>
      <c r="UQE136" s="552"/>
      <c r="UQF136" s="548"/>
      <c r="UQG136" s="552"/>
      <c r="UQH136" s="552"/>
      <c r="UQI136" s="552"/>
      <c r="UQJ136" s="552"/>
      <c r="UQK136" s="548"/>
      <c r="UQL136" s="553"/>
      <c r="UQM136" s="553"/>
      <c r="UQN136" s="553"/>
      <c r="UQO136" s="8"/>
      <c r="UQP136" s="8"/>
      <c r="UQQ136" s="458"/>
      <c r="UQR136" s="8"/>
      <c r="UQS136" s="8"/>
      <c r="UQT136" s="547"/>
      <c r="UQU136" s="547"/>
      <c r="UQV136" s="547"/>
      <c r="UQW136" s="547"/>
      <c r="UQX136" s="548"/>
      <c r="UQY136" s="547"/>
      <c r="UQZ136" s="547"/>
      <c r="URA136" s="547"/>
      <c r="URB136" s="547"/>
      <c r="URC136" s="548"/>
      <c r="URD136" s="547"/>
      <c r="URE136" s="547"/>
      <c r="URF136" s="547"/>
      <c r="URG136" s="547"/>
      <c r="URH136" s="548"/>
      <c r="URI136" s="547"/>
      <c r="URJ136" s="547"/>
      <c r="URK136" s="547"/>
      <c r="URL136" s="552"/>
      <c r="URM136" s="548"/>
      <c r="URN136" s="552"/>
      <c r="URO136" s="552"/>
      <c r="URP136" s="552"/>
      <c r="URQ136" s="552"/>
      <c r="URR136" s="548"/>
      <c r="URS136" s="553"/>
      <c r="URT136" s="553"/>
      <c r="URU136" s="553"/>
      <c r="URV136" s="8"/>
      <c r="URW136" s="8"/>
      <c r="URX136" s="458"/>
      <c r="URY136" s="8"/>
      <c r="URZ136" s="8"/>
      <c r="USA136" s="547"/>
      <c r="USB136" s="547"/>
      <c r="USC136" s="547"/>
      <c r="USD136" s="547"/>
      <c r="USE136" s="548"/>
      <c r="USF136" s="547"/>
      <c r="USG136" s="547"/>
      <c r="USH136" s="547"/>
      <c r="USI136" s="547"/>
      <c r="USJ136" s="548"/>
      <c r="USK136" s="547"/>
      <c r="USL136" s="547"/>
      <c r="USM136" s="547"/>
      <c r="USN136" s="547"/>
      <c r="USO136" s="548"/>
      <c r="USP136" s="547"/>
      <c r="USQ136" s="547"/>
      <c r="USR136" s="547"/>
      <c r="USS136" s="552"/>
      <c r="UST136" s="548"/>
      <c r="USU136" s="552"/>
      <c r="USV136" s="552"/>
      <c r="USW136" s="552"/>
      <c r="USX136" s="552"/>
      <c r="USY136" s="548"/>
      <c r="USZ136" s="553"/>
      <c r="UTA136" s="553"/>
      <c r="UTB136" s="553"/>
      <c r="UTC136" s="8"/>
      <c r="UTD136" s="8"/>
      <c r="UTE136" s="458"/>
      <c r="UTF136" s="8"/>
      <c r="UTG136" s="8"/>
      <c r="UTH136" s="547"/>
      <c r="UTI136" s="547"/>
      <c r="UTJ136" s="547"/>
      <c r="UTK136" s="547"/>
      <c r="UTL136" s="548"/>
      <c r="UTM136" s="547"/>
      <c r="UTN136" s="547"/>
      <c r="UTO136" s="547"/>
      <c r="UTP136" s="547"/>
      <c r="UTQ136" s="548"/>
      <c r="UTR136" s="547"/>
      <c r="UTS136" s="547"/>
      <c r="UTT136" s="547"/>
      <c r="UTU136" s="547"/>
      <c r="UTV136" s="548"/>
      <c r="UTW136" s="547"/>
      <c r="UTX136" s="547"/>
      <c r="UTY136" s="547"/>
      <c r="UTZ136" s="552"/>
      <c r="UUA136" s="548"/>
      <c r="UUB136" s="552"/>
      <c r="UUC136" s="552"/>
      <c r="UUD136" s="552"/>
      <c r="UUE136" s="552"/>
      <c r="UUF136" s="548"/>
      <c r="UUG136" s="553"/>
      <c r="UUH136" s="553"/>
      <c r="UUI136" s="553"/>
      <c r="UUJ136" s="8"/>
      <c r="UUK136" s="8"/>
      <c r="UUL136" s="458"/>
      <c r="UUM136" s="8"/>
      <c r="UUN136" s="8"/>
      <c r="UUO136" s="547"/>
      <c r="UUP136" s="547"/>
      <c r="UUQ136" s="547"/>
      <c r="UUR136" s="547"/>
      <c r="UUS136" s="548"/>
      <c r="UUT136" s="547"/>
      <c r="UUU136" s="547"/>
      <c r="UUV136" s="547"/>
      <c r="UUW136" s="547"/>
      <c r="UUX136" s="548"/>
      <c r="UUY136" s="547"/>
      <c r="UUZ136" s="547"/>
      <c r="UVA136" s="547"/>
      <c r="UVB136" s="547"/>
      <c r="UVC136" s="548"/>
      <c r="UVD136" s="547"/>
      <c r="UVE136" s="547"/>
      <c r="UVF136" s="547"/>
      <c r="UVG136" s="552"/>
      <c r="UVH136" s="548"/>
      <c r="UVI136" s="552"/>
      <c r="UVJ136" s="552"/>
      <c r="UVK136" s="552"/>
      <c r="UVL136" s="552"/>
      <c r="UVM136" s="548"/>
      <c r="UVN136" s="553"/>
      <c r="UVO136" s="553"/>
      <c r="UVP136" s="553"/>
      <c r="UVQ136" s="8"/>
      <c r="UVR136" s="8"/>
      <c r="UVS136" s="458"/>
      <c r="UVT136" s="8"/>
      <c r="UVU136" s="8"/>
      <c r="UVV136" s="547"/>
      <c r="UVW136" s="547"/>
      <c r="UVX136" s="547"/>
      <c r="UVY136" s="547"/>
      <c r="UVZ136" s="548"/>
      <c r="UWA136" s="547"/>
      <c r="UWB136" s="547"/>
      <c r="UWC136" s="547"/>
      <c r="UWD136" s="547"/>
      <c r="UWE136" s="548"/>
      <c r="UWF136" s="547"/>
      <c r="UWG136" s="547"/>
      <c r="UWH136" s="547"/>
      <c r="UWI136" s="547"/>
      <c r="UWJ136" s="548"/>
      <c r="UWK136" s="547"/>
      <c r="UWL136" s="547"/>
      <c r="UWM136" s="547"/>
      <c r="UWN136" s="552"/>
      <c r="UWO136" s="548"/>
      <c r="UWP136" s="552"/>
      <c r="UWQ136" s="552"/>
      <c r="UWR136" s="552"/>
      <c r="UWS136" s="552"/>
      <c r="UWT136" s="548"/>
      <c r="UWU136" s="553"/>
      <c r="UWV136" s="553"/>
      <c r="UWW136" s="553"/>
      <c r="UWX136" s="8"/>
      <c r="UWY136" s="8"/>
      <c r="UWZ136" s="458"/>
      <c r="UXA136" s="8"/>
      <c r="UXB136" s="8"/>
      <c r="UXC136" s="547"/>
      <c r="UXD136" s="547"/>
      <c r="UXE136" s="547"/>
      <c r="UXF136" s="547"/>
      <c r="UXG136" s="548"/>
      <c r="UXH136" s="547"/>
      <c r="UXI136" s="547"/>
      <c r="UXJ136" s="547"/>
      <c r="UXK136" s="547"/>
      <c r="UXL136" s="548"/>
      <c r="UXM136" s="547"/>
      <c r="UXN136" s="547"/>
      <c r="UXO136" s="547"/>
      <c r="UXP136" s="547"/>
      <c r="UXQ136" s="548"/>
      <c r="UXR136" s="547"/>
      <c r="UXS136" s="547"/>
      <c r="UXT136" s="547"/>
      <c r="UXU136" s="552"/>
      <c r="UXV136" s="548"/>
      <c r="UXW136" s="552"/>
      <c r="UXX136" s="552"/>
      <c r="UXY136" s="552"/>
      <c r="UXZ136" s="552"/>
      <c r="UYA136" s="548"/>
      <c r="UYB136" s="553"/>
      <c r="UYC136" s="553"/>
      <c r="UYD136" s="553"/>
      <c r="UYE136" s="8"/>
      <c r="UYF136" s="8"/>
      <c r="UYG136" s="458"/>
      <c r="UYH136" s="8"/>
      <c r="UYI136" s="8"/>
      <c r="UYJ136" s="547"/>
      <c r="UYK136" s="547"/>
      <c r="UYL136" s="547"/>
      <c r="UYM136" s="547"/>
      <c r="UYN136" s="548"/>
      <c r="UYO136" s="547"/>
      <c r="UYP136" s="547"/>
      <c r="UYQ136" s="547"/>
      <c r="UYR136" s="547"/>
      <c r="UYS136" s="548"/>
      <c r="UYT136" s="547"/>
      <c r="UYU136" s="547"/>
      <c r="UYV136" s="547"/>
      <c r="UYW136" s="547"/>
      <c r="UYX136" s="548"/>
      <c r="UYY136" s="547"/>
      <c r="UYZ136" s="547"/>
      <c r="UZA136" s="547"/>
      <c r="UZB136" s="552"/>
      <c r="UZC136" s="548"/>
      <c r="UZD136" s="552"/>
      <c r="UZE136" s="552"/>
      <c r="UZF136" s="552"/>
      <c r="UZG136" s="552"/>
      <c r="UZH136" s="548"/>
      <c r="UZI136" s="553"/>
      <c r="UZJ136" s="553"/>
      <c r="UZK136" s="553"/>
      <c r="UZL136" s="8"/>
      <c r="UZM136" s="8"/>
      <c r="UZN136" s="458"/>
      <c r="UZO136" s="8"/>
      <c r="UZP136" s="8"/>
      <c r="UZQ136" s="547"/>
      <c r="UZR136" s="547"/>
      <c r="UZS136" s="547"/>
      <c r="UZT136" s="547"/>
      <c r="UZU136" s="548"/>
      <c r="UZV136" s="547"/>
      <c r="UZW136" s="547"/>
      <c r="UZX136" s="547"/>
      <c r="UZY136" s="547"/>
      <c r="UZZ136" s="548"/>
      <c r="VAA136" s="547"/>
      <c r="VAB136" s="547"/>
      <c r="VAC136" s="547"/>
      <c r="VAD136" s="547"/>
      <c r="VAE136" s="548"/>
      <c r="VAF136" s="547"/>
      <c r="VAG136" s="547"/>
      <c r="VAH136" s="547"/>
      <c r="VAI136" s="552"/>
      <c r="VAJ136" s="548"/>
      <c r="VAK136" s="552"/>
      <c r="VAL136" s="552"/>
      <c r="VAM136" s="552"/>
      <c r="VAN136" s="552"/>
      <c r="VAO136" s="548"/>
      <c r="VAP136" s="553"/>
      <c r="VAQ136" s="553"/>
      <c r="VAR136" s="553"/>
      <c r="VAS136" s="8"/>
      <c r="VAT136" s="8"/>
      <c r="VAU136" s="458"/>
      <c r="VAV136" s="8"/>
      <c r="VAW136" s="8"/>
      <c r="VAX136" s="547"/>
      <c r="VAY136" s="547"/>
      <c r="VAZ136" s="547"/>
      <c r="VBA136" s="547"/>
      <c r="VBB136" s="548"/>
      <c r="VBC136" s="547"/>
      <c r="VBD136" s="547"/>
      <c r="VBE136" s="547"/>
      <c r="VBF136" s="547"/>
      <c r="VBG136" s="548"/>
      <c r="VBH136" s="547"/>
      <c r="VBI136" s="547"/>
      <c r="VBJ136" s="547"/>
      <c r="VBK136" s="547"/>
      <c r="VBL136" s="548"/>
      <c r="VBM136" s="547"/>
      <c r="VBN136" s="547"/>
      <c r="VBO136" s="547"/>
      <c r="VBP136" s="552"/>
      <c r="VBQ136" s="548"/>
      <c r="VBR136" s="552"/>
      <c r="VBS136" s="552"/>
      <c r="VBT136" s="552"/>
      <c r="VBU136" s="552"/>
      <c r="VBV136" s="548"/>
      <c r="VBW136" s="553"/>
      <c r="VBX136" s="553"/>
      <c r="VBY136" s="553"/>
      <c r="VBZ136" s="8"/>
      <c r="VCA136" s="8"/>
      <c r="VCB136" s="458"/>
      <c r="VCC136" s="8"/>
      <c r="VCD136" s="8"/>
      <c r="VCE136" s="547"/>
      <c r="VCF136" s="547"/>
      <c r="VCG136" s="547"/>
      <c r="VCH136" s="547"/>
      <c r="VCI136" s="548"/>
      <c r="VCJ136" s="547"/>
      <c r="VCK136" s="547"/>
      <c r="VCL136" s="547"/>
      <c r="VCM136" s="547"/>
      <c r="VCN136" s="548"/>
      <c r="VCO136" s="547"/>
      <c r="VCP136" s="547"/>
      <c r="VCQ136" s="547"/>
      <c r="VCR136" s="547"/>
      <c r="VCS136" s="548"/>
      <c r="VCT136" s="547"/>
      <c r="VCU136" s="547"/>
      <c r="VCV136" s="547"/>
      <c r="VCW136" s="552"/>
      <c r="VCX136" s="548"/>
      <c r="VCY136" s="552"/>
      <c r="VCZ136" s="552"/>
      <c r="VDA136" s="552"/>
      <c r="VDB136" s="552"/>
      <c r="VDC136" s="548"/>
      <c r="VDD136" s="553"/>
      <c r="VDE136" s="553"/>
      <c r="VDF136" s="553"/>
      <c r="VDG136" s="8"/>
      <c r="VDH136" s="8"/>
      <c r="VDI136" s="458"/>
      <c r="VDJ136" s="8"/>
      <c r="VDK136" s="8"/>
      <c r="VDL136" s="547"/>
      <c r="VDM136" s="547"/>
      <c r="VDN136" s="547"/>
      <c r="VDO136" s="547"/>
      <c r="VDP136" s="548"/>
      <c r="VDQ136" s="547"/>
      <c r="VDR136" s="547"/>
      <c r="VDS136" s="547"/>
      <c r="VDT136" s="547"/>
      <c r="VDU136" s="548"/>
      <c r="VDV136" s="547"/>
      <c r="VDW136" s="547"/>
      <c r="VDX136" s="547"/>
      <c r="VDY136" s="547"/>
      <c r="VDZ136" s="548"/>
      <c r="VEA136" s="547"/>
      <c r="VEB136" s="547"/>
      <c r="VEC136" s="547"/>
      <c r="VED136" s="552"/>
      <c r="VEE136" s="548"/>
      <c r="VEF136" s="552"/>
      <c r="VEG136" s="552"/>
      <c r="VEH136" s="552"/>
      <c r="VEI136" s="552"/>
      <c r="VEJ136" s="548"/>
      <c r="VEK136" s="553"/>
      <c r="VEL136" s="553"/>
      <c r="VEM136" s="553"/>
      <c r="VEN136" s="8"/>
      <c r="VEO136" s="8"/>
      <c r="VEP136" s="458"/>
      <c r="VEQ136" s="8"/>
      <c r="VER136" s="8"/>
      <c r="VES136" s="547"/>
      <c r="VET136" s="547"/>
      <c r="VEU136" s="547"/>
      <c r="VEV136" s="547"/>
      <c r="VEW136" s="548"/>
      <c r="VEX136" s="547"/>
      <c r="VEY136" s="547"/>
      <c r="VEZ136" s="547"/>
      <c r="VFA136" s="547"/>
      <c r="VFB136" s="548"/>
      <c r="VFC136" s="547"/>
      <c r="VFD136" s="547"/>
      <c r="VFE136" s="547"/>
      <c r="VFF136" s="547"/>
      <c r="VFG136" s="548"/>
      <c r="VFH136" s="547"/>
      <c r="VFI136" s="547"/>
      <c r="VFJ136" s="547"/>
      <c r="VFK136" s="552"/>
      <c r="VFL136" s="548"/>
      <c r="VFM136" s="552"/>
      <c r="VFN136" s="552"/>
      <c r="VFO136" s="552"/>
      <c r="VFP136" s="552"/>
      <c r="VFQ136" s="548"/>
      <c r="VFR136" s="553"/>
      <c r="VFS136" s="553"/>
      <c r="VFT136" s="553"/>
      <c r="VFU136" s="8"/>
      <c r="VFV136" s="8"/>
      <c r="VFW136" s="458"/>
      <c r="VFX136" s="8"/>
      <c r="VFY136" s="8"/>
      <c r="VFZ136" s="547"/>
      <c r="VGA136" s="547"/>
      <c r="VGB136" s="547"/>
      <c r="VGC136" s="547"/>
      <c r="VGD136" s="548"/>
      <c r="VGE136" s="547"/>
      <c r="VGF136" s="547"/>
      <c r="VGG136" s="547"/>
      <c r="VGH136" s="547"/>
      <c r="VGI136" s="548"/>
      <c r="VGJ136" s="547"/>
      <c r="VGK136" s="547"/>
      <c r="VGL136" s="547"/>
      <c r="VGM136" s="547"/>
      <c r="VGN136" s="548"/>
      <c r="VGO136" s="547"/>
      <c r="VGP136" s="547"/>
      <c r="VGQ136" s="547"/>
      <c r="VGR136" s="552"/>
      <c r="VGS136" s="548"/>
      <c r="VGT136" s="552"/>
      <c r="VGU136" s="552"/>
      <c r="VGV136" s="552"/>
      <c r="VGW136" s="552"/>
      <c r="VGX136" s="548"/>
      <c r="VGY136" s="553"/>
      <c r="VGZ136" s="553"/>
      <c r="VHA136" s="553"/>
      <c r="VHB136" s="8"/>
      <c r="VHC136" s="8"/>
      <c r="VHD136" s="458"/>
      <c r="VHE136" s="8"/>
      <c r="VHF136" s="8"/>
      <c r="VHG136" s="547"/>
      <c r="VHH136" s="547"/>
      <c r="VHI136" s="547"/>
      <c r="VHJ136" s="547"/>
      <c r="VHK136" s="548"/>
      <c r="VHL136" s="547"/>
      <c r="VHM136" s="547"/>
      <c r="VHN136" s="547"/>
      <c r="VHO136" s="547"/>
      <c r="VHP136" s="548"/>
      <c r="VHQ136" s="547"/>
      <c r="VHR136" s="547"/>
      <c r="VHS136" s="547"/>
      <c r="VHT136" s="547"/>
      <c r="VHU136" s="548"/>
      <c r="VHV136" s="547"/>
      <c r="VHW136" s="547"/>
      <c r="VHX136" s="547"/>
      <c r="VHY136" s="552"/>
      <c r="VHZ136" s="548"/>
      <c r="VIA136" s="552"/>
      <c r="VIB136" s="552"/>
      <c r="VIC136" s="552"/>
      <c r="VID136" s="552"/>
      <c r="VIE136" s="548"/>
      <c r="VIF136" s="553"/>
      <c r="VIG136" s="553"/>
      <c r="VIH136" s="553"/>
      <c r="VII136" s="8"/>
      <c r="VIJ136" s="8"/>
      <c r="VIK136" s="458"/>
      <c r="VIL136" s="8"/>
      <c r="VIM136" s="8"/>
      <c r="VIN136" s="547"/>
      <c r="VIO136" s="547"/>
      <c r="VIP136" s="547"/>
      <c r="VIQ136" s="547"/>
      <c r="VIR136" s="548"/>
      <c r="VIS136" s="547"/>
      <c r="VIT136" s="547"/>
      <c r="VIU136" s="547"/>
      <c r="VIV136" s="547"/>
      <c r="VIW136" s="548"/>
      <c r="VIX136" s="547"/>
      <c r="VIY136" s="547"/>
      <c r="VIZ136" s="547"/>
      <c r="VJA136" s="547"/>
      <c r="VJB136" s="548"/>
      <c r="VJC136" s="547"/>
      <c r="VJD136" s="547"/>
      <c r="VJE136" s="547"/>
      <c r="VJF136" s="552"/>
      <c r="VJG136" s="548"/>
      <c r="VJH136" s="552"/>
      <c r="VJI136" s="552"/>
      <c r="VJJ136" s="552"/>
      <c r="VJK136" s="552"/>
      <c r="VJL136" s="548"/>
      <c r="VJM136" s="553"/>
      <c r="VJN136" s="553"/>
      <c r="VJO136" s="553"/>
      <c r="VJP136" s="8"/>
      <c r="VJQ136" s="8"/>
      <c r="VJR136" s="458"/>
      <c r="VJS136" s="8"/>
      <c r="VJT136" s="8"/>
      <c r="VJU136" s="547"/>
      <c r="VJV136" s="547"/>
      <c r="VJW136" s="547"/>
      <c r="VJX136" s="547"/>
      <c r="VJY136" s="548"/>
      <c r="VJZ136" s="547"/>
      <c r="VKA136" s="547"/>
      <c r="VKB136" s="547"/>
      <c r="VKC136" s="547"/>
      <c r="VKD136" s="548"/>
      <c r="VKE136" s="547"/>
      <c r="VKF136" s="547"/>
      <c r="VKG136" s="547"/>
      <c r="VKH136" s="547"/>
      <c r="VKI136" s="548"/>
      <c r="VKJ136" s="547"/>
      <c r="VKK136" s="547"/>
      <c r="VKL136" s="547"/>
      <c r="VKM136" s="552"/>
      <c r="VKN136" s="548"/>
      <c r="VKO136" s="552"/>
      <c r="VKP136" s="552"/>
      <c r="VKQ136" s="552"/>
      <c r="VKR136" s="552"/>
      <c r="VKS136" s="548"/>
      <c r="VKT136" s="553"/>
      <c r="VKU136" s="553"/>
      <c r="VKV136" s="553"/>
      <c r="VKW136" s="8"/>
      <c r="VKX136" s="8"/>
      <c r="VKY136" s="458"/>
      <c r="VKZ136" s="8"/>
      <c r="VLA136" s="8"/>
      <c r="VLB136" s="547"/>
      <c r="VLC136" s="547"/>
      <c r="VLD136" s="547"/>
      <c r="VLE136" s="547"/>
      <c r="VLF136" s="548"/>
      <c r="VLG136" s="547"/>
      <c r="VLH136" s="547"/>
      <c r="VLI136" s="547"/>
      <c r="VLJ136" s="547"/>
      <c r="VLK136" s="548"/>
      <c r="VLL136" s="547"/>
      <c r="VLM136" s="547"/>
      <c r="VLN136" s="547"/>
      <c r="VLO136" s="547"/>
      <c r="VLP136" s="548"/>
      <c r="VLQ136" s="547"/>
      <c r="VLR136" s="547"/>
      <c r="VLS136" s="547"/>
      <c r="VLT136" s="552"/>
      <c r="VLU136" s="548"/>
      <c r="VLV136" s="552"/>
      <c r="VLW136" s="552"/>
      <c r="VLX136" s="552"/>
      <c r="VLY136" s="552"/>
      <c r="VLZ136" s="548"/>
      <c r="VMA136" s="553"/>
      <c r="VMB136" s="553"/>
      <c r="VMC136" s="553"/>
      <c r="VMD136" s="8"/>
      <c r="VME136" s="8"/>
      <c r="VMF136" s="458"/>
      <c r="VMG136" s="8"/>
      <c r="VMH136" s="8"/>
      <c r="VMI136" s="547"/>
      <c r="VMJ136" s="547"/>
      <c r="VMK136" s="547"/>
      <c r="VML136" s="547"/>
      <c r="VMM136" s="548"/>
      <c r="VMN136" s="547"/>
      <c r="VMO136" s="547"/>
      <c r="VMP136" s="547"/>
      <c r="VMQ136" s="547"/>
      <c r="VMR136" s="548"/>
      <c r="VMS136" s="547"/>
      <c r="VMT136" s="547"/>
      <c r="VMU136" s="547"/>
      <c r="VMV136" s="547"/>
      <c r="VMW136" s="548"/>
      <c r="VMX136" s="547"/>
      <c r="VMY136" s="547"/>
      <c r="VMZ136" s="547"/>
      <c r="VNA136" s="552"/>
      <c r="VNB136" s="548"/>
      <c r="VNC136" s="552"/>
      <c r="VND136" s="552"/>
      <c r="VNE136" s="552"/>
      <c r="VNF136" s="552"/>
      <c r="VNG136" s="548"/>
      <c r="VNH136" s="553"/>
      <c r="VNI136" s="553"/>
      <c r="VNJ136" s="553"/>
      <c r="VNK136" s="8"/>
      <c r="VNL136" s="8"/>
      <c r="VNM136" s="458"/>
      <c r="VNN136" s="8"/>
      <c r="VNO136" s="8"/>
      <c r="VNP136" s="547"/>
      <c r="VNQ136" s="547"/>
      <c r="VNR136" s="547"/>
      <c r="VNS136" s="547"/>
      <c r="VNT136" s="548"/>
      <c r="VNU136" s="547"/>
      <c r="VNV136" s="547"/>
      <c r="VNW136" s="547"/>
      <c r="VNX136" s="547"/>
      <c r="VNY136" s="548"/>
      <c r="VNZ136" s="547"/>
      <c r="VOA136" s="547"/>
      <c r="VOB136" s="547"/>
      <c r="VOC136" s="547"/>
      <c r="VOD136" s="548"/>
      <c r="VOE136" s="547"/>
      <c r="VOF136" s="547"/>
      <c r="VOG136" s="547"/>
      <c r="VOH136" s="552"/>
      <c r="VOI136" s="548"/>
      <c r="VOJ136" s="552"/>
      <c r="VOK136" s="552"/>
      <c r="VOL136" s="552"/>
      <c r="VOM136" s="552"/>
      <c r="VON136" s="548"/>
      <c r="VOO136" s="553"/>
      <c r="VOP136" s="553"/>
      <c r="VOQ136" s="553"/>
      <c r="VOR136" s="8"/>
      <c r="VOS136" s="8"/>
      <c r="VOT136" s="458"/>
      <c r="VOU136" s="8"/>
      <c r="VOV136" s="8"/>
      <c r="VOW136" s="547"/>
      <c r="VOX136" s="547"/>
      <c r="VOY136" s="547"/>
      <c r="VOZ136" s="547"/>
      <c r="VPA136" s="548"/>
      <c r="VPB136" s="547"/>
      <c r="VPC136" s="547"/>
      <c r="VPD136" s="547"/>
      <c r="VPE136" s="547"/>
      <c r="VPF136" s="548"/>
      <c r="VPG136" s="547"/>
      <c r="VPH136" s="547"/>
      <c r="VPI136" s="547"/>
      <c r="VPJ136" s="547"/>
      <c r="VPK136" s="548"/>
      <c r="VPL136" s="547"/>
      <c r="VPM136" s="547"/>
      <c r="VPN136" s="547"/>
      <c r="VPO136" s="552"/>
      <c r="VPP136" s="548"/>
      <c r="VPQ136" s="552"/>
      <c r="VPR136" s="552"/>
      <c r="VPS136" s="552"/>
      <c r="VPT136" s="552"/>
      <c r="VPU136" s="548"/>
      <c r="VPV136" s="553"/>
      <c r="VPW136" s="553"/>
      <c r="VPX136" s="553"/>
      <c r="VPY136" s="8"/>
      <c r="VPZ136" s="8"/>
      <c r="VQA136" s="458"/>
      <c r="VQB136" s="8"/>
      <c r="VQC136" s="8"/>
      <c r="VQD136" s="547"/>
      <c r="VQE136" s="547"/>
      <c r="VQF136" s="547"/>
      <c r="VQG136" s="547"/>
      <c r="VQH136" s="548"/>
      <c r="VQI136" s="547"/>
      <c r="VQJ136" s="547"/>
      <c r="VQK136" s="547"/>
      <c r="VQL136" s="547"/>
      <c r="VQM136" s="548"/>
      <c r="VQN136" s="547"/>
      <c r="VQO136" s="547"/>
      <c r="VQP136" s="547"/>
      <c r="VQQ136" s="547"/>
      <c r="VQR136" s="548"/>
      <c r="VQS136" s="547"/>
      <c r="VQT136" s="547"/>
      <c r="VQU136" s="547"/>
      <c r="VQV136" s="552"/>
      <c r="VQW136" s="548"/>
      <c r="VQX136" s="552"/>
      <c r="VQY136" s="552"/>
      <c r="VQZ136" s="552"/>
      <c r="VRA136" s="552"/>
      <c r="VRB136" s="548"/>
      <c r="VRC136" s="553"/>
      <c r="VRD136" s="553"/>
      <c r="VRE136" s="553"/>
      <c r="VRF136" s="8"/>
      <c r="VRG136" s="8"/>
      <c r="VRH136" s="458"/>
      <c r="VRI136" s="8"/>
      <c r="VRJ136" s="8"/>
      <c r="VRK136" s="547"/>
      <c r="VRL136" s="547"/>
      <c r="VRM136" s="547"/>
      <c r="VRN136" s="547"/>
      <c r="VRO136" s="548"/>
      <c r="VRP136" s="547"/>
      <c r="VRQ136" s="547"/>
      <c r="VRR136" s="547"/>
      <c r="VRS136" s="547"/>
      <c r="VRT136" s="548"/>
      <c r="VRU136" s="547"/>
      <c r="VRV136" s="547"/>
      <c r="VRW136" s="547"/>
      <c r="VRX136" s="547"/>
      <c r="VRY136" s="548"/>
      <c r="VRZ136" s="547"/>
      <c r="VSA136" s="547"/>
      <c r="VSB136" s="547"/>
      <c r="VSC136" s="552"/>
      <c r="VSD136" s="548"/>
      <c r="VSE136" s="552"/>
      <c r="VSF136" s="552"/>
      <c r="VSG136" s="552"/>
      <c r="VSH136" s="552"/>
      <c r="VSI136" s="548"/>
      <c r="VSJ136" s="553"/>
      <c r="VSK136" s="553"/>
      <c r="VSL136" s="553"/>
      <c r="VSM136" s="8"/>
      <c r="VSN136" s="8"/>
      <c r="VSO136" s="458"/>
      <c r="VSP136" s="8"/>
      <c r="VSQ136" s="8"/>
      <c r="VSR136" s="547"/>
      <c r="VSS136" s="547"/>
      <c r="VST136" s="547"/>
      <c r="VSU136" s="547"/>
      <c r="VSV136" s="548"/>
      <c r="VSW136" s="547"/>
      <c r="VSX136" s="547"/>
      <c r="VSY136" s="547"/>
      <c r="VSZ136" s="547"/>
      <c r="VTA136" s="548"/>
      <c r="VTB136" s="547"/>
      <c r="VTC136" s="547"/>
      <c r="VTD136" s="547"/>
      <c r="VTE136" s="547"/>
      <c r="VTF136" s="548"/>
      <c r="VTG136" s="547"/>
      <c r="VTH136" s="547"/>
      <c r="VTI136" s="547"/>
      <c r="VTJ136" s="552"/>
      <c r="VTK136" s="548"/>
      <c r="VTL136" s="552"/>
      <c r="VTM136" s="552"/>
      <c r="VTN136" s="552"/>
      <c r="VTO136" s="552"/>
      <c r="VTP136" s="548"/>
      <c r="VTQ136" s="553"/>
      <c r="VTR136" s="553"/>
      <c r="VTS136" s="553"/>
      <c r="VTT136" s="8"/>
      <c r="VTU136" s="8"/>
      <c r="VTV136" s="458"/>
      <c r="VTW136" s="8"/>
      <c r="VTX136" s="8"/>
      <c r="VTY136" s="547"/>
      <c r="VTZ136" s="547"/>
      <c r="VUA136" s="547"/>
      <c r="VUB136" s="547"/>
      <c r="VUC136" s="548"/>
      <c r="VUD136" s="547"/>
      <c r="VUE136" s="547"/>
      <c r="VUF136" s="547"/>
      <c r="VUG136" s="547"/>
      <c r="VUH136" s="548"/>
      <c r="VUI136" s="547"/>
      <c r="VUJ136" s="547"/>
      <c r="VUK136" s="547"/>
      <c r="VUL136" s="547"/>
      <c r="VUM136" s="548"/>
      <c r="VUN136" s="547"/>
      <c r="VUO136" s="547"/>
      <c r="VUP136" s="547"/>
      <c r="VUQ136" s="552"/>
      <c r="VUR136" s="548"/>
      <c r="VUS136" s="552"/>
      <c r="VUT136" s="552"/>
      <c r="VUU136" s="552"/>
      <c r="VUV136" s="552"/>
      <c r="VUW136" s="548"/>
      <c r="VUX136" s="553"/>
      <c r="VUY136" s="553"/>
      <c r="VUZ136" s="553"/>
      <c r="VVA136" s="8"/>
      <c r="VVB136" s="8"/>
      <c r="VVC136" s="458"/>
      <c r="VVD136" s="8"/>
      <c r="VVE136" s="8"/>
      <c r="VVF136" s="547"/>
      <c r="VVG136" s="547"/>
      <c r="VVH136" s="547"/>
      <c r="VVI136" s="547"/>
      <c r="VVJ136" s="548"/>
      <c r="VVK136" s="547"/>
      <c r="VVL136" s="547"/>
      <c r="VVM136" s="547"/>
      <c r="VVN136" s="547"/>
      <c r="VVO136" s="548"/>
      <c r="VVP136" s="547"/>
      <c r="VVQ136" s="547"/>
      <c r="VVR136" s="547"/>
      <c r="VVS136" s="547"/>
      <c r="VVT136" s="548"/>
      <c r="VVU136" s="547"/>
      <c r="VVV136" s="547"/>
      <c r="VVW136" s="547"/>
      <c r="VVX136" s="552"/>
      <c r="VVY136" s="548"/>
      <c r="VVZ136" s="552"/>
      <c r="VWA136" s="552"/>
      <c r="VWB136" s="552"/>
      <c r="VWC136" s="552"/>
      <c r="VWD136" s="548"/>
      <c r="VWE136" s="553"/>
      <c r="VWF136" s="553"/>
      <c r="VWG136" s="553"/>
      <c r="VWH136" s="8"/>
      <c r="VWI136" s="8"/>
      <c r="VWJ136" s="458"/>
      <c r="VWK136" s="8"/>
      <c r="VWL136" s="8"/>
      <c r="VWM136" s="547"/>
      <c r="VWN136" s="547"/>
      <c r="VWO136" s="547"/>
      <c r="VWP136" s="547"/>
      <c r="VWQ136" s="548"/>
      <c r="VWR136" s="547"/>
      <c r="VWS136" s="547"/>
      <c r="VWT136" s="547"/>
      <c r="VWU136" s="547"/>
      <c r="VWV136" s="548"/>
      <c r="VWW136" s="547"/>
      <c r="VWX136" s="547"/>
      <c r="VWY136" s="547"/>
      <c r="VWZ136" s="547"/>
      <c r="VXA136" s="548"/>
      <c r="VXB136" s="547"/>
      <c r="VXC136" s="547"/>
      <c r="VXD136" s="547"/>
      <c r="VXE136" s="552"/>
      <c r="VXF136" s="548"/>
      <c r="VXG136" s="552"/>
      <c r="VXH136" s="552"/>
      <c r="VXI136" s="552"/>
      <c r="VXJ136" s="552"/>
      <c r="VXK136" s="548"/>
      <c r="VXL136" s="553"/>
      <c r="VXM136" s="553"/>
      <c r="VXN136" s="553"/>
      <c r="VXO136" s="8"/>
      <c r="VXP136" s="8"/>
      <c r="VXQ136" s="458"/>
      <c r="VXR136" s="8"/>
      <c r="VXS136" s="8"/>
      <c r="VXT136" s="547"/>
      <c r="VXU136" s="547"/>
      <c r="VXV136" s="547"/>
      <c r="VXW136" s="547"/>
      <c r="VXX136" s="548"/>
      <c r="VXY136" s="547"/>
      <c r="VXZ136" s="547"/>
      <c r="VYA136" s="547"/>
      <c r="VYB136" s="547"/>
      <c r="VYC136" s="548"/>
      <c r="VYD136" s="547"/>
      <c r="VYE136" s="547"/>
      <c r="VYF136" s="547"/>
      <c r="VYG136" s="547"/>
      <c r="VYH136" s="548"/>
      <c r="VYI136" s="547"/>
      <c r="VYJ136" s="547"/>
      <c r="VYK136" s="547"/>
      <c r="VYL136" s="552"/>
      <c r="VYM136" s="548"/>
      <c r="VYN136" s="552"/>
      <c r="VYO136" s="552"/>
      <c r="VYP136" s="552"/>
      <c r="VYQ136" s="552"/>
      <c r="VYR136" s="548"/>
      <c r="VYS136" s="553"/>
      <c r="VYT136" s="553"/>
      <c r="VYU136" s="553"/>
      <c r="VYV136" s="8"/>
      <c r="VYW136" s="8"/>
      <c r="VYX136" s="458"/>
      <c r="VYY136" s="8"/>
      <c r="VYZ136" s="8"/>
      <c r="VZA136" s="547"/>
      <c r="VZB136" s="547"/>
      <c r="VZC136" s="547"/>
      <c r="VZD136" s="547"/>
      <c r="VZE136" s="548"/>
      <c r="VZF136" s="547"/>
      <c r="VZG136" s="547"/>
      <c r="VZH136" s="547"/>
      <c r="VZI136" s="547"/>
      <c r="VZJ136" s="548"/>
      <c r="VZK136" s="547"/>
      <c r="VZL136" s="547"/>
      <c r="VZM136" s="547"/>
      <c r="VZN136" s="547"/>
      <c r="VZO136" s="548"/>
      <c r="VZP136" s="547"/>
      <c r="VZQ136" s="547"/>
      <c r="VZR136" s="547"/>
      <c r="VZS136" s="552"/>
      <c r="VZT136" s="548"/>
      <c r="VZU136" s="552"/>
      <c r="VZV136" s="552"/>
      <c r="VZW136" s="552"/>
      <c r="VZX136" s="552"/>
      <c r="VZY136" s="548"/>
      <c r="VZZ136" s="553"/>
      <c r="WAA136" s="553"/>
      <c r="WAB136" s="553"/>
      <c r="WAC136" s="8"/>
      <c r="WAD136" s="8"/>
      <c r="WAE136" s="458"/>
      <c r="WAF136" s="8"/>
      <c r="WAG136" s="8"/>
      <c r="WAH136" s="547"/>
      <c r="WAI136" s="547"/>
      <c r="WAJ136" s="547"/>
      <c r="WAK136" s="547"/>
      <c r="WAL136" s="548"/>
      <c r="WAM136" s="547"/>
      <c r="WAN136" s="547"/>
      <c r="WAO136" s="547"/>
      <c r="WAP136" s="547"/>
      <c r="WAQ136" s="548"/>
      <c r="WAR136" s="547"/>
      <c r="WAS136" s="547"/>
      <c r="WAT136" s="547"/>
      <c r="WAU136" s="547"/>
      <c r="WAV136" s="548"/>
      <c r="WAW136" s="547"/>
      <c r="WAX136" s="547"/>
      <c r="WAY136" s="547"/>
      <c r="WAZ136" s="552"/>
      <c r="WBA136" s="548"/>
      <c r="WBB136" s="552"/>
      <c r="WBC136" s="552"/>
      <c r="WBD136" s="552"/>
      <c r="WBE136" s="552"/>
      <c r="WBF136" s="548"/>
      <c r="WBG136" s="553"/>
      <c r="WBH136" s="553"/>
      <c r="WBI136" s="553"/>
      <c r="WBJ136" s="8"/>
      <c r="WBK136" s="8"/>
      <c r="WBL136" s="458"/>
      <c r="WBM136" s="8"/>
      <c r="WBN136" s="8"/>
      <c r="WBO136" s="547"/>
      <c r="WBP136" s="547"/>
      <c r="WBQ136" s="547"/>
      <c r="WBR136" s="547"/>
      <c r="WBS136" s="548"/>
      <c r="WBT136" s="547"/>
      <c r="WBU136" s="547"/>
      <c r="WBV136" s="547"/>
      <c r="WBW136" s="547"/>
      <c r="WBX136" s="548"/>
      <c r="WBY136" s="547"/>
      <c r="WBZ136" s="547"/>
      <c r="WCA136" s="547"/>
      <c r="WCB136" s="547"/>
      <c r="WCC136" s="548"/>
      <c r="WCD136" s="547"/>
      <c r="WCE136" s="547"/>
      <c r="WCF136" s="547"/>
      <c r="WCG136" s="552"/>
      <c r="WCH136" s="548"/>
      <c r="WCI136" s="552"/>
      <c r="WCJ136" s="552"/>
      <c r="WCK136" s="552"/>
      <c r="WCL136" s="552"/>
      <c r="WCM136" s="548"/>
      <c r="WCN136" s="553"/>
      <c r="WCO136" s="553"/>
      <c r="WCP136" s="553"/>
      <c r="WCQ136" s="8"/>
      <c r="WCR136" s="8"/>
      <c r="WCS136" s="458"/>
      <c r="WCT136" s="8"/>
      <c r="WCU136" s="8"/>
      <c r="WCV136" s="547"/>
      <c r="WCW136" s="547"/>
      <c r="WCX136" s="547"/>
      <c r="WCY136" s="547"/>
      <c r="WCZ136" s="548"/>
      <c r="WDA136" s="547"/>
      <c r="WDB136" s="547"/>
      <c r="WDC136" s="547"/>
      <c r="WDD136" s="547"/>
      <c r="WDE136" s="548"/>
      <c r="WDF136" s="547"/>
      <c r="WDG136" s="547"/>
      <c r="WDH136" s="547"/>
      <c r="WDI136" s="547"/>
      <c r="WDJ136" s="548"/>
      <c r="WDK136" s="547"/>
      <c r="WDL136" s="547"/>
      <c r="WDM136" s="547"/>
      <c r="WDN136" s="552"/>
      <c r="WDO136" s="548"/>
      <c r="WDP136" s="552"/>
      <c r="WDQ136" s="552"/>
      <c r="WDR136" s="552"/>
      <c r="WDS136" s="552"/>
      <c r="WDT136" s="548"/>
      <c r="WDU136" s="553"/>
      <c r="WDV136" s="553"/>
      <c r="WDW136" s="553"/>
      <c r="WDX136" s="8"/>
      <c r="WDY136" s="8"/>
      <c r="WDZ136" s="458"/>
      <c r="WEA136" s="8"/>
      <c r="WEB136" s="8"/>
      <c r="WEC136" s="547"/>
      <c r="WED136" s="547"/>
      <c r="WEE136" s="547"/>
      <c r="WEF136" s="547"/>
      <c r="WEG136" s="548"/>
      <c r="WEH136" s="547"/>
      <c r="WEI136" s="547"/>
      <c r="WEJ136" s="547"/>
      <c r="WEK136" s="547"/>
      <c r="WEL136" s="548"/>
      <c r="WEM136" s="547"/>
      <c r="WEN136" s="547"/>
      <c r="WEO136" s="547"/>
      <c r="WEP136" s="547"/>
      <c r="WEQ136" s="548"/>
      <c r="WER136" s="547"/>
      <c r="WES136" s="547"/>
      <c r="WET136" s="547"/>
      <c r="WEU136" s="552"/>
      <c r="WEV136" s="548"/>
      <c r="WEW136" s="552"/>
      <c r="WEX136" s="552"/>
      <c r="WEY136" s="552"/>
      <c r="WEZ136" s="552"/>
      <c r="WFA136" s="548"/>
      <c r="WFB136" s="553"/>
      <c r="WFC136" s="553"/>
      <c r="WFD136" s="553"/>
      <c r="WFE136" s="8"/>
      <c r="WFF136" s="8"/>
      <c r="WFG136" s="458"/>
      <c r="WFH136" s="8"/>
      <c r="WFI136" s="8"/>
      <c r="WFJ136" s="547"/>
      <c r="WFK136" s="547"/>
      <c r="WFL136" s="547"/>
      <c r="WFM136" s="547"/>
      <c r="WFN136" s="548"/>
      <c r="WFO136" s="547"/>
      <c r="WFP136" s="547"/>
      <c r="WFQ136" s="547"/>
      <c r="WFR136" s="547"/>
      <c r="WFS136" s="548"/>
      <c r="WFT136" s="547"/>
      <c r="WFU136" s="547"/>
      <c r="WFV136" s="547"/>
      <c r="WFW136" s="547"/>
      <c r="WFX136" s="548"/>
      <c r="WFY136" s="547"/>
      <c r="WFZ136" s="547"/>
      <c r="WGA136" s="547"/>
      <c r="WGB136" s="552"/>
      <c r="WGC136" s="548"/>
      <c r="WGD136" s="552"/>
      <c r="WGE136" s="552"/>
      <c r="WGF136" s="552"/>
      <c r="WGG136" s="552"/>
      <c r="WGH136" s="548"/>
      <c r="WGI136" s="553"/>
      <c r="WGJ136" s="553"/>
      <c r="WGK136" s="553"/>
      <c r="WGL136" s="8"/>
      <c r="WGM136" s="8"/>
      <c r="WGN136" s="458"/>
      <c r="WGO136" s="8"/>
      <c r="WGP136" s="8"/>
      <c r="WGQ136" s="547"/>
      <c r="WGR136" s="547"/>
      <c r="WGS136" s="547"/>
      <c r="WGT136" s="547"/>
      <c r="WGU136" s="548"/>
      <c r="WGV136" s="547"/>
      <c r="WGW136" s="547"/>
      <c r="WGX136" s="547"/>
      <c r="WGY136" s="547"/>
      <c r="WGZ136" s="548"/>
      <c r="WHA136" s="547"/>
      <c r="WHB136" s="547"/>
      <c r="WHC136" s="547"/>
      <c r="WHD136" s="547"/>
      <c r="WHE136" s="548"/>
      <c r="WHF136" s="547"/>
      <c r="WHG136" s="547"/>
      <c r="WHH136" s="547"/>
      <c r="WHI136" s="552"/>
      <c r="WHJ136" s="548"/>
      <c r="WHK136" s="552"/>
      <c r="WHL136" s="552"/>
      <c r="WHM136" s="552"/>
      <c r="WHN136" s="552"/>
      <c r="WHO136" s="548"/>
      <c r="WHP136" s="553"/>
      <c r="WHQ136" s="553"/>
      <c r="WHR136" s="553"/>
      <c r="WHS136" s="8"/>
      <c r="WHT136" s="8"/>
      <c r="WHU136" s="458"/>
      <c r="WHV136" s="8"/>
      <c r="WHW136" s="8"/>
      <c r="WHX136" s="547"/>
      <c r="WHY136" s="547"/>
      <c r="WHZ136" s="547"/>
      <c r="WIA136" s="547"/>
      <c r="WIB136" s="548"/>
      <c r="WIC136" s="547"/>
      <c r="WID136" s="547"/>
      <c r="WIE136" s="547"/>
      <c r="WIF136" s="547"/>
      <c r="WIG136" s="548"/>
      <c r="WIH136" s="547"/>
      <c r="WII136" s="547"/>
      <c r="WIJ136" s="547"/>
      <c r="WIK136" s="547"/>
      <c r="WIL136" s="548"/>
      <c r="WIM136" s="547"/>
      <c r="WIN136" s="547"/>
      <c r="WIO136" s="547"/>
      <c r="WIP136" s="552"/>
      <c r="WIQ136" s="548"/>
      <c r="WIR136" s="552"/>
      <c r="WIS136" s="552"/>
      <c r="WIT136" s="552"/>
      <c r="WIU136" s="552"/>
      <c r="WIV136" s="548"/>
      <c r="WIW136" s="553"/>
      <c r="WIX136" s="553"/>
      <c r="WIY136" s="553"/>
      <c r="WIZ136" s="8"/>
      <c r="WJA136" s="8"/>
      <c r="WJB136" s="458"/>
      <c r="WJC136" s="8"/>
      <c r="WJD136" s="8"/>
      <c r="WJE136" s="547"/>
      <c r="WJF136" s="547"/>
      <c r="WJG136" s="547"/>
      <c r="WJH136" s="547"/>
      <c r="WJI136" s="548"/>
      <c r="WJJ136" s="547"/>
      <c r="WJK136" s="547"/>
      <c r="WJL136" s="547"/>
      <c r="WJM136" s="547"/>
      <c r="WJN136" s="548"/>
      <c r="WJO136" s="547"/>
      <c r="WJP136" s="547"/>
      <c r="WJQ136" s="547"/>
      <c r="WJR136" s="547"/>
      <c r="WJS136" s="548"/>
      <c r="WJT136" s="547"/>
      <c r="WJU136" s="547"/>
      <c r="WJV136" s="547"/>
      <c r="WJW136" s="552"/>
      <c r="WJX136" s="548"/>
      <c r="WJY136" s="552"/>
      <c r="WJZ136" s="552"/>
      <c r="WKA136" s="552"/>
      <c r="WKB136" s="552"/>
      <c r="WKC136" s="548"/>
      <c r="WKD136" s="553"/>
      <c r="WKE136" s="553"/>
      <c r="WKF136" s="553"/>
      <c r="WKG136" s="8"/>
      <c r="WKH136" s="8"/>
      <c r="WKI136" s="458"/>
      <c r="WKJ136" s="8"/>
      <c r="WKK136" s="8"/>
      <c r="WKL136" s="547"/>
      <c r="WKM136" s="547"/>
      <c r="WKN136" s="547"/>
      <c r="WKO136" s="547"/>
      <c r="WKP136" s="548"/>
      <c r="WKQ136" s="547"/>
      <c r="WKR136" s="547"/>
      <c r="WKS136" s="547"/>
      <c r="WKT136" s="547"/>
      <c r="WKU136" s="548"/>
      <c r="WKV136" s="547"/>
      <c r="WKW136" s="547"/>
      <c r="WKX136" s="547"/>
      <c r="WKY136" s="547"/>
      <c r="WKZ136" s="548"/>
      <c r="WLA136" s="547"/>
      <c r="WLB136" s="547"/>
      <c r="WLC136" s="547"/>
      <c r="WLD136" s="552"/>
      <c r="WLE136" s="548"/>
      <c r="WLF136" s="552"/>
      <c r="WLG136" s="552"/>
      <c r="WLH136" s="552"/>
      <c r="WLI136" s="552"/>
      <c r="WLJ136" s="548"/>
      <c r="WLK136" s="553"/>
      <c r="WLL136" s="553"/>
      <c r="WLM136" s="553"/>
      <c r="WLN136" s="8"/>
      <c r="WLO136" s="8"/>
      <c r="WLP136" s="458"/>
      <c r="WLQ136" s="8"/>
      <c r="WLR136" s="8"/>
      <c r="WLS136" s="547"/>
      <c r="WLT136" s="547"/>
      <c r="WLU136" s="547"/>
      <c r="WLV136" s="547"/>
      <c r="WLW136" s="548"/>
      <c r="WLX136" s="547"/>
      <c r="WLY136" s="547"/>
      <c r="WLZ136" s="547"/>
      <c r="WMA136" s="547"/>
      <c r="WMB136" s="548"/>
      <c r="WMC136" s="547"/>
      <c r="WMD136" s="547"/>
      <c r="WME136" s="547"/>
      <c r="WMF136" s="547"/>
      <c r="WMG136" s="548"/>
      <c r="WMH136" s="547"/>
      <c r="WMI136" s="547"/>
      <c r="WMJ136" s="547"/>
      <c r="WMK136" s="552"/>
      <c r="WML136" s="548"/>
      <c r="WMM136" s="552"/>
      <c r="WMN136" s="552"/>
      <c r="WMO136" s="552"/>
      <c r="WMP136" s="552"/>
      <c r="WMQ136" s="548"/>
      <c r="WMR136" s="553"/>
      <c r="WMS136" s="553"/>
      <c r="WMT136" s="553"/>
      <c r="WMU136" s="8"/>
      <c r="WMV136" s="8"/>
      <c r="WMW136" s="458"/>
      <c r="WMX136" s="8"/>
      <c r="WMY136" s="8"/>
      <c r="WMZ136" s="547"/>
      <c r="WNA136" s="547"/>
      <c r="WNB136" s="547"/>
      <c r="WNC136" s="547"/>
      <c r="WND136" s="548"/>
      <c r="WNE136" s="547"/>
      <c r="WNF136" s="547"/>
      <c r="WNG136" s="547"/>
      <c r="WNH136" s="547"/>
      <c r="WNI136" s="548"/>
      <c r="WNJ136" s="547"/>
      <c r="WNK136" s="547"/>
      <c r="WNL136" s="547"/>
      <c r="WNM136" s="547"/>
      <c r="WNN136" s="548"/>
      <c r="WNO136" s="547"/>
      <c r="WNP136" s="547"/>
      <c r="WNQ136" s="547"/>
      <c r="WNR136" s="552"/>
      <c r="WNS136" s="548"/>
      <c r="WNT136" s="552"/>
      <c r="WNU136" s="552"/>
      <c r="WNV136" s="552"/>
      <c r="WNW136" s="552"/>
      <c r="WNX136" s="548"/>
      <c r="WNY136" s="553"/>
      <c r="WNZ136" s="553"/>
      <c r="WOA136" s="553"/>
      <c r="WOB136" s="8"/>
      <c r="WOC136" s="8"/>
      <c r="WOD136" s="458"/>
      <c r="WOE136" s="8"/>
      <c r="WOF136" s="8"/>
      <c r="WOG136" s="547"/>
      <c r="WOH136" s="547"/>
      <c r="WOI136" s="547"/>
      <c r="WOJ136" s="547"/>
      <c r="WOK136" s="548"/>
      <c r="WOL136" s="547"/>
      <c r="WOM136" s="547"/>
      <c r="WON136" s="547"/>
      <c r="WOO136" s="547"/>
      <c r="WOP136" s="548"/>
      <c r="WOQ136" s="547"/>
      <c r="WOR136" s="547"/>
      <c r="WOS136" s="547"/>
      <c r="WOT136" s="547"/>
      <c r="WOU136" s="548"/>
      <c r="WOV136" s="547"/>
      <c r="WOW136" s="547"/>
      <c r="WOX136" s="547"/>
      <c r="WOY136" s="552"/>
      <c r="WOZ136" s="548"/>
      <c r="WPA136" s="552"/>
      <c r="WPB136" s="552"/>
      <c r="WPC136" s="552"/>
      <c r="WPD136" s="552"/>
      <c r="WPE136" s="548"/>
      <c r="WPF136" s="553"/>
      <c r="WPG136" s="553"/>
      <c r="WPH136" s="553"/>
      <c r="WPI136" s="8"/>
      <c r="WPJ136" s="8"/>
      <c r="WPK136" s="458"/>
      <c r="WPL136" s="8"/>
      <c r="WPM136" s="8"/>
      <c r="WPN136" s="547"/>
      <c r="WPO136" s="547"/>
      <c r="WPP136" s="547"/>
      <c r="WPQ136" s="547"/>
      <c r="WPR136" s="548"/>
      <c r="WPS136" s="547"/>
      <c r="WPT136" s="547"/>
      <c r="WPU136" s="547"/>
      <c r="WPV136" s="547"/>
      <c r="WPW136" s="548"/>
      <c r="WPX136" s="547"/>
      <c r="WPY136" s="547"/>
      <c r="WPZ136" s="547"/>
      <c r="WQA136" s="547"/>
      <c r="WQB136" s="548"/>
      <c r="WQC136" s="547"/>
      <c r="WQD136" s="547"/>
      <c r="WQE136" s="547"/>
      <c r="WQF136" s="552"/>
      <c r="WQG136" s="548"/>
      <c r="WQH136" s="552"/>
      <c r="WQI136" s="552"/>
      <c r="WQJ136" s="552"/>
      <c r="WQK136" s="552"/>
      <c r="WQL136" s="548"/>
      <c r="WQM136" s="553"/>
      <c r="WQN136" s="553"/>
      <c r="WQO136" s="553"/>
      <c r="WQP136" s="8"/>
      <c r="WQQ136" s="8"/>
      <c r="WQR136" s="458"/>
      <c r="WQS136" s="8"/>
      <c r="WQT136" s="8"/>
      <c r="WQU136" s="547"/>
      <c r="WQV136" s="547"/>
      <c r="WQW136" s="547"/>
      <c r="WQX136" s="547"/>
      <c r="WQY136" s="548"/>
      <c r="WQZ136" s="547"/>
      <c r="WRA136" s="547"/>
      <c r="WRB136" s="547"/>
      <c r="WRC136" s="547"/>
      <c r="WRD136" s="548"/>
      <c r="WRE136" s="547"/>
      <c r="WRF136" s="547"/>
      <c r="WRG136" s="547"/>
      <c r="WRH136" s="547"/>
      <c r="WRI136" s="548"/>
      <c r="WRJ136" s="547"/>
      <c r="WRK136" s="547"/>
      <c r="WRL136" s="547"/>
      <c r="WRM136" s="552"/>
      <c r="WRN136" s="548"/>
      <c r="WRO136" s="552"/>
      <c r="WRP136" s="552"/>
      <c r="WRQ136" s="552"/>
      <c r="WRR136" s="552"/>
      <c r="WRS136" s="548"/>
      <c r="WRT136" s="553"/>
      <c r="WRU136" s="553"/>
      <c r="WRV136" s="553"/>
      <c r="WRW136" s="8"/>
      <c r="WRX136" s="8"/>
      <c r="WRY136" s="458"/>
      <c r="WRZ136" s="8"/>
      <c r="WSA136" s="8"/>
      <c r="WSB136" s="547"/>
      <c r="WSC136" s="547"/>
      <c r="WSD136" s="547"/>
      <c r="WSE136" s="547"/>
      <c r="WSF136" s="548"/>
      <c r="WSG136" s="547"/>
      <c r="WSH136" s="547"/>
      <c r="WSI136" s="547"/>
      <c r="WSJ136" s="547"/>
      <c r="WSK136" s="548"/>
      <c r="WSL136" s="547"/>
      <c r="WSM136" s="547"/>
      <c r="WSN136" s="547"/>
      <c r="WSO136" s="547"/>
      <c r="WSP136" s="548"/>
      <c r="WSQ136" s="547"/>
      <c r="WSR136" s="547"/>
      <c r="WSS136" s="547"/>
      <c r="WST136" s="552"/>
      <c r="WSU136" s="548"/>
      <c r="WSV136" s="552"/>
      <c r="WSW136" s="552"/>
      <c r="WSX136" s="552"/>
      <c r="WSY136" s="552"/>
      <c r="WSZ136" s="548"/>
      <c r="WTA136" s="553"/>
      <c r="WTB136" s="553"/>
      <c r="WTC136" s="553"/>
      <c r="WTD136" s="8"/>
      <c r="WTE136" s="8"/>
      <c r="WTF136" s="458"/>
      <c r="WTG136" s="8"/>
      <c r="WTH136" s="8"/>
      <c r="WTI136" s="547"/>
      <c r="WTJ136" s="547"/>
      <c r="WTK136" s="547"/>
      <c r="WTL136" s="547"/>
      <c r="WTM136" s="548"/>
      <c r="WTN136" s="547"/>
      <c r="WTO136" s="547"/>
      <c r="WTP136" s="547"/>
      <c r="WTQ136" s="547"/>
      <c r="WTR136" s="548"/>
      <c r="WTS136" s="547"/>
      <c r="WTT136" s="547"/>
      <c r="WTU136" s="547"/>
      <c r="WTV136" s="547"/>
      <c r="WTW136" s="548"/>
      <c r="WTX136" s="547"/>
      <c r="WTY136" s="547"/>
      <c r="WTZ136" s="547"/>
      <c r="WUA136" s="552"/>
      <c r="WUB136" s="548"/>
      <c r="WUC136" s="552"/>
      <c r="WUD136" s="552"/>
      <c r="WUE136" s="552"/>
      <c r="WUF136" s="552"/>
      <c r="WUG136" s="548"/>
      <c r="WUH136" s="553"/>
      <c r="WUI136" s="553"/>
      <c r="WUJ136" s="553"/>
      <c r="WUK136" s="8"/>
      <c r="WUL136" s="8"/>
      <c r="WUM136" s="458"/>
      <c r="WUN136" s="8"/>
      <c r="WUO136" s="8"/>
      <c r="WUP136" s="547"/>
      <c r="WUQ136" s="547"/>
      <c r="WUR136" s="547"/>
      <c r="WUS136" s="547"/>
      <c r="WUT136" s="548"/>
      <c r="WUU136" s="547"/>
      <c r="WUV136" s="547"/>
      <c r="WUW136" s="547"/>
      <c r="WUX136" s="547"/>
      <c r="WUY136" s="548"/>
      <c r="WUZ136" s="547"/>
      <c r="WVA136" s="547"/>
      <c r="WVB136" s="547"/>
      <c r="WVC136" s="547"/>
      <c r="WVD136" s="548"/>
      <c r="WVE136" s="547"/>
      <c r="WVF136" s="547"/>
      <c r="WVG136" s="547"/>
      <c r="WVH136" s="552"/>
      <c r="WVI136" s="548"/>
      <c r="WVJ136" s="552"/>
      <c r="WVK136" s="552"/>
      <c r="WVL136" s="552"/>
      <c r="WVM136" s="552"/>
      <c r="WVN136" s="548"/>
      <c r="WVO136" s="553"/>
      <c r="WVP136" s="553"/>
      <c r="WVQ136" s="553"/>
      <c r="WVR136" s="8"/>
      <c r="WVS136" s="8"/>
      <c r="WVT136" s="458"/>
      <c r="WVU136" s="8"/>
      <c r="WVV136" s="8"/>
      <c r="WVW136" s="547"/>
      <c r="WVX136" s="547"/>
      <c r="WVY136" s="547"/>
      <c r="WVZ136" s="547"/>
      <c r="WWA136" s="548"/>
      <c r="WWB136" s="547"/>
      <c r="WWC136" s="547"/>
      <c r="WWD136" s="547"/>
      <c r="WWE136" s="547"/>
      <c r="WWF136" s="548"/>
      <c r="WWG136" s="547"/>
      <c r="WWH136" s="547"/>
      <c r="WWI136" s="547"/>
      <c r="WWJ136" s="547"/>
      <c r="WWK136" s="548"/>
      <c r="WWL136" s="547"/>
      <c r="WWM136" s="547"/>
      <c r="WWN136" s="547"/>
      <c r="WWO136" s="552"/>
      <c r="WWP136" s="548"/>
      <c r="WWQ136" s="552"/>
      <c r="WWR136" s="552"/>
      <c r="WWS136" s="552"/>
      <c r="WWT136" s="552"/>
      <c r="WWU136" s="548"/>
      <c r="WWV136" s="553"/>
      <c r="WWW136" s="553"/>
      <c r="WWX136" s="553"/>
      <c r="WWY136" s="8"/>
      <c r="WWZ136" s="8"/>
      <c r="WXA136" s="458"/>
      <c r="WXB136" s="8"/>
      <c r="WXC136" s="8"/>
      <c r="WXD136" s="547"/>
      <c r="WXE136" s="547"/>
      <c r="WXF136" s="547"/>
      <c r="WXG136" s="547"/>
      <c r="WXH136" s="548"/>
      <c r="WXI136" s="547"/>
      <c r="WXJ136" s="547"/>
      <c r="WXK136" s="547"/>
      <c r="WXL136" s="547"/>
      <c r="WXM136" s="548"/>
      <c r="WXN136" s="547"/>
      <c r="WXO136" s="547"/>
      <c r="WXP136" s="547"/>
      <c r="WXQ136" s="547"/>
      <c r="WXR136" s="548"/>
      <c r="WXS136" s="547"/>
      <c r="WXT136" s="547"/>
      <c r="WXU136" s="547"/>
      <c r="WXV136" s="552"/>
      <c r="WXW136" s="548"/>
      <c r="WXX136" s="552"/>
      <c r="WXY136" s="552"/>
      <c r="WXZ136" s="552"/>
      <c r="WYA136" s="552"/>
      <c r="WYB136" s="548"/>
      <c r="WYC136" s="553"/>
      <c r="WYD136" s="553"/>
      <c r="WYE136" s="553"/>
      <c r="WYF136" s="8"/>
      <c r="WYG136" s="8"/>
      <c r="WYH136" s="458"/>
      <c r="WYI136" s="8"/>
      <c r="WYJ136" s="8"/>
      <c r="WYK136" s="547"/>
      <c r="WYL136" s="547"/>
      <c r="WYM136" s="547"/>
      <c r="WYN136" s="547"/>
      <c r="WYO136" s="548"/>
      <c r="WYP136" s="547"/>
      <c r="WYQ136" s="547"/>
      <c r="WYR136" s="547"/>
      <c r="WYS136" s="547"/>
      <c r="WYT136" s="548"/>
      <c r="WYU136" s="547"/>
      <c r="WYV136" s="547"/>
      <c r="WYW136" s="547"/>
      <c r="WYX136" s="547"/>
      <c r="WYY136" s="548"/>
      <c r="WYZ136" s="547"/>
      <c r="WZA136" s="547"/>
      <c r="WZB136" s="547"/>
      <c r="WZC136" s="552"/>
      <c r="WZD136" s="548"/>
      <c r="WZE136" s="552"/>
      <c r="WZF136" s="552"/>
      <c r="WZG136" s="552"/>
      <c r="WZH136" s="552"/>
      <c r="WZI136" s="548"/>
      <c r="WZJ136" s="553"/>
      <c r="WZK136" s="553"/>
      <c r="WZL136" s="553"/>
      <c r="WZM136" s="8"/>
      <c r="WZN136" s="8"/>
      <c r="WZO136" s="458"/>
      <c r="WZP136" s="8"/>
      <c r="WZQ136" s="8"/>
      <c r="WZR136" s="547"/>
      <c r="WZS136" s="547"/>
      <c r="WZT136" s="547"/>
      <c r="WZU136" s="547"/>
      <c r="WZV136" s="548"/>
      <c r="WZW136" s="547"/>
      <c r="WZX136" s="547"/>
      <c r="WZY136" s="547"/>
      <c r="WZZ136" s="547"/>
      <c r="XAA136" s="548"/>
      <c r="XAB136" s="547"/>
      <c r="XAC136" s="547"/>
      <c r="XAD136" s="547"/>
      <c r="XAE136" s="547"/>
      <c r="XAF136" s="548"/>
      <c r="XAG136" s="547"/>
      <c r="XAH136" s="547"/>
      <c r="XAI136" s="547"/>
      <c r="XAJ136" s="552"/>
      <c r="XAK136" s="548"/>
      <c r="XAL136" s="552"/>
      <c r="XAM136" s="552"/>
      <c r="XAN136" s="552"/>
      <c r="XAO136" s="552"/>
      <c r="XAP136" s="548"/>
      <c r="XAQ136" s="553"/>
      <c r="XAR136" s="553"/>
      <c r="XAS136" s="553"/>
      <c r="XAT136" s="8"/>
      <c r="XAU136" s="8"/>
      <c r="XAV136" s="458"/>
      <c r="XAW136" s="8"/>
      <c r="XAX136" s="8"/>
      <c r="XAY136" s="547"/>
      <c r="XAZ136" s="547"/>
      <c r="XBA136" s="547"/>
      <c r="XBB136" s="547"/>
      <c r="XBC136" s="548"/>
      <c r="XBD136" s="547"/>
      <c r="XBE136" s="547"/>
      <c r="XBF136" s="547"/>
      <c r="XBG136" s="547"/>
      <c r="XBH136" s="548"/>
      <c r="XBI136" s="547"/>
      <c r="XBJ136" s="547"/>
      <c r="XBK136" s="547"/>
      <c r="XBL136" s="547"/>
      <c r="XBM136" s="548"/>
      <c r="XBN136" s="547"/>
      <c r="XBO136" s="547"/>
      <c r="XBP136" s="547"/>
      <c r="XBQ136" s="552"/>
      <c r="XBR136" s="548"/>
      <c r="XBS136" s="552"/>
      <c r="XBT136" s="552"/>
      <c r="XBU136" s="552"/>
      <c r="XBV136" s="552"/>
      <c r="XBW136" s="548"/>
      <c r="XBX136" s="553"/>
      <c r="XBY136" s="553"/>
      <c r="XBZ136" s="553"/>
      <c r="XCA136" s="8"/>
      <c r="XCB136" s="8"/>
      <c r="XCC136" s="458"/>
      <c r="XCD136" s="8"/>
      <c r="XCE136" s="8"/>
      <c r="XCF136" s="547"/>
      <c r="XCG136" s="547"/>
      <c r="XCH136" s="547"/>
      <c r="XCI136" s="547"/>
      <c r="XCJ136" s="548"/>
      <c r="XCK136" s="547"/>
      <c r="XCL136" s="547"/>
      <c r="XCM136" s="547"/>
      <c r="XCN136" s="547"/>
      <c r="XCO136" s="548"/>
      <c r="XCP136" s="547"/>
      <c r="XCQ136" s="547"/>
      <c r="XCR136" s="547"/>
      <c r="XCS136" s="547"/>
      <c r="XCT136" s="548"/>
      <c r="XCU136" s="547"/>
      <c r="XCV136" s="547"/>
      <c r="XCW136" s="547"/>
      <c r="XCX136" s="552"/>
      <c r="XCY136" s="548"/>
      <c r="XCZ136" s="552"/>
      <c r="XDA136" s="552"/>
      <c r="XDB136" s="552"/>
      <c r="XDC136" s="552"/>
      <c r="XDD136" s="548"/>
      <c r="XDE136" s="553"/>
      <c r="XDF136" s="553"/>
      <c r="XDG136" s="553"/>
      <c r="XDH136" s="8"/>
      <c r="XDI136" s="8"/>
      <c r="XDJ136" s="458"/>
      <c r="XDK136" s="8"/>
      <c r="XDL136" s="8"/>
      <c r="XDM136" s="547"/>
      <c r="XDN136" s="547"/>
      <c r="XDO136" s="547"/>
      <c r="XDP136" s="547"/>
      <c r="XDQ136" s="548"/>
      <c r="XDR136" s="547"/>
      <c r="XDS136" s="547"/>
      <c r="XDT136" s="547"/>
      <c r="XDU136" s="547"/>
      <c r="XDV136" s="548"/>
      <c r="XDW136" s="547"/>
      <c r="XDX136" s="547"/>
      <c r="XDY136" s="547"/>
      <c r="XDZ136" s="547"/>
      <c r="XEA136" s="548"/>
      <c r="XEB136" s="547"/>
      <c r="XEC136" s="547"/>
      <c r="XED136" s="547"/>
      <c r="XEE136" s="552"/>
      <c r="XEF136" s="548"/>
      <c r="XEG136" s="552"/>
      <c r="XEH136" s="552"/>
      <c r="XEI136" s="552"/>
      <c r="XEJ136" s="552"/>
      <c r="XEK136" s="548"/>
      <c r="XEL136" s="553"/>
      <c r="XEM136" s="553"/>
      <c r="XEN136" s="553"/>
      <c r="XEO136" s="8"/>
      <c r="XEP136" s="8"/>
      <c r="XEQ136" s="458"/>
      <c r="XER136" s="8"/>
      <c r="XES136" s="8"/>
      <c r="XET136" s="547"/>
      <c r="XEU136" s="547"/>
      <c r="XEV136" s="547"/>
      <c r="XEW136" s="547"/>
      <c r="XEX136" s="548"/>
      <c r="XEY136" s="547"/>
      <c r="XEZ136" s="547"/>
      <c r="XFA136" s="547"/>
      <c r="XFB136" s="547"/>
      <c r="XFC136" s="548"/>
      <c r="XFD136" s="547"/>
    </row>
    <row r="137" ht="12.75" customHeight="1" spans="1:16384" s="361" customFormat="1" x14ac:dyDescent="0.25">
      <c r="A137" s="8"/>
      <c r="B137" s="8"/>
      <c r="C137" s="458" t="s">
        <v>240</v>
      </c>
      <c r="D137" s="8"/>
      <c r="E137" s="8"/>
      <c r="F137" s="547"/>
      <c r="G137" s="547"/>
      <c r="H137" s="547"/>
      <c r="I137" s="547"/>
      <c r="J137" s="548"/>
      <c r="K137" s="547"/>
      <c r="L137" s="547"/>
      <c r="M137" s="547"/>
      <c r="N137" s="547"/>
      <c r="O137" s="548"/>
      <c r="P137" s="547"/>
      <c r="Q137" s="547"/>
      <c r="R137" s="547"/>
      <c r="S137" s="547"/>
      <c r="T137" s="548"/>
      <c r="U137" s="550">
        <v>0.77</v>
      </c>
      <c r="V137" s="550">
        <v>0.77</v>
      </c>
      <c r="W137" s="550">
        <v>0.77</v>
      </c>
      <c r="X137" s="550">
        <v>0.78</v>
      </c>
      <c r="Y137" s="548"/>
      <c r="Z137" s="550">
        <v>0.77</v>
      </c>
      <c r="AA137" s="550">
        <v>0.77</v>
      </c>
      <c r="AB137" s="550">
        <v>0.77</v>
      </c>
      <c r="AC137" s="550">
        <v>0.78</v>
      </c>
      <c r="AD137" s="502"/>
      <c r="AE137" s="551">
        <v>0.834</v>
      </c>
      <c r="AF137" s="551">
        <v>0.82</v>
      </c>
      <c r="AG137" s="551">
        <v>0.81</v>
      </c>
      <c r="AH137" s="8"/>
      <c r="AI137" s="8"/>
      <c r="AJ137" s="458"/>
      <c r="AK137" s="8"/>
      <c r="AL137" s="8"/>
      <c r="AM137" s="548"/>
      <c r="AN137" s="548"/>
      <c r="AO137" s="548"/>
      <c r="AP137" s="548"/>
      <c r="AQ137" s="548"/>
      <c r="AR137" s="548"/>
      <c r="AS137" s="548"/>
      <c r="AT137" s="548"/>
      <c r="AU137" s="548"/>
      <c r="AV137" s="548"/>
      <c r="AW137" s="548"/>
      <c r="AX137" s="548"/>
      <c r="AY137" s="548"/>
      <c r="AZ137" s="548"/>
      <c r="BA137" s="548"/>
      <c r="BB137" s="548"/>
      <c r="BC137" s="548"/>
      <c r="BD137" s="548"/>
      <c r="BE137" s="553"/>
      <c r="BF137" s="548"/>
      <c r="BG137" s="553"/>
      <c r="BH137" s="553"/>
      <c r="BI137" s="553"/>
      <c r="BJ137" s="553"/>
      <c r="BK137" s="548"/>
      <c r="BL137" s="553"/>
      <c r="BM137" s="553"/>
      <c r="BN137" s="553"/>
      <c r="BO137" s="8"/>
      <c r="BP137" s="8"/>
      <c r="BQ137" s="131"/>
      <c r="BR137" s="8"/>
      <c r="BS137" s="8"/>
      <c r="BT137" s="548"/>
      <c r="BU137" s="548"/>
      <c r="BV137" s="548"/>
      <c r="BW137" s="547"/>
      <c r="BX137" s="548"/>
      <c r="BY137" s="547"/>
      <c r="BZ137" s="547"/>
      <c r="CA137" s="547"/>
      <c r="CB137" s="547"/>
      <c r="CC137" s="548"/>
      <c r="CD137" s="547"/>
      <c r="CE137" s="547"/>
      <c r="CF137" s="547"/>
      <c r="CG137" s="547"/>
      <c r="CH137" s="548"/>
      <c r="CI137" s="547"/>
      <c r="CJ137" s="547"/>
      <c r="CK137" s="547"/>
      <c r="CL137" s="552"/>
      <c r="CM137" s="548"/>
      <c r="CN137" s="552"/>
      <c r="CO137" s="552"/>
      <c r="CP137" s="552"/>
      <c r="CQ137" s="552"/>
      <c r="CR137" s="548"/>
      <c r="CS137" s="553"/>
      <c r="CT137" s="553"/>
      <c r="CU137" s="553"/>
      <c r="CV137" s="8"/>
      <c r="CW137" s="8"/>
      <c r="CX137" s="458"/>
      <c r="CY137" s="8"/>
      <c r="CZ137" s="8"/>
      <c r="DA137" s="547"/>
      <c r="DB137" s="547"/>
      <c r="DC137" s="547"/>
      <c r="DD137" s="547"/>
      <c r="DE137" s="548"/>
      <c r="DF137" s="547"/>
      <c r="DG137" s="547"/>
      <c r="DH137" s="547"/>
      <c r="DI137" s="547"/>
      <c r="DJ137" s="548"/>
      <c r="DK137" s="547"/>
      <c r="DL137" s="547"/>
      <c r="DM137" s="547"/>
      <c r="DN137" s="547"/>
      <c r="DO137" s="548"/>
      <c r="DP137" s="547"/>
      <c r="DQ137" s="547"/>
      <c r="DR137" s="547"/>
      <c r="DS137" s="552"/>
      <c r="DT137" s="548"/>
      <c r="DU137" s="552"/>
      <c r="DV137" s="552"/>
      <c r="DW137" s="552"/>
      <c r="DX137" s="552"/>
      <c r="DY137" s="548"/>
      <c r="DZ137" s="553"/>
      <c r="EA137" s="553"/>
      <c r="EB137" s="553"/>
      <c r="EC137" s="8"/>
      <c r="ED137" s="8"/>
      <c r="EE137" s="458"/>
      <c r="EF137" s="8"/>
      <c r="EG137" s="8"/>
      <c r="EH137" s="547"/>
      <c r="EI137" s="547"/>
      <c r="EJ137" s="547"/>
      <c r="EK137" s="547"/>
      <c r="EL137" s="548"/>
      <c r="EM137" s="547"/>
      <c r="EN137" s="547"/>
      <c r="EO137" s="547"/>
      <c r="EP137" s="547"/>
      <c r="EQ137" s="548"/>
      <c r="ER137" s="547"/>
      <c r="ES137" s="547"/>
      <c r="ET137" s="547"/>
      <c r="EU137" s="547"/>
      <c r="EV137" s="548"/>
      <c r="EW137" s="547"/>
      <c r="EX137" s="547"/>
      <c r="EY137" s="547"/>
      <c r="EZ137" s="552"/>
      <c r="FA137" s="548"/>
      <c r="FB137" s="552"/>
      <c r="FC137" s="552"/>
      <c r="FD137" s="552"/>
      <c r="FE137" s="552"/>
      <c r="FF137" s="548"/>
      <c r="FG137" s="553"/>
      <c r="FH137" s="553"/>
      <c r="FI137" s="553"/>
      <c r="FJ137" s="8"/>
      <c r="FK137" s="8"/>
      <c r="FL137" s="458"/>
      <c r="FM137" s="8"/>
      <c r="FN137" s="8"/>
      <c r="FO137" s="547"/>
      <c r="FP137" s="547"/>
      <c r="FQ137" s="547"/>
      <c r="FR137" s="547"/>
      <c r="FS137" s="548"/>
      <c r="FT137" s="547"/>
      <c r="FU137" s="547"/>
      <c r="FV137" s="547"/>
      <c r="FW137" s="547"/>
      <c r="FX137" s="548"/>
      <c r="FY137" s="547"/>
      <c r="FZ137" s="547"/>
      <c r="GA137" s="547"/>
      <c r="GB137" s="547"/>
      <c r="GC137" s="548"/>
      <c r="GD137" s="547"/>
      <c r="GE137" s="547"/>
      <c r="GF137" s="547"/>
      <c r="GG137" s="552"/>
      <c r="GH137" s="548"/>
      <c r="GI137" s="552"/>
      <c r="GJ137" s="552"/>
      <c r="GK137" s="552"/>
      <c r="GL137" s="552"/>
      <c r="GM137" s="548"/>
      <c r="GN137" s="553"/>
      <c r="GO137" s="553"/>
      <c r="GP137" s="553"/>
      <c r="GQ137" s="8"/>
      <c r="GR137" s="8"/>
      <c r="GS137" s="458"/>
      <c r="GT137" s="8"/>
      <c r="GU137" s="8"/>
      <c r="GV137" s="547"/>
      <c r="GW137" s="547"/>
      <c r="GX137" s="547"/>
      <c r="GY137" s="547"/>
      <c r="GZ137" s="548"/>
      <c r="HA137" s="547"/>
      <c r="HB137" s="547"/>
      <c r="HC137" s="547"/>
      <c r="HD137" s="547"/>
      <c r="HE137" s="548"/>
      <c r="HF137" s="547"/>
      <c r="HG137" s="547"/>
      <c r="HH137" s="547"/>
      <c r="HI137" s="547"/>
      <c r="HJ137" s="548"/>
      <c r="HK137" s="547"/>
      <c r="HL137" s="547"/>
      <c r="HM137" s="547"/>
      <c r="HN137" s="552"/>
      <c r="HO137" s="548"/>
      <c r="HP137" s="552"/>
      <c r="HQ137" s="552"/>
      <c r="HR137" s="552"/>
      <c r="HS137" s="552"/>
      <c r="HT137" s="548"/>
      <c r="HU137" s="553"/>
      <c r="HV137" s="553"/>
      <c r="HW137" s="553"/>
      <c r="HX137" s="8"/>
      <c r="HY137" s="8"/>
      <c r="HZ137" s="458"/>
      <c r="IA137" s="8"/>
      <c r="IB137" s="8"/>
      <c r="IC137" s="547"/>
      <c r="ID137" s="547"/>
      <c r="IE137" s="547"/>
      <c r="IF137" s="547"/>
      <c r="IG137" s="548"/>
      <c r="IH137" s="547"/>
      <c r="II137" s="547"/>
      <c r="IJ137" s="547"/>
      <c r="IK137" s="547"/>
      <c r="IL137" s="548"/>
      <c r="IM137" s="547"/>
      <c r="IN137" s="547"/>
      <c r="IO137" s="547"/>
      <c r="IP137" s="547"/>
      <c r="IQ137" s="548"/>
      <c r="IR137" s="547"/>
      <c r="IS137" s="547"/>
      <c r="IT137" s="547"/>
      <c r="IU137" s="552"/>
      <c r="IV137" s="548"/>
      <c r="IW137" s="552"/>
      <c r="IX137" s="552"/>
      <c r="IY137" s="552"/>
      <c r="IZ137" s="552"/>
      <c r="JA137" s="548"/>
      <c r="JB137" s="553"/>
      <c r="JC137" s="553"/>
      <c r="JD137" s="553"/>
      <c r="JE137" s="8"/>
      <c r="JF137" s="8"/>
      <c r="JG137" s="458"/>
      <c r="JH137" s="8"/>
      <c r="JI137" s="8"/>
      <c r="JJ137" s="547"/>
      <c r="JK137" s="547"/>
      <c r="JL137" s="547"/>
      <c r="JM137" s="547"/>
      <c r="JN137" s="548"/>
      <c r="JO137" s="547"/>
      <c r="JP137" s="547"/>
      <c r="JQ137" s="547"/>
      <c r="JR137" s="547"/>
      <c r="JS137" s="548"/>
      <c r="JT137" s="547"/>
      <c r="JU137" s="547"/>
      <c r="JV137" s="547"/>
      <c r="JW137" s="547"/>
      <c r="JX137" s="548"/>
      <c r="JY137" s="547"/>
      <c r="JZ137" s="547"/>
      <c r="KA137" s="547"/>
      <c r="KB137" s="552"/>
      <c r="KC137" s="548"/>
      <c r="KD137" s="552"/>
      <c r="KE137" s="552"/>
      <c r="KF137" s="552"/>
      <c r="KG137" s="552"/>
      <c r="KH137" s="548"/>
      <c r="KI137" s="553"/>
      <c r="KJ137" s="553"/>
      <c r="KK137" s="553"/>
      <c r="KL137" s="8"/>
      <c r="KM137" s="8"/>
      <c r="KN137" s="458"/>
      <c r="KO137" s="8"/>
      <c r="KP137" s="8"/>
      <c r="KQ137" s="547"/>
      <c r="KR137" s="547"/>
      <c r="KS137" s="547"/>
      <c r="KT137" s="547"/>
      <c r="KU137" s="548"/>
      <c r="KV137" s="547"/>
      <c r="KW137" s="547"/>
      <c r="KX137" s="547"/>
      <c r="KY137" s="547"/>
      <c r="KZ137" s="548"/>
      <c r="LA137" s="547"/>
      <c r="LB137" s="547"/>
      <c r="LC137" s="547"/>
      <c r="LD137" s="547"/>
      <c r="LE137" s="548"/>
      <c r="LF137" s="547"/>
      <c r="LG137" s="547"/>
      <c r="LH137" s="547"/>
      <c r="LI137" s="552"/>
      <c r="LJ137" s="548"/>
      <c r="LK137" s="552"/>
      <c r="LL137" s="552"/>
      <c r="LM137" s="552"/>
      <c r="LN137" s="552"/>
      <c r="LO137" s="548"/>
      <c r="LP137" s="553"/>
      <c r="LQ137" s="553"/>
      <c r="LR137" s="553"/>
      <c r="LS137" s="8"/>
      <c r="LT137" s="8"/>
      <c r="LU137" s="458"/>
      <c r="LV137" s="8"/>
      <c r="LW137" s="8"/>
      <c r="LX137" s="547"/>
      <c r="LY137" s="547"/>
      <c r="LZ137" s="547"/>
      <c r="MA137" s="547"/>
      <c r="MB137" s="548"/>
      <c r="MC137" s="547"/>
      <c r="MD137" s="547"/>
      <c r="ME137" s="547"/>
      <c r="MF137" s="547"/>
      <c r="MG137" s="548"/>
      <c r="MH137" s="547"/>
      <c r="MI137" s="547"/>
      <c r="MJ137" s="547"/>
      <c r="MK137" s="547"/>
      <c r="ML137" s="548"/>
      <c r="MM137" s="547"/>
      <c r="MN137" s="547"/>
      <c r="MO137" s="547"/>
      <c r="MP137" s="552"/>
      <c r="MQ137" s="548"/>
      <c r="MR137" s="552"/>
      <c r="MS137" s="552"/>
      <c r="MT137" s="552"/>
      <c r="MU137" s="552"/>
      <c r="MV137" s="548"/>
      <c r="MW137" s="553"/>
      <c r="MX137" s="553"/>
      <c r="MY137" s="553"/>
      <c r="MZ137" s="8"/>
      <c r="NA137" s="8"/>
      <c r="NB137" s="458"/>
      <c r="NC137" s="8"/>
      <c r="ND137" s="8"/>
      <c r="NE137" s="547"/>
      <c r="NF137" s="547"/>
      <c r="NG137" s="547"/>
      <c r="NH137" s="547"/>
      <c r="NI137" s="548"/>
      <c r="NJ137" s="547"/>
      <c r="NK137" s="547"/>
      <c r="NL137" s="547"/>
      <c r="NM137" s="547"/>
      <c r="NN137" s="548"/>
      <c r="NO137" s="547"/>
      <c r="NP137" s="547"/>
      <c r="NQ137" s="547"/>
      <c r="NR137" s="547"/>
      <c r="NS137" s="548"/>
      <c r="NT137" s="547"/>
      <c r="NU137" s="547"/>
      <c r="NV137" s="547"/>
      <c r="NW137" s="552"/>
      <c r="NX137" s="548"/>
      <c r="NY137" s="552"/>
      <c r="NZ137" s="552"/>
      <c r="OA137" s="552"/>
      <c r="OB137" s="552"/>
      <c r="OC137" s="548"/>
      <c r="OD137" s="553"/>
      <c r="OE137" s="553"/>
      <c r="OF137" s="553"/>
      <c r="OG137" s="8"/>
      <c r="OH137" s="8"/>
      <c r="OI137" s="458"/>
      <c r="OJ137" s="8"/>
      <c r="OK137" s="8"/>
      <c r="OL137" s="547"/>
      <c r="OM137" s="547"/>
      <c r="ON137" s="547"/>
      <c r="OO137" s="547"/>
      <c r="OP137" s="548"/>
      <c r="OQ137" s="547"/>
      <c r="OR137" s="547"/>
      <c r="OS137" s="547"/>
      <c r="OT137" s="547"/>
      <c r="OU137" s="548"/>
      <c r="OV137" s="547"/>
      <c r="OW137" s="547"/>
      <c r="OX137" s="547"/>
      <c r="OY137" s="547"/>
      <c r="OZ137" s="548"/>
      <c r="PA137" s="547"/>
      <c r="PB137" s="547"/>
      <c r="PC137" s="547"/>
      <c r="PD137" s="552"/>
      <c r="PE137" s="548"/>
      <c r="PF137" s="552"/>
      <c r="PG137" s="552"/>
      <c r="PH137" s="552"/>
      <c r="PI137" s="552"/>
      <c r="PJ137" s="548"/>
      <c r="PK137" s="553"/>
      <c r="PL137" s="553"/>
      <c r="PM137" s="553"/>
      <c r="PN137" s="8"/>
      <c r="PO137" s="8"/>
      <c r="PP137" s="458"/>
      <c r="PQ137" s="8"/>
      <c r="PR137" s="8"/>
      <c r="PS137" s="547"/>
      <c r="PT137" s="547"/>
      <c r="PU137" s="547"/>
      <c r="PV137" s="547"/>
      <c r="PW137" s="548"/>
      <c r="PX137" s="547"/>
      <c r="PY137" s="547"/>
      <c r="PZ137" s="547"/>
      <c r="QA137" s="547"/>
      <c r="QB137" s="548"/>
      <c r="QC137" s="547"/>
      <c r="QD137" s="547"/>
      <c r="QE137" s="547"/>
      <c r="QF137" s="547"/>
      <c r="QG137" s="548"/>
      <c r="QH137" s="547"/>
      <c r="QI137" s="547"/>
      <c r="QJ137" s="547"/>
      <c r="QK137" s="552"/>
      <c r="QL137" s="548"/>
      <c r="QM137" s="552"/>
      <c r="QN137" s="552"/>
      <c r="QO137" s="552"/>
      <c r="QP137" s="552"/>
      <c r="QQ137" s="548"/>
      <c r="QR137" s="553"/>
      <c r="QS137" s="553"/>
      <c r="QT137" s="553"/>
      <c r="QU137" s="8"/>
      <c r="QV137" s="8"/>
      <c r="QW137" s="458"/>
      <c r="QX137" s="8"/>
      <c r="QY137" s="8"/>
      <c r="QZ137" s="547"/>
      <c r="RA137" s="547"/>
      <c r="RB137" s="547"/>
      <c r="RC137" s="547"/>
      <c r="RD137" s="548"/>
      <c r="RE137" s="547"/>
      <c r="RF137" s="547"/>
      <c r="RG137" s="547"/>
      <c r="RH137" s="547"/>
      <c r="RI137" s="548"/>
      <c r="RJ137" s="547"/>
      <c r="RK137" s="547"/>
      <c r="RL137" s="547"/>
      <c r="RM137" s="547"/>
      <c r="RN137" s="548"/>
      <c r="RO137" s="547"/>
      <c r="RP137" s="547"/>
      <c r="RQ137" s="547"/>
      <c r="RR137" s="552"/>
      <c r="RS137" s="548"/>
      <c r="RT137" s="552"/>
      <c r="RU137" s="552"/>
      <c r="RV137" s="552"/>
      <c r="RW137" s="552"/>
      <c r="RX137" s="548"/>
      <c r="RY137" s="553"/>
      <c r="RZ137" s="553"/>
      <c r="SA137" s="553"/>
      <c r="SB137" s="8"/>
      <c r="SC137" s="8"/>
      <c r="SD137" s="458"/>
      <c r="SE137" s="8"/>
      <c r="SF137" s="8"/>
      <c r="SG137" s="547"/>
      <c r="SH137" s="547"/>
      <c r="SI137" s="547"/>
      <c r="SJ137" s="547"/>
      <c r="SK137" s="548"/>
      <c r="SL137" s="547"/>
      <c r="SM137" s="547"/>
      <c r="SN137" s="547"/>
      <c r="SO137" s="547"/>
      <c r="SP137" s="548"/>
      <c r="SQ137" s="547"/>
      <c r="SR137" s="547"/>
      <c r="SS137" s="547"/>
      <c r="ST137" s="547"/>
      <c r="SU137" s="548"/>
      <c r="SV137" s="547"/>
      <c r="SW137" s="547"/>
      <c r="SX137" s="547"/>
      <c r="SY137" s="552"/>
      <c r="SZ137" s="548"/>
      <c r="TA137" s="552"/>
      <c r="TB137" s="552"/>
      <c r="TC137" s="552"/>
      <c r="TD137" s="552"/>
      <c r="TE137" s="548"/>
      <c r="TF137" s="553"/>
      <c r="TG137" s="553"/>
      <c r="TH137" s="553"/>
      <c r="TI137" s="8"/>
      <c r="TJ137" s="8"/>
      <c r="TK137" s="458"/>
      <c r="TL137" s="8"/>
      <c r="TM137" s="8"/>
      <c r="TN137" s="547"/>
      <c r="TO137" s="547"/>
      <c r="TP137" s="547"/>
      <c r="TQ137" s="547"/>
      <c r="TR137" s="548"/>
      <c r="TS137" s="547"/>
      <c r="TT137" s="547"/>
      <c r="TU137" s="547"/>
      <c r="TV137" s="547"/>
      <c r="TW137" s="548"/>
      <c r="TX137" s="547"/>
      <c r="TY137" s="547"/>
      <c r="TZ137" s="547"/>
      <c r="UA137" s="547"/>
      <c r="UB137" s="548"/>
      <c r="UC137" s="547"/>
      <c r="UD137" s="547"/>
      <c r="UE137" s="547"/>
      <c r="UF137" s="552"/>
      <c r="UG137" s="548"/>
      <c r="UH137" s="552"/>
      <c r="UI137" s="552"/>
      <c r="UJ137" s="552"/>
      <c r="UK137" s="552"/>
      <c r="UL137" s="548"/>
      <c r="UM137" s="553"/>
      <c r="UN137" s="553"/>
      <c r="UO137" s="553"/>
      <c r="UP137" s="8"/>
      <c r="UQ137" s="8"/>
      <c r="UR137" s="458"/>
      <c r="US137" s="8"/>
      <c r="UT137" s="8"/>
      <c r="UU137" s="547"/>
      <c r="UV137" s="547"/>
      <c r="UW137" s="547"/>
      <c r="UX137" s="547"/>
      <c r="UY137" s="548"/>
      <c r="UZ137" s="547"/>
      <c r="VA137" s="547"/>
      <c r="VB137" s="547"/>
      <c r="VC137" s="547"/>
      <c r="VD137" s="548"/>
      <c r="VE137" s="547"/>
      <c r="VF137" s="547"/>
      <c r="VG137" s="547"/>
      <c r="VH137" s="547"/>
      <c r="VI137" s="548"/>
      <c r="VJ137" s="547"/>
      <c r="VK137" s="547"/>
      <c r="VL137" s="547"/>
      <c r="VM137" s="552"/>
      <c r="VN137" s="548"/>
      <c r="VO137" s="552"/>
      <c r="VP137" s="552"/>
      <c r="VQ137" s="552"/>
      <c r="VR137" s="552"/>
      <c r="VS137" s="548"/>
      <c r="VT137" s="553"/>
      <c r="VU137" s="553"/>
      <c r="VV137" s="553"/>
      <c r="VW137" s="8"/>
      <c r="VX137" s="8"/>
      <c r="VY137" s="458"/>
      <c r="VZ137" s="8"/>
      <c r="WA137" s="8"/>
      <c r="WB137" s="547"/>
      <c r="WC137" s="547"/>
      <c r="WD137" s="547"/>
      <c r="WE137" s="547"/>
      <c r="WF137" s="548"/>
      <c r="WG137" s="547"/>
      <c r="WH137" s="547"/>
      <c r="WI137" s="547"/>
      <c r="WJ137" s="547"/>
      <c r="WK137" s="548"/>
      <c r="WL137" s="547"/>
      <c r="WM137" s="547"/>
      <c r="WN137" s="547"/>
      <c r="WO137" s="547"/>
      <c r="WP137" s="548"/>
      <c r="WQ137" s="547"/>
      <c r="WR137" s="547"/>
      <c r="WS137" s="547"/>
      <c r="WT137" s="552"/>
      <c r="WU137" s="548"/>
      <c r="WV137" s="552"/>
      <c r="WW137" s="552"/>
      <c r="WX137" s="552"/>
      <c r="WY137" s="552"/>
      <c r="WZ137" s="548"/>
      <c r="XA137" s="553"/>
      <c r="XB137" s="553"/>
      <c r="XC137" s="553"/>
      <c r="XD137" s="8"/>
      <c r="XE137" s="8"/>
      <c r="XF137" s="458"/>
      <c r="XG137" s="8"/>
      <c r="XH137" s="8"/>
      <c r="XI137" s="547"/>
      <c r="XJ137" s="547"/>
      <c r="XK137" s="547"/>
      <c r="XL137" s="547"/>
      <c r="XM137" s="548"/>
      <c r="XN137" s="547"/>
      <c r="XO137" s="547"/>
      <c r="XP137" s="547"/>
      <c r="XQ137" s="547"/>
      <c r="XR137" s="548"/>
      <c r="XS137" s="547"/>
      <c r="XT137" s="547"/>
      <c r="XU137" s="547"/>
      <c r="XV137" s="547"/>
      <c r="XW137" s="548"/>
      <c r="XX137" s="547"/>
      <c r="XY137" s="547"/>
      <c r="XZ137" s="547"/>
      <c r="YA137" s="552"/>
      <c r="YB137" s="548"/>
      <c r="YC137" s="552"/>
      <c r="YD137" s="552"/>
      <c r="YE137" s="552"/>
      <c r="YF137" s="552"/>
      <c r="YG137" s="548"/>
      <c r="YH137" s="553"/>
      <c r="YI137" s="553"/>
      <c r="YJ137" s="553"/>
      <c r="YK137" s="8"/>
      <c r="YL137" s="8"/>
      <c r="YM137" s="458"/>
      <c r="YN137" s="8"/>
      <c r="YO137" s="8"/>
      <c r="YP137" s="547"/>
      <c r="YQ137" s="547"/>
      <c r="YR137" s="547"/>
      <c r="YS137" s="547"/>
      <c r="YT137" s="548"/>
      <c r="YU137" s="547"/>
      <c r="YV137" s="547"/>
      <c r="YW137" s="547"/>
      <c r="YX137" s="547"/>
      <c r="YY137" s="548"/>
      <c r="YZ137" s="547"/>
      <c r="ZA137" s="547"/>
      <c r="ZB137" s="547"/>
      <c r="ZC137" s="547"/>
      <c r="ZD137" s="548"/>
      <c r="ZE137" s="547"/>
      <c r="ZF137" s="547"/>
      <c r="ZG137" s="547"/>
      <c r="ZH137" s="552"/>
      <c r="ZI137" s="548"/>
      <c r="ZJ137" s="552"/>
      <c r="ZK137" s="552"/>
      <c r="ZL137" s="552"/>
      <c r="ZM137" s="552"/>
      <c r="ZN137" s="548"/>
      <c r="ZO137" s="553"/>
      <c r="ZP137" s="553"/>
      <c r="ZQ137" s="553"/>
      <c r="ZR137" s="8"/>
      <c r="ZS137" s="8"/>
      <c r="ZT137" s="458"/>
      <c r="ZU137" s="8"/>
      <c r="ZV137" s="8"/>
      <c r="ZW137" s="547"/>
      <c r="ZX137" s="547"/>
      <c r="ZY137" s="547"/>
      <c r="ZZ137" s="547"/>
      <c r="AAA137" s="548"/>
      <c r="AAB137" s="547"/>
      <c r="AAC137" s="547"/>
      <c r="AAD137" s="547"/>
      <c r="AAE137" s="547"/>
      <c r="AAF137" s="548"/>
      <c r="AAG137" s="547"/>
      <c r="AAH137" s="547"/>
      <c r="AAI137" s="547"/>
      <c r="AAJ137" s="547"/>
      <c r="AAK137" s="548"/>
      <c r="AAL137" s="547"/>
      <c r="AAM137" s="547"/>
      <c r="AAN137" s="547"/>
      <c r="AAO137" s="552"/>
      <c r="AAP137" s="548"/>
      <c r="AAQ137" s="552"/>
      <c r="AAR137" s="552"/>
      <c r="AAS137" s="552"/>
      <c r="AAT137" s="552"/>
      <c r="AAU137" s="548"/>
      <c r="AAV137" s="553"/>
      <c r="AAW137" s="553"/>
      <c r="AAX137" s="553"/>
      <c r="AAY137" s="8"/>
      <c r="AAZ137" s="8"/>
      <c r="ABA137" s="458"/>
      <c r="ABB137" s="8"/>
      <c r="ABC137" s="8"/>
      <c r="ABD137" s="547"/>
      <c r="ABE137" s="547"/>
      <c r="ABF137" s="547"/>
      <c r="ABG137" s="547"/>
      <c r="ABH137" s="548"/>
      <c r="ABI137" s="547"/>
      <c r="ABJ137" s="547"/>
      <c r="ABK137" s="547"/>
      <c r="ABL137" s="547"/>
      <c r="ABM137" s="548"/>
      <c r="ABN137" s="547"/>
      <c r="ABO137" s="547"/>
      <c r="ABP137" s="547"/>
      <c r="ABQ137" s="547"/>
      <c r="ABR137" s="548"/>
      <c r="ABS137" s="547"/>
      <c r="ABT137" s="547"/>
      <c r="ABU137" s="547"/>
      <c r="ABV137" s="552"/>
      <c r="ABW137" s="548"/>
      <c r="ABX137" s="552"/>
      <c r="ABY137" s="552"/>
      <c r="ABZ137" s="552"/>
      <c r="ACA137" s="552"/>
      <c r="ACB137" s="548"/>
      <c r="ACC137" s="553"/>
      <c r="ACD137" s="553"/>
      <c r="ACE137" s="553"/>
      <c r="ACF137" s="8"/>
      <c r="ACG137" s="8"/>
      <c r="ACH137" s="458"/>
      <c r="ACI137" s="8"/>
      <c r="ACJ137" s="8"/>
      <c r="ACK137" s="547"/>
      <c r="ACL137" s="547"/>
      <c r="ACM137" s="547"/>
      <c r="ACN137" s="547"/>
      <c r="ACO137" s="548"/>
      <c r="ACP137" s="547"/>
      <c r="ACQ137" s="547"/>
      <c r="ACR137" s="547"/>
      <c r="ACS137" s="547"/>
      <c r="ACT137" s="548"/>
      <c r="ACU137" s="547"/>
      <c r="ACV137" s="547"/>
      <c r="ACW137" s="547"/>
      <c r="ACX137" s="547"/>
      <c r="ACY137" s="548"/>
      <c r="ACZ137" s="547"/>
      <c r="ADA137" s="547"/>
      <c r="ADB137" s="547"/>
      <c r="ADC137" s="552"/>
      <c r="ADD137" s="548"/>
      <c r="ADE137" s="552"/>
      <c r="ADF137" s="552"/>
      <c r="ADG137" s="552"/>
      <c r="ADH137" s="552"/>
      <c r="ADI137" s="548"/>
      <c r="ADJ137" s="553"/>
      <c r="ADK137" s="553"/>
      <c r="ADL137" s="553"/>
      <c r="ADM137" s="8"/>
      <c r="ADN137" s="8"/>
      <c r="ADO137" s="458"/>
      <c r="ADP137" s="8"/>
      <c r="ADQ137" s="8"/>
      <c r="ADR137" s="547"/>
      <c r="ADS137" s="547"/>
      <c r="ADT137" s="547"/>
      <c r="ADU137" s="547"/>
      <c r="ADV137" s="548"/>
      <c r="ADW137" s="547"/>
      <c r="ADX137" s="547"/>
      <c r="ADY137" s="547"/>
      <c r="ADZ137" s="547"/>
      <c r="AEA137" s="548"/>
      <c r="AEB137" s="547"/>
      <c r="AEC137" s="547"/>
      <c r="AED137" s="547"/>
      <c r="AEE137" s="547"/>
      <c r="AEF137" s="548"/>
      <c r="AEG137" s="547"/>
      <c r="AEH137" s="547"/>
      <c r="AEI137" s="547"/>
      <c r="AEJ137" s="552"/>
      <c r="AEK137" s="548"/>
      <c r="AEL137" s="552"/>
      <c r="AEM137" s="552"/>
      <c r="AEN137" s="552"/>
      <c r="AEO137" s="552"/>
      <c r="AEP137" s="548"/>
      <c r="AEQ137" s="553"/>
      <c r="AER137" s="553"/>
      <c r="AES137" s="553"/>
      <c r="AET137" s="8"/>
      <c r="AEU137" s="8"/>
      <c r="AEV137" s="458"/>
      <c r="AEW137" s="8"/>
      <c r="AEX137" s="8"/>
      <c r="AEY137" s="547"/>
      <c r="AEZ137" s="547"/>
      <c r="AFA137" s="547"/>
      <c r="AFB137" s="547"/>
      <c r="AFC137" s="548"/>
      <c r="AFD137" s="547"/>
      <c r="AFE137" s="547"/>
      <c r="AFF137" s="547"/>
      <c r="AFG137" s="547"/>
      <c r="AFH137" s="548"/>
      <c r="AFI137" s="547"/>
      <c r="AFJ137" s="547"/>
      <c r="AFK137" s="547"/>
      <c r="AFL137" s="547"/>
      <c r="AFM137" s="548"/>
      <c r="AFN137" s="547"/>
      <c r="AFO137" s="547"/>
      <c r="AFP137" s="547"/>
      <c r="AFQ137" s="552"/>
      <c r="AFR137" s="548"/>
      <c r="AFS137" s="552"/>
      <c r="AFT137" s="552"/>
      <c r="AFU137" s="552"/>
      <c r="AFV137" s="552"/>
      <c r="AFW137" s="548"/>
      <c r="AFX137" s="553"/>
      <c r="AFY137" s="553"/>
      <c r="AFZ137" s="553"/>
      <c r="AGA137" s="8"/>
      <c r="AGB137" s="8"/>
      <c r="AGC137" s="458"/>
      <c r="AGD137" s="8"/>
      <c r="AGE137" s="8"/>
      <c r="AGF137" s="547"/>
      <c r="AGG137" s="547"/>
      <c r="AGH137" s="547"/>
      <c r="AGI137" s="547"/>
      <c r="AGJ137" s="548"/>
      <c r="AGK137" s="547"/>
      <c r="AGL137" s="547"/>
      <c r="AGM137" s="547"/>
      <c r="AGN137" s="547"/>
      <c r="AGO137" s="548"/>
      <c r="AGP137" s="547"/>
      <c r="AGQ137" s="547"/>
      <c r="AGR137" s="547"/>
      <c r="AGS137" s="547"/>
      <c r="AGT137" s="548"/>
      <c r="AGU137" s="547"/>
      <c r="AGV137" s="547"/>
      <c r="AGW137" s="547"/>
      <c r="AGX137" s="552"/>
      <c r="AGY137" s="548"/>
      <c r="AGZ137" s="552"/>
      <c r="AHA137" s="552"/>
      <c r="AHB137" s="552"/>
      <c r="AHC137" s="552"/>
      <c r="AHD137" s="548"/>
      <c r="AHE137" s="553"/>
      <c r="AHF137" s="553"/>
      <c r="AHG137" s="553"/>
      <c r="AHH137" s="8"/>
      <c r="AHI137" s="8"/>
      <c r="AHJ137" s="458"/>
      <c r="AHK137" s="8"/>
      <c r="AHL137" s="8"/>
      <c r="AHM137" s="547"/>
      <c r="AHN137" s="547"/>
      <c r="AHO137" s="547"/>
      <c r="AHP137" s="547"/>
      <c r="AHQ137" s="548"/>
      <c r="AHR137" s="547"/>
      <c r="AHS137" s="547"/>
      <c r="AHT137" s="547"/>
      <c r="AHU137" s="547"/>
      <c r="AHV137" s="548"/>
      <c r="AHW137" s="547"/>
      <c r="AHX137" s="547"/>
      <c r="AHY137" s="547"/>
      <c r="AHZ137" s="547"/>
      <c r="AIA137" s="548"/>
      <c r="AIB137" s="547"/>
      <c r="AIC137" s="547"/>
      <c r="AID137" s="547"/>
      <c r="AIE137" s="552"/>
      <c r="AIF137" s="548"/>
      <c r="AIG137" s="552"/>
      <c r="AIH137" s="552"/>
      <c r="AII137" s="552"/>
      <c r="AIJ137" s="552"/>
      <c r="AIK137" s="548"/>
      <c r="AIL137" s="553"/>
      <c r="AIM137" s="553"/>
      <c r="AIN137" s="553"/>
      <c r="AIO137" s="8"/>
      <c r="AIP137" s="8"/>
      <c r="AIQ137" s="458"/>
      <c r="AIR137" s="8"/>
      <c r="AIS137" s="8"/>
      <c r="AIT137" s="547"/>
      <c r="AIU137" s="547"/>
      <c r="AIV137" s="547"/>
      <c r="AIW137" s="547"/>
      <c r="AIX137" s="548"/>
      <c r="AIY137" s="547"/>
      <c r="AIZ137" s="547"/>
      <c r="AJA137" s="547"/>
      <c r="AJB137" s="547"/>
      <c r="AJC137" s="548"/>
      <c r="AJD137" s="547"/>
      <c r="AJE137" s="547"/>
      <c r="AJF137" s="547"/>
      <c r="AJG137" s="547"/>
      <c r="AJH137" s="548"/>
      <c r="AJI137" s="547"/>
      <c r="AJJ137" s="547"/>
      <c r="AJK137" s="547"/>
      <c r="AJL137" s="552"/>
      <c r="AJM137" s="548"/>
      <c r="AJN137" s="552"/>
      <c r="AJO137" s="552"/>
      <c r="AJP137" s="552"/>
      <c r="AJQ137" s="552"/>
      <c r="AJR137" s="548"/>
      <c r="AJS137" s="553"/>
      <c r="AJT137" s="553"/>
      <c r="AJU137" s="553"/>
      <c r="AJV137" s="8"/>
      <c r="AJW137" s="8"/>
      <c r="AJX137" s="458"/>
      <c r="AJY137" s="8"/>
      <c r="AJZ137" s="8"/>
      <c r="AKA137" s="547"/>
      <c r="AKB137" s="547"/>
      <c r="AKC137" s="547"/>
      <c r="AKD137" s="547"/>
      <c r="AKE137" s="548"/>
      <c r="AKF137" s="547"/>
      <c r="AKG137" s="547"/>
      <c r="AKH137" s="547"/>
      <c r="AKI137" s="547"/>
      <c r="AKJ137" s="548"/>
      <c r="AKK137" s="547"/>
      <c r="AKL137" s="547"/>
      <c r="AKM137" s="547"/>
      <c r="AKN137" s="547"/>
      <c r="AKO137" s="548"/>
      <c r="AKP137" s="547"/>
      <c r="AKQ137" s="547"/>
      <c r="AKR137" s="547"/>
      <c r="AKS137" s="552"/>
      <c r="AKT137" s="548"/>
      <c r="AKU137" s="552"/>
      <c r="AKV137" s="552"/>
      <c r="AKW137" s="552"/>
      <c r="AKX137" s="552"/>
      <c r="AKY137" s="548"/>
      <c r="AKZ137" s="553"/>
      <c r="ALA137" s="553"/>
      <c r="ALB137" s="553"/>
      <c r="ALC137" s="8"/>
      <c r="ALD137" s="8"/>
      <c r="ALE137" s="458"/>
      <c r="ALF137" s="8"/>
      <c r="ALG137" s="8"/>
      <c r="ALH137" s="547"/>
      <c r="ALI137" s="547"/>
      <c r="ALJ137" s="547"/>
      <c r="ALK137" s="547"/>
      <c r="ALL137" s="548"/>
      <c r="ALM137" s="547"/>
      <c r="ALN137" s="547"/>
      <c r="ALO137" s="547"/>
      <c r="ALP137" s="547"/>
      <c r="ALQ137" s="548"/>
      <c r="ALR137" s="547"/>
      <c r="ALS137" s="547"/>
      <c r="ALT137" s="547"/>
      <c r="ALU137" s="547"/>
      <c r="ALV137" s="548"/>
      <c r="ALW137" s="547"/>
      <c r="ALX137" s="547"/>
      <c r="ALY137" s="547"/>
      <c r="ALZ137" s="552"/>
      <c r="AMA137" s="548"/>
      <c r="AMB137" s="552"/>
      <c r="AMC137" s="552"/>
      <c r="AMD137" s="552"/>
      <c r="AME137" s="552"/>
      <c r="AMF137" s="548"/>
      <c r="AMG137" s="553"/>
      <c r="AMH137" s="553"/>
      <c r="AMI137" s="553"/>
      <c r="AMJ137" s="8"/>
      <c r="AMK137" s="8"/>
      <c r="AML137" s="458"/>
      <c r="AMM137" s="8"/>
      <c r="AMN137" s="8"/>
      <c r="AMO137" s="547"/>
      <c r="AMP137" s="547"/>
      <c r="AMQ137" s="547"/>
      <c r="AMR137" s="547"/>
      <c r="AMS137" s="548"/>
      <c r="AMT137" s="547"/>
      <c r="AMU137" s="547"/>
      <c r="AMV137" s="547"/>
      <c r="AMW137" s="547"/>
      <c r="AMX137" s="548"/>
      <c r="AMY137" s="547"/>
      <c r="AMZ137" s="547"/>
      <c r="ANA137" s="547"/>
      <c r="ANB137" s="547"/>
      <c r="ANC137" s="548"/>
      <c r="AND137" s="547"/>
      <c r="ANE137" s="547"/>
      <c r="ANF137" s="547"/>
      <c r="ANG137" s="552"/>
      <c r="ANH137" s="548"/>
      <c r="ANI137" s="552"/>
      <c r="ANJ137" s="552"/>
      <c r="ANK137" s="552"/>
      <c r="ANL137" s="552"/>
      <c r="ANM137" s="548"/>
      <c r="ANN137" s="553"/>
      <c r="ANO137" s="553"/>
      <c r="ANP137" s="553"/>
      <c r="ANQ137" s="8"/>
      <c r="ANR137" s="8"/>
      <c r="ANS137" s="458"/>
      <c r="ANT137" s="8"/>
      <c r="ANU137" s="8"/>
      <c r="ANV137" s="547"/>
      <c r="ANW137" s="547"/>
      <c r="ANX137" s="547"/>
      <c r="ANY137" s="547"/>
      <c r="ANZ137" s="548"/>
      <c r="AOA137" s="547"/>
      <c r="AOB137" s="547"/>
      <c r="AOC137" s="547"/>
      <c r="AOD137" s="547"/>
      <c r="AOE137" s="548"/>
      <c r="AOF137" s="547"/>
      <c r="AOG137" s="547"/>
      <c r="AOH137" s="547"/>
      <c r="AOI137" s="547"/>
      <c r="AOJ137" s="548"/>
      <c r="AOK137" s="547"/>
      <c r="AOL137" s="547"/>
      <c r="AOM137" s="547"/>
      <c r="AON137" s="552"/>
      <c r="AOO137" s="548"/>
      <c r="AOP137" s="552"/>
      <c r="AOQ137" s="552"/>
      <c r="AOR137" s="552"/>
      <c r="AOS137" s="552"/>
      <c r="AOT137" s="548"/>
      <c r="AOU137" s="553"/>
      <c r="AOV137" s="553"/>
      <c r="AOW137" s="553"/>
      <c r="AOX137" s="8"/>
      <c r="AOY137" s="8"/>
      <c r="AOZ137" s="458"/>
      <c r="APA137" s="8"/>
      <c r="APB137" s="8"/>
      <c r="APC137" s="547"/>
      <c r="APD137" s="547"/>
      <c r="APE137" s="547"/>
      <c r="APF137" s="547"/>
      <c r="APG137" s="548"/>
      <c r="APH137" s="547"/>
      <c r="API137" s="547"/>
      <c r="APJ137" s="547"/>
      <c r="APK137" s="547"/>
      <c r="APL137" s="548"/>
      <c r="APM137" s="547"/>
      <c r="APN137" s="547"/>
      <c r="APO137" s="547"/>
      <c r="APP137" s="547"/>
      <c r="APQ137" s="548"/>
      <c r="APR137" s="547"/>
      <c r="APS137" s="547"/>
      <c r="APT137" s="547"/>
      <c r="APU137" s="552"/>
      <c r="APV137" s="548"/>
      <c r="APW137" s="552"/>
      <c r="APX137" s="552"/>
      <c r="APY137" s="552"/>
      <c r="APZ137" s="552"/>
      <c r="AQA137" s="548"/>
      <c r="AQB137" s="553"/>
      <c r="AQC137" s="553"/>
      <c r="AQD137" s="553"/>
      <c r="AQE137" s="8"/>
      <c r="AQF137" s="8"/>
      <c r="AQG137" s="458"/>
      <c r="AQH137" s="8"/>
      <c r="AQI137" s="8"/>
      <c r="AQJ137" s="547"/>
      <c r="AQK137" s="547"/>
      <c r="AQL137" s="547"/>
      <c r="AQM137" s="547"/>
      <c r="AQN137" s="548"/>
      <c r="AQO137" s="547"/>
      <c r="AQP137" s="547"/>
      <c r="AQQ137" s="547"/>
      <c r="AQR137" s="547"/>
      <c r="AQS137" s="548"/>
      <c r="AQT137" s="547"/>
      <c r="AQU137" s="547"/>
      <c r="AQV137" s="547"/>
      <c r="AQW137" s="547"/>
      <c r="AQX137" s="548"/>
      <c r="AQY137" s="547"/>
      <c r="AQZ137" s="547"/>
      <c r="ARA137" s="547"/>
      <c r="ARB137" s="552"/>
      <c r="ARC137" s="548"/>
      <c r="ARD137" s="552"/>
      <c r="ARE137" s="552"/>
      <c r="ARF137" s="552"/>
      <c r="ARG137" s="552"/>
      <c r="ARH137" s="548"/>
      <c r="ARI137" s="553"/>
      <c r="ARJ137" s="553"/>
      <c r="ARK137" s="553"/>
      <c r="ARL137" s="8"/>
      <c r="ARM137" s="8"/>
      <c r="ARN137" s="458"/>
      <c r="ARO137" s="8"/>
      <c r="ARP137" s="8"/>
      <c r="ARQ137" s="547"/>
      <c r="ARR137" s="547"/>
      <c r="ARS137" s="547"/>
      <c r="ART137" s="547"/>
      <c r="ARU137" s="548"/>
      <c r="ARV137" s="547"/>
      <c r="ARW137" s="547"/>
      <c r="ARX137" s="547"/>
      <c r="ARY137" s="547"/>
      <c r="ARZ137" s="548"/>
      <c r="ASA137" s="547"/>
      <c r="ASB137" s="547"/>
      <c r="ASC137" s="547"/>
      <c r="ASD137" s="547"/>
      <c r="ASE137" s="548"/>
      <c r="ASF137" s="547"/>
      <c r="ASG137" s="547"/>
      <c r="ASH137" s="547"/>
      <c r="ASI137" s="552"/>
      <c r="ASJ137" s="548"/>
      <c r="ASK137" s="552"/>
      <c r="ASL137" s="552"/>
      <c r="ASM137" s="552"/>
      <c r="ASN137" s="552"/>
      <c r="ASO137" s="548"/>
      <c r="ASP137" s="553"/>
      <c r="ASQ137" s="553"/>
      <c r="ASR137" s="553"/>
      <c r="ASS137" s="8"/>
      <c r="AST137" s="8"/>
      <c r="ASU137" s="458"/>
      <c r="ASV137" s="8"/>
      <c r="ASW137" s="8"/>
      <c r="ASX137" s="547"/>
      <c r="ASY137" s="547"/>
      <c r="ASZ137" s="547"/>
      <c r="ATA137" s="547"/>
      <c r="ATB137" s="548"/>
      <c r="ATC137" s="547"/>
      <c r="ATD137" s="547"/>
      <c r="ATE137" s="547"/>
      <c r="ATF137" s="547"/>
      <c r="ATG137" s="548"/>
      <c r="ATH137" s="547"/>
      <c r="ATI137" s="547"/>
      <c r="ATJ137" s="547"/>
      <c r="ATK137" s="547"/>
      <c r="ATL137" s="548"/>
      <c r="ATM137" s="547"/>
      <c r="ATN137" s="547"/>
      <c r="ATO137" s="547"/>
      <c r="ATP137" s="552"/>
      <c r="ATQ137" s="548"/>
      <c r="ATR137" s="552"/>
      <c r="ATS137" s="552"/>
      <c r="ATT137" s="552"/>
      <c r="ATU137" s="552"/>
      <c r="ATV137" s="548"/>
      <c r="ATW137" s="553"/>
      <c r="ATX137" s="553"/>
      <c r="ATY137" s="553"/>
      <c r="ATZ137" s="8"/>
      <c r="AUA137" s="8"/>
      <c r="AUB137" s="458"/>
      <c r="AUC137" s="8"/>
      <c r="AUD137" s="8"/>
      <c r="AUE137" s="547"/>
      <c r="AUF137" s="547"/>
      <c r="AUG137" s="547"/>
      <c r="AUH137" s="547"/>
      <c r="AUI137" s="548"/>
      <c r="AUJ137" s="547"/>
      <c r="AUK137" s="547"/>
      <c r="AUL137" s="547"/>
      <c r="AUM137" s="547"/>
      <c r="AUN137" s="548"/>
      <c r="AUO137" s="547"/>
      <c r="AUP137" s="547"/>
      <c r="AUQ137" s="547"/>
      <c r="AUR137" s="547"/>
      <c r="AUS137" s="548"/>
      <c r="AUT137" s="547"/>
      <c r="AUU137" s="547"/>
      <c r="AUV137" s="547"/>
      <c r="AUW137" s="552"/>
      <c r="AUX137" s="548"/>
      <c r="AUY137" s="552"/>
      <c r="AUZ137" s="552"/>
      <c r="AVA137" s="552"/>
      <c r="AVB137" s="552"/>
      <c r="AVC137" s="548"/>
      <c r="AVD137" s="553"/>
      <c r="AVE137" s="553"/>
      <c r="AVF137" s="553"/>
      <c r="AVG137" s="8"/>
      <c r="AVH137" s="8"/>
      <c r="AVI137" s="458"/>
      <c r="AVJ137" s="8"/>
      <c r="AVK137" s="8"/>
      <c r="AVL137" s="547"/>
      <c r="AVM137" s="547"/>
      <c r="AVN137" s="547"/>
      <c r="AVO137" s="547"/>
      <c r="AVP137" s="548"/>
      <c r="AVQ137" s="547"/>
      <c r="AVR137" s="547"/>
      <c r="AVS137" s="547"/>
      <c r="AVT137" s="547"/>
      <c r="AVU137" s="548"/>
      <c r="AVV137" s="547"/>
      <c r="AVW137" s="547"/>
      <c r="AVX137" s="547"/>
      <c r="AVY137" s="547"/>
      <c r="AVZ137" s="548"/>
      <c r="AWA137" s="547"/>
      <c r="AWB137" s="547"/>
      <c r="AWC137" s="547"/>
      <c r="AWD137" s="552"/>
      <c r="AWE137" s="548"/>
      <c r="AWF137" s="552"/>
      <c r="AWG137" s="552"/>
      <c r="AWH137" s="552"/>
      <c r="AWI137" s="552"/>
      <c r="AWJ137" s="548"/>
      <c r="AWK137" s="553"/>
      <c r="AWL137" s="553"/>
      <c r="AWM137" s="553"/>
      <c r="AWN137" s="8"/>
      <c r="AWO137" s="8"/>
      <c r="AWP137" s="458"/>
      <c r="AWQ137" s="8"/>
      <c r="AWR137" s="8"/>
      <c r="AWS137" s="547"/>
      <c r="AWT137" s="547"/>
      <c r="AWU137" s="547"/>
      <c r="AWV137" s="547"/>
      <c r="AWW137" s="548"/>
      <c r="AWX137" s="547"/>
      <c r="AWY137" s="547"/>
      <c r="AWZ137" s="547"/>
      <c r="AXA137" s="547"/>
      <c r="AXB137" s="548"/>
      <c r="AXC137" s="547"/>
      <c r="AXD137" s="547"/>
      <c r="AXE137" s="547"/>
      <c r="AXF137" s="547"/>
      <c r="AXG137" s="548"/>
      <c r="AXH137" s="547"/>
      <c r="AXI137" s="547"/>
      <c r="AXJ137" s="547"/>
      <c r="AXK137" s="552"/>
      <c r="AXL137" s="548"/>
      <c r="AXM137" s="552"/>
      <c r="AXN137" s="552"/>
      <c r="AXO137" s="552"/>
      <c r="AXP137" s="552"/>
      <c r="AXQ137" s="548"/>
      <c r="AXR137" s="553"/>
      <c r="AXS137" s="553"/>
      <c r="AXT137" s="553"/>
      <c r="AXU137" s="8"/>
      <c r="AXV137" s="8"/>
      <c r="AXW137" s="458"/>
      <c r="AXX137" s="8"/>
      <c r="AXY137" s="8"/>
      <c r="AXZ137" s="547"/>
      <c r="AYA137" s="547"/>
      <c r="AYB137" s="547"/>
      <c r="AYC137" s="547"/>
      <c r="AYD137" s="548"/>
      <c r="AYE137" s="547"/>
      <c r="AYF137" s="547"/>
      <c r="AYG137" s="547"/>
      <c r="AYH137" s="547"/>
      <c r="AYI137" s="548"/>
      <c r="AYJ137" s="547"/>
      <c r="AYK137" s="547"/>
      <c r="AYL137" s="547"/>
      <c r="AYM137" s="547"/>
      <c r="AYN137" s="548"/>
      <c r="AYO137" s="547"/>
      <c r="AYP137" s="547"/>
      <c r="AYQ137" s="547"/>
      <c r="AYR137" s="552"/>
      <c r="AYS137" s="548"/>
      <c r="AYT137" s="552"/>
      <c r="AYU137" s="552"/>
      <c r="AYV137" s="552"/>
      <c r="AYW137" s="552"/>
      <c r="AYX137" s="548"/>
      <c r="AYY137" s="553"/>
      <c r="AYZ137" s="553"/>
      <c r="AZA137" s="553"/>
      <c r="AZB137" s="8"/>
      <c r="AZC137" s="8"/>
      <c r="AZD137" s="458"/>
      <c r="AZE137" s="8"/>
      <c r="AZF137" s="8"/>
      <c r="AZG137" s="547"/>
      <c r="AZH137" s="547"/>
      <c r="AZI137" s="547"/>
      <c r="AZJ137" s="547"/>
      <c r="AZK137" s="548"/>
      <c r="AZL137" s="547"/>
      <c r="AZM137" s="547"/>
      <c r="AZN137" s="547"/>
      <c r="AZO137" s="547"/>
      <c r="AZP137" s="548"/>
      <c r="AZQ137" s="547"/>
      <c r="AZR137" s="547"/>
      <c r="AZS137" s="547"/>
      <c r="AZT137" s="547"/>
      <c r="AZU137" s="548"/>
      <c r="AZV137" s="547"/>
      <c r="AZW137" s="547"/>
      <c r="AZX137" s="547"/>
      <c r="AZY137" s="552"/>
      <c r="AZZ137" s="548"/>
      <c r="BAA137" s="552"/>
      <c r="BAB137" s="552"/>
      <c r="BAC137" s="552"/>
      <c r="BAD137" s="552"/>
      <c r="BAE137" s="548"/>
      <c r="BAF137" s="553"/>
      <c r="BAG137" s="553"/>
      <c r="BAH137" s="553"/>
      <c r="BAI137" s="8"/>
      <c r="BAJ137" s="8"/>
      <c r="BAK137" s="458"/>
      <c r="BAL137" s="8"/>
      <c r="BAM137" s="8"/>
      <c r="BAN137" s="547"/>
      <c r="BAO137" s="547"/>
      <c r="BAP137" s="547"/>
      <c r="BAQ137" s="547"/>
      <c r="BAR137" s="548"/>
      <c r="BAS137" s="547"/>
      <c r="BAT137" s="547"/>
      <c r="BAU137" s="547"/>
      <c r="BAV137" s="547"/>
      <c r="BAW137" s="548"/>
      <c r="BAX137" s="547"/>
      <c r="BAY137" s="547"/>
      <c r="BAZ137" s="547"/>
      <c r="BBA137" s="547"/>
      <c r="BBB137" s="548"/>
      <c r="BBC137" s="547"/>
      <c r="BBD137" s="547"/>
      <c r="BBE137" s="547"/>
      <c r="BBF137" s="552"/>
      <c r="BBG137" s="548"/>
      <c r="BBH137" s="552"/>
      <c r="BBI137" s="552"/>
      <c r="BBJ137" s="552"/>
      <c r="BBK137" s="552"/>
      <c r="BBL137" s="548"/>
      <c r="BBM137" s="553"/>
      <c r="BBN137" s="553"/>
      <c r="BBO137" s="553"/>
      <c r="BBP137" s="8"/>
      <c r="BBQ137" s="8"/>
      <c r="BBR137" s="458"/>
      <c r="BBS137" s="8"/>
      <c r="BBT137" s="8"/>
      <c r="BBU137" s="547"/>
      <c r="BBV137" s="547"/>
      <c r="BBW137" s="547"/>
      <c r="BBX137" s="547"/>
      <c r="BBY137" s="548"/>
      <c r="BBZ137" s="547"/>
      <c r="BCA137" s="547"/>
      <c r="BCB137" s="547"/>
      <c r="BCC137" s="547"/>
      <c r="BCD137" s="548"/>
      <c r="BCE137" s="547"/>
      <c r="BCF137" s="547"/>
      <c r="BCG137" s="547"/>
      <c r="BCH137" s="547"/>
      <c r="BCI137" s="548"/>
      <c r="BCJ137" s="547"/>
      <c r="BCK137" s="547"/>
      <c r="BCL137" s="547"/>
      <c r="BCM137" s="552"/>
      <c r="BCN137" s="548"/>
      <c r="BCO137" s="552"/>
      <c r="BCP137" s="552"/>
      <c r="BCQ137" s="552"/>
      <c r="BCR137" s="552"/>
      <c r="BCS137" s="548"/>
      <c r="BCT137" s="553"/>
      <c r="BCU137" s="553"/>
      <c r="BCV137" s="553"/>
      <c r="BCW137" s="8"/>
      <c r="BCX137" s="8"/>
      <c r="BCY137" s="458"/>
      <c r="BCZ137" s="8"/>
      <c r="BDA137" s="8"/>
      <c r="BDB137" s="547"/>
      <c r="BDC137" s="547"/>
      <c r="BDD137" s="547"/>
      <c r="BDE137" s="547"/>
      <c r="BDF137" s="548"/>
      <c r="BDG137" s="547"/>
      <c r="BDH137" s="547"/>
      <c r="BDI137" s="547"/>
      <c r="BDJ137" s="547"/>
      <c r="BDK137" s="548"/>
      <c r="BDL137" s="547"/>
      <c r="BDM137" s="547"/>
      <c r="BDN137" s="547"/>
      <c r="BDO137" s="547"/>
      <c r="BDP137" s="548"/>
      <c r="BDQ137" s="547"/>
      <c r="BDR137" s="547"/>
      <c r="BDS137" s="547"/>
      <c r="BDT137" s="552"/>
      <c r="BDU137" s="548"/>
      <c r="BDV137" s="552"/>
      <c r="BDW137" s="552"/>
      <c r="BDX137" s="552"/>
      <c r="BDY137" s="552"/>
      <c r="BDZ137" s="548"/>
      <c r="BEA137" s="553"/>
      <c r="BEB137" s="553"/>
      <c r="BEC137" s="553"/>
      <c r="BED137" s="8"/>
      <c r="BEE137" s="8"/>
      <c r="BEF137" s="458"/>
      <c r="BEG137" s="8"/>
      <c r="BEH137" s="8"/>
      <c r="BEI137" s="547"/>
      <c r="BEJ137" s="547"/>
      <c r="BEK137" s="547"/>
      <c r="BEL137" s="547"/>
      <c r="BEM137" s="548"/>
      <c r="BEN137" s="547"/>
      <c r="BEO137" s="547"/>
      <c r="BEP137" s="547"/>
      <c r="BEQ137" s="547"/>
      <c r="BER137" s="548"/>
      <c r="BES137" s="547"/>
      <c r="BET137" s="547"/>
      <c r="BEU137" s="547"/>
      <c r="BEV137" s="547"/>
      <c r="BEW137" s="548"/>
      <c r="BEX137" s="547"/>
      <c r="BEY137" s="547"/>
      <c r="BEZ137" s="547"/>
      <c r="BFA137" s="552"/>
      <c r="BFB137" s="548"/>
      <c r="BFC137" s="552"/>
      <c r="BFD137" s="552"/>
      <c r="BFE137" s="552"/>
      <c r="BFF137" s="552"/>
      <c r="BFG137" s="548"/>
      <c r="BFH137" s="553"/>
      <c r="BFI137" s="553"/>
      <c r="BFJ137" s="553"/>
      <c r="BFK137" s="8"/>
      <c r="BFL137" s="8"/>
      <c r="BFM137" s="458"/>
      <c r="BFN137" s="8"/>
      <c r="BFO137" s="8"/>
      <c r="BFP137" s="547"/>
      <c r="BFQ137" s="547"/>
      <c r="BFR137" s="547"/>
      <c r="BFS137" s="547"/>
      <c r="BFT137" s="548"/>
      <c r="BFU137" s="547"/>
      <c r="BFV137" s="547"/>
      <c r="BFW137" s="547"/>
      <c r="BFX137" s="547"/>
      <c r="BFY137" s="548"/>
      <c r="BFZ137" s="547"/>
      <c r="BGA137" s="547"/>
      <c r="BGB137" s="547"/>
      <c r="BGC137" s="547"/>
      <c r="BGD137" s="548"/>
      <c r="BGE137" s="547"/>
      <c r="BGF137" s="547"/>
      <c r="BGG137" s="547"/>
      <c r="BGH137" s="552"/>
      <c r="BGI137" s="548"/>
      <c r="BGJ137" s="552"/>
      <c r="BGK137" s="552"/>
      <c r="BGL137" s="552"/>
      <c r="BGM137" s="552"/>
      <c r="BGN137" s="548"/>
      <c r="BGO137" s="553"/>
      <c r="BGP137" s="553"/>
      <c r="BGQ137" s="553"/>
      <c r="BGR137" s="8"/>
      <c r="BGS137" s="8"/>
      <c r="BGT137" s="458"/>
      <c r="BGU137" s="8"/>
      <c r="BGV137" s="8"/>
      <c r="BGW137" s="547"/>
      <c r="BGX137" s="547"/>
      <c r="BGY137" s="547"/>
      <c r="BGZ137" s="547"/>
      <c r="BHA137" s="548"/>
      <c r="BHB137" s="547"/>
      <c r="BHC137" s="547"/>
      <c r="BHD137" s="547"/>
      <c r="BHE137" s="547"/>
      <c r="BHF137" s="548"/>
      <c r="BHG137" s="547"/>
      <c r="BHH137" s="547"/>
      <c r="BHI137" s="547"/>
      <c r="BHJ137" s="547"/>
      <c r="BHK137" s="548"/>
      <c r="BHL137" s="547"/>
      <c r="BHM137" s="547"/>
      <c r="BHN137" s="547"/>
      <c r="BHO137" s="552"/>
      <c r="BHP137" s="548"/>
      <c r="BHQ137" s="552"/>
      <c r="BHR137" s="552"/>
      <c r="BHS137" s="552"/>
      <c r="BHT137" s="552"/>
      <c r="BHU137" s="548"/>
      <c r="BHV137" s="553"/>
      <c r="BHW137" s="553"/>
      <c r="BHX137" s="553"/>
      <c r="BHY137" s="8"/>
      <c r="BHZ137" s="8"/>
      <c r="BIA137" s="458"/>
      <c r="BIB137" s="8"/>
      <c r="BIC137" s="8"/>
      <c r="BID137" s="547"/>
      <c r="BIE137" s="547"/>
      <c r="BIF137" s="547"/>
      <c r="BIG137" s="547"/>
      <c r="BIH137" s="548"/>
      <c r="BII137" s="547"/>
      <c r="BIJ137" s="547"/>
      <c r="BIK137" s="547"/>
      <c r="BIL137" s="547"/>
      <c r="BIM137" s="548"/>
      <c r="BIN137" s="547"/>
      <c r="BIO137" s="547"/>
      <c r="BIP137" s="547"/>
      <c r="BIQ137" s="547"/>
      <c r="BIR137" s="548"/>
      <c r="BIS137" s="547"/>
      <c r="BIT137" s="547"/>
      <c r="BIU137" s="547"/>
      <c r="BIV137" s="552"/>
      <c r="BIW137" s="548"/>
      <c r="BIX137" s="552"/>
      <c r="BIY137" s="552"/>
      <c r="BIZ137" s="552"/>
      <c r="BJA137" s="552"/>
      <c r="BJB137" s="548"/>
      <c r="BJC137" s="553"/>
      <c r="BJD137" s="553"/>
      <c r="BJE137" s="553"/>
      <c r="BJF137" s="8"/>
      <c r="BJG137" s="8"/>
      <c r="BJH137" s="458"/>
      <c r="BJI137" s="8"/>
      <c r="BJJ137" s="8"/>
      <c r="BJK137" s="547"/>
      <c r="BJL137" s="547"/>
      <c r="BJM137" s="547"/>
      <c r="BJN137" s="547"/>
      <c r="BJO137" s="548"/>
      <c r="BJP137" s="547"/>
      <c r="BJQ137" s="547"/>
      <c r="BJR137" s="547"/>
      <c r="BJS137" s="547"/>
      <c r="BJT137" s="548"/>
      <c r="BJU137" s="547"/>
      <c r="BJV137" s="547"/>
      <c r="BJW137" s="547"/>
      <c r="BJX137" s="547"/>
      <c r="BJY137" s="548"/>
      <c r="BJZ137" s="547"/>
      <c r="BKA137" s="547"/>
      <c r="BKB137" s="547"/>
      <c r="BKC137" s="552"/>
      <c r="BKD137" s="548"/>
      <c r="BKE137" s="552"/>
      <c r="BKF137" s="552"/>
      <c r="BKG137" s="552"/>
      <c r="BKH137" s="552"/>
      <c r="BKI137" s="548"/>
      <c r="BKJ137" s="553"/>
      <c r="BKK137" s="553"/>
      <c r="BKL137" s="553"/>
      <c r="BKM137" s="8"/>
      <c r="BKN137" s="8"/>
      <c r="BKO137" s="458"/>
      <c r="BKP137" s="8"/>
      <c r="BKQ137" s="8"/>
      <c r="BKR137" s="547"/>
      <c r="BKS137" s="547"/>
      <c r="BKT137" s="547"/>
      <c r="BKU137" s="547"/>
      <c r="BKV137" s="548"/>
      <c r="BKW137" s="547"/>
      <c r="BKX137" s="547"/>
      <c r="BKY137" s="547"/>
      <c r="BKZ137" s="547"/>
      <c r="BLA137" s="548"/>
      <c r="BLB137" s="547"/>
      <c r="BLC137" s="547"/>
      <c r="BLD137" s="547"/>
      <c r="BLE137" s="547"/>
      <c r="BLF137" s="548"/>
      <c r="BLG137" s="547"/>
      <c r="BLH137" s="547"/>
      <c r="BLI137" s="547"/>
      <c r="BLJ137" s="552"/>
      <c r="BLK137" s="548"/>
      <c r="BLL137" s="552"/>
      <c r="BLM137" s="552"/>
      <c r="BLN137" s="552"/>
      <c r="BLO137" s="552"/>
      <c r="BLP137" s="548"/>
      <c r="BLQ137" s="553"/>
      <c r="BLR137" s="553"/>
      <c r="BLS137" s="553"/>
      <c r="BLT137" s="8"/>
      <c r="BLU137" s="8"/>
      <c r="BLV137" s="458"/>
      <c r="BLW137" s="8"/>
      <c r="BLX137" s="8"/>
      <c r="BLY137" s="547"/>
      <c r="BLZ137" s="547"/>
      <c r="BMA137" s="547"/>
      <c r="BMB137" s="547"/>
      <c r="BMC137" s="548"/>
      <c r="BMD137" s="547"/>
      <c r="BME137" s="547"/>
      <c r="BMF137" s="547"/>
      <c r="BMG137" s="547"/>
      <c r="BMH137" s="548"/>
      <c r="BMI137" s="547"/>
      <c r="BMJ137" s="547"/>
      <c r="BMK137" s="547"/>
      <c r="BML137" s="547"/>
      <c r="BMM137" s="548"/>
      <c r="BMN137" s="547"/>
      <c r="BMO137" s="547"/>
      <c r="BMP137" s="547"/>
      <c r="BMQ137" s="552"/>
      <c r="BMR137" s="548"/>
      <c r="BMS137" s="552"/>
      <c r="BMT137" s="552"/>
      <c r="BMU137" s="552"/>
      <c r="BMV137" s="552"/>
      <c r="BMW137" s="548"/>
      <c r="BMX137" s="553"/>
      <c r="BMY137" s="553"/>
      <c r="BMZ137" s="553"/>
      <c r="BNA137" s="8"/>
      <c r="BNB137" s="8"/>
      <c r="BNC137" s="458"/>
      <c r="BND137" s="8"/>
      <c r="BNE137" s="8"/>
      <c r="BNF137" s="547"/>
      <c r="BNG137" s="547"/>
      <c r="BNH137" s="547"/>
      <c r="BNI137" s="547"/>
      <c r="BNJ137" s="548"/>
      <c r="BNK137" s="547"/>
      <c r="BNL137" s="547"/>
      <c r="BNM137" s="547"/>
      <c r="BNN137" s="547"/>
      <c r="BNO137" s="548"/>
      <c r="BNP137" s="547"/>
      <c r="BNQ137" s="547"/>
      <c r="BNR137" s="547"/>
      <c r="BNS137" s="547"/>
      <c r="BNT137" s="548"/>
      <c r="BNU137" s="547"/>
      <c r="BNV137" s="547"/>
      <c r="BNW137" s="547"/>
      <c r="BNX137" s="552"/>
      <c r="BNY137" s="548"/>
      <c r="BNZ137" s="552"/>
      <c r="BOA137" s="552"/>
      <c r="BOB137" s="552"/>
      <c r="BOC137" s="552"/>
      <c r="BOD137" s="548"/>
      <c r="BOE137" s="553"/>
      <c r="BOF137" s="553"/>
      <c r="BOG137" s="553"/>
      <c r="BOH137" s="8"/>
      <c r="BOI137" s="8"/>
      <c r="BOJ137" s="458"/>
      <c r="BOK137" s="8"/>
      <c r="BOL137" s="8"/>
      <c r="BOM137" s="547"/>
      <c r="BON137" s="547"/>
      <c r="BOO137" s="547"/>
      <c r="BOP137" s="547"/>
      <c r="BOQ137" s="548"/>
      <c r="BOR137" s="547"/>
      <c r="BOS137" s="547"/>
      <c r="BOT137" s="547"/>
      <c r="BOU137" s="547"/>
      <c r="BOV137" s="548"/>
      <c r="BOW137" s="547"/>
      <c r="BOX137" s="547"/>
      <c r="BOY137" s="547"/>
      <c r="BOZ137" s="547"/>
      <c r="BPA137" s="548"/>
      <c r="BPB137" s="547"/>
      <c r="BPC137" s="547"/>
      <c r="BPD137" s="547"/>
      <c r="BPE137" s="552"/>
      <c r="BPF137" s="548"/>
      <c r="BPG137" s="552"/>
      <c r="BPH137" s="552"/>
      <c r="BPI137" s="552"/>
      <c r="BPJ137" s="552"/>
      <c r="BPK137" s="548"/>
      <c r="BPL137" s="553"/>
      <c r="BPM137" s="553"/>
      <c r="BPN137" s="553"/>
      <c r="BPO137" s="8"/>
      <c r="BPP137" s="8"/>
      <c r="BPQ137" s="458"/>
      <c r="BPR137" s="8"/>
      <c r="BPS137" s="8"/>
      <c r="BPT137" s="547"/>
      <c r="BPU137" s="547"/>
      <c r="BPV137" s="547"/>
      <c r="BPW137" s="547"/>
      <c r="BPX137" s="548"/>
      <c r="BPY137" s="547"/>
      <c r="BPZ137" s="547"/>
      <c r="BQA137" s="547"/>
      <c r="BQB137" s="547"/>
      <c r="BQC137" s="548"/>
      <c r="BQD137" s="547"/>
      <c r="BQE137" s="547"/>
      <c r="BQF137" s="547"/>
      <c r="BQG137" s="547"/>
      <c r="BQH137" s="548"/>
      <c r="BQI137" s="547"/>
      <c r="BQJ137" s="547"/>
      <c r="BQK137" s="547"/>
      <c r="BQL137" s="552"/>
      <c r="BQM137" s="548"/>
      <c r="BQN137" s="552"/>
      <c r="BQO137" s="552"/>
      <c r="BQP137" s="552"/>
      <c r="BQQ137" s="552"/>
      <c r="BQR137" s="548"/>
      <c r="BQS137" s="553"/>
      <c r="BQT137" s="553"/>
      <c r="BQU137" s="553"/>
      <c r="BQV137" s="8"/>
      <c r="BQW137" s="8"/>
      <c r="BQX137" s="458"/>
      <c r="BQY137" s="8"/>
      <c r="BQZ137" s="8"/>
      <c r="BRA137" s="547"/>
      <c r="BRB137" s="547"/>
      <c r="BRC137" s="547"/>
      <c r="BRD137" s="547"/>
      <c r="BRE137" s="548"/>
      <c r="BRF137" s="547"/>
      <c r="BRG137" s="547"/>
      <c r="BRH137" s="547"/>
      <c r="BRI137" s="547"/>
      <c r="BRJ137" s="548"/>
      <c r="BRK137" s="547"/>
      <c r="BRL137" s="547"/>
      <c r="BRM137" s="547"/>
      <c r="BRN137" s="547"/>
      <c r="BRO137" s="548"/>
      <c r="BRP137" s="547"/>
      <c r="BRQ137" s="547"/>
      <c r="BRR137" s="547"/>
      <c r="BRS137" s="552"/>
      <c r="BRT137" s="548"/>
      <c r="BRU137" s="552"/>
      <c r="BRV137" s="552"/>
      <c r="BRW137" s="552"/>
      <c r="BRX137" s="552"/>
      <c r="BRY137" s="548"/>
      <c r="BRZ137" s="553"/>
      <c r="BSA137" s="553"/>
      <c r="BSB137" s="553"/>
      <c r="BSC137" s="8"/>
      <c r="BSD137" s="8"/>
      <c r="BSE137" s="458"/>
      <c r="BSF137" s="8"/>
      <c r="BSG137" s="8"/>
      <c r="BSH137" s="547"/>
      <c r="BSI137" s="547"/>
      <c r="BSJ137" s="547"/>
      <c r="BSK137" s="547"/>
      <c r="BSL137" s="548"/>
      <c r="BSM137" s="547"/>
      <c r="BSN137" s="547"/>
      <c r="BSO137" s="547"/>
      <c r="BSP137" s="547"/>
      <c r="BSQ137" s="548"/>
      <c r="BSR137" s="547"/>
      <c r="BSS137" s="547"/>
      <c r="BST137" s="547"/>
      <c r="BSU137" s="547"/>
      <c r="BSV137" s="548"/>
      <c r="BSW137" s="547"/>
      <c r="BSX137" s="547"/>
      <c r="BSY137" s="547"/>
      <c r="BSZ137" s="552"/>
      <c r="BTA137" s="548"/>
      <c r="BTB137" s="552"/>
      <c r="BTC137" s="552"/>
      <c r="BTD137" s="552"/>
      <c r="BTE137" s="552"/>
      <c r="BTF137" s="548"/>
      <c r="BTG137" s="553"/>
      <c r="BTH137" s="553"/>
      <c r="BTI137" s="553"/>
      <c r="BTJ137" s="8"/>
      <c r="BTK137" s="8"/>
      <c r="BTL137" s="458"/>
      <c r="BTM137" s="8"/>
      <c r="BTN137" s="8"/>
      <c r="BTO137" s="547"/>
      <c r="BTP137" s="547"/>
      <c r="BTQ137" s="547"/>
      <c r="BTR137" s="547"/>
      <c r="BTS137" s="548"/>
      <c r="BTT137" s="547"/>
      <c r="BTU137" s="547"/>
      <c r="BTV137" s="547"/>
      <c r="BTW137" s="547"/>
      <c r="BTX137" s="548"/>
      <c r="BTY137" s="547"/>
      <c r="BTZ137" s="547"/>
      <c r="BUA137" s="547"/>
      <c r="BUB137" s="547"/>
      <c r="BUC137" s="548"/>
      <c r="BUD137" s="547"/>
      <c r="BUE137" s="547"/>
      <c r="BUF137" s="547"/>
      <c r="BUG137" s="552"/>
      <c r="BUH137" s="548"/>
      <c r="BUI137" s="552"/>
      <c r="BUJ137" s="552"/>
      <c r="BUK137" s="552"/>
      <c r="BUL137" s="552"/>
      <c r="BUM137" s="548"/>
      <c r="BUN137" s="553"/>
      <c r="BUO137" s="553"/>
      <c r="BUP137" s="553"/>
      <c r="BUQ137" s="8"/>
      <c r="BUR137" s="8"/>
      <c r="BUS137" s="458"/>
      <c r="BUT137" s="8"/>
      <c r="BUU137" s="8"/>
      <c r="BUV137" s="547"/>
      <c r="BUW137" s="547"/>
      <c r="BUX137" s="547"/>
      <c r="BUY137" s="547"/>
      <c r="BUZ137" s="548"/>
      <c r="BVA137" s="547"/>
      <c r="BVB137" s="547"/>
      <c r="BVC137" s="547"/>
      <c r="BVD137" s="547"/>
      <c r="BVE137" s="548"/>
      <c r="BVF137" s="547"/>
      <c r="BVG137" s="547"/>
      <c r="BVH137" s="547"/>
      <c r="BVI137" s="547"/>
      <c r="BVJ137" s="548"/>
      <c r="BVK137" s="547"/>
      <c r="BVL137" s="547"/>
      <c r="BVM137" s="547"/>
      <c r="BVN137" s="552"/>
      <c r="BVO137" s="548"/>
      <c r="BVP137" s="552"/>
      <c r="BVQ137" s="552"/>
      <c r="BVR137" s="552"/>
      <c r="BVS137" s="552"/>
      <c r="BVT137" s="548"/>
      <c r="BVU137" s="553"/>
      <c r="BVV137" s="553"/>
      <c r="BVW137" s="553"/>
      <c r="BVX137" s="8"/>
      <c r="BVY137" s="8"/>
      <c r="BVZ137" s="458"/>
      <c r="BWA137" s="8"/>
      <c r="BWB137" s="8"/>
      <c r="BWC137" s="547"/>
      <c r="BWD137" s="547"/>
      <c r="BWE137" s="547"/>
      <c r="BWF137" s="547"/>
      <c r="BWG137" s="548"/>
      <c r="BWH137" s="547"/>
      <c r="BWI137" s="547"/>
      <c r="BWJ137" s="547"/>
      <c r="BWK137" s="547"/>
      <c r="BWL137" s="548"/>
      <c r="BWM137" s="547"/>
      <c r="BWN137" s="547"/>
      <c r="BWO137" s="547"/>
      <c r="BWP137" s="547"/>
      <c r="BWQ137" s="548"/>
      <c r="BWR137" s="547"/>
      <c r="BWS137" s="547"/>
      <c r="BWT137" s="547"/>
      <c r="BWU137" s="552"/>
      <c r="BWV137" s="548"/>
      <c r="BWW137" s="552"/>
      <c r="BWX137" s="552"/>
      <c r="BWY137" s="552"/>
      <c r="BWZ137" s="552"/>
      <c r="BXA137" s="548"/>
      <c r="BXB137" s="553"/>
      <c r="BXC137" s="553"/>
      <c r="BXD137" s="553"/>
      <c r="BXE137" s="8"/>
      <c r="BXF137" s="8"/>
      <c r="BXG137" s="458"/>
      <c r="BXH137" s="8"/>
      <c r="BXI137" s="8"/>
      <c r="BXJ137" s="547"/>
      <c r="BXK137" s="547"/>
      <c r="BXL137" s="547"/>
      <c r="BXM137" s="547"/>
      <c r="BXN137" s="548"/>
      <c r="BXO137" s="547"/>
      <c r="BXP137" s="547"/>
      <c r="BXQ137" s="547"/>
      <c r="BXR137" s="547"/>
      <c r="BXS137" s="548"/>
      <c r="BXT137" s="547"/>
      <c r="BXU137" s="547"/>
      <c r="BXV137" s="547"/>
      <c r="BXW137" s="547"/>
      <c r="BXX137" s="548"/>
      <c r="BXY137" s="547"/>
      <c r="BXZ137" s="547"/>
      <c r="BYA137" s="547"/>
      <c r="BYB137" s="552"/>
      <c r="BYC137" s="548"/>
      <c r="BYD137" s="552"/>
      <c r="BYE137" s="552"/>
      <c r="BYF137" s="552"/>
      <c r="BYG137" s="552"/>
      <c r="BYH137" s="548"/>
      <c r="BYI137" s="553"/>
      <c r="BYJ137" s="553"/>
      <c r="BYK137" s="553"/>
      <c r="BYL137" s="8"/>
      <c r="BYM137" s="8"/>
      <c r="BYN137" s="458"/>
      <c r="BYO137" s="8"/>
      <c r="BYP137" s="8"/>
      <c r="BYQ137" s="547"/>
      <c r="BYR137" s="547"/>
      <c r="BYS137" s="547"/>
      <c r="BYT137" s="547"/>
      <c r="BYU137" s="548"/>
      <c r="BYV137" s="547"/>
      <c r="BYW137" s="547"/>
      <c r="BYX137" s="547"/>
      <c r="BYY137" s="547"/>
      <c r="BYZ137" s="548"/>
      <c r="BZA137" s="547"/>
      <c r="BZB137" s="547"/>
      <c r="BZC137" s="547"/>
      <c r="BZD137" s="547"/>
      <c r="BZE137" s="548"/>
      <c r="BZF137" s="547"/>
      <c r="BZG137" s="547"/>
      <c r="BZH137" s="547"/>
      <c r="BZI137" s="552"/>
      <c r="BZJ137" s="548"/>
      <c r="BZK137" s="552"/>
      <c r="BZL137" s="552"/>
      <c r="BZM137" s="552"/>
      <c r="BZN137" s="552"/>
      <c r="BZO137" s="548"/>
      <c r="BZP137" s="553"/>
      <c r="BZQ137" s="553"/>
      <c r="BZR137" s="553"/>
      <c r="BZS137" s="8"/>
      <c r="BZT137" s="8"/>
      <c r="BZU137" s="458"/>
      <c r="BZV137" s="8"/>
      <c r="BZW137" s="8"/>
      <c r="BZX137" s="547"/>
      <c r="BZY137" s="547"/>
      <c r="BZZ137" s="547"/>
      <c r="CAA137" s="547"/>
      <c r="CAB137" s="548"/>
      <c r="CAC137" s="547"/>
      <c r="CAD137" s="547"/>
      <c r="CAE137" s="547"/>
      <c r="CAF137" s="547"/>
      <c r="CAG137" s="548"/>
      <c r="CAH137" s="547"/>
      <c r="CAI137" s="547"/>
      <c r="CAJ137" s="547"/>
      <c r="CAK137" s="547"/>
      <c r="CAL137" s="548"/>
      <c r="CAM137" s="547"/>
      <c r="CAN137" s="547"/>
      <c r="CAO137" s="547"/>
      <c r="CAP137" s="552"/>
      <c r="CAQ137" s="548"/>
      <c r="CAR137" s="552"/>
      <c r="CAS137" s="552"/>
      <c r="CAT137" s="552"/>
      <c r="CAU137" s="552"/>
      <c r="CAV137" s="548"/>
      <c r="CAW137" s="553"/>
      <c r="CAX137" s="553"/>
      <c r="CAY137" s="553"/>
      <c r="CAZ137" s="8"/>
      <c r="CBA137" s="8"/>
      <c r="CBB137" s="458"/>
      <c r="CBC137" s="8"/>
      <c r="CBD137" s="8"/>
      <c r="CBE137" s="547"/>
      <c r="CBF137" s="547"/>
      <c r="CBG137" s="547"/>
      <c r="CBH137" s="547"/>
      <c r="CBI137" s="548"/>
      <c r="CBJ137" s="547"/>
      <c r="CBK137" s="547"/>
      <c r="CBL137" s="547"/>
      <c r="CBM137" s="547"/>
      <c r="CBN137" s="548"/>
      <c r="CBO137" s="547"/>
      <c r="CBP137" s="547"/>
      <c r="CBQ137" s="547"/>
      <c r="CBR137" s="547"/>
      <c r="CBS137" s="548"/>
      <c r="CBT137" s="547"/>
      <c r="CBU137" s="547"/>
      <c r="CBV137" s="547"/>
      <c r="CBW137" s="552"/>
      <c r="CBX137" s="548"/>
      <c r="CBY137" s="552"/>
      <c r="CBZ137" s="552"/>
      <c r="CCA137" s="552"/>
      <c r="CCB137" s="552"/>
      <c r="CCC137" s="548"/>
      <c r="CCD137" s="553"/>
      <c r="CCE137" s="553"/>
      <c r="CCF137" s="553"/>
      <c r="CCG137" s="8"/>
      <c r="CCH137" s="8"/>
      <c r="CCI137" s="458"/>
      <c r="CCJ137" s="8"/>
      <c r="CCK137" s="8"/>
      <c r="CCL137" s="547"/>
      <c r="CCM137" s="547"/>
      <c r="CCN137" s="547"/>
      <c r="CCO137" s="547"/>
      <c r="CCP137" s="548"/>
      <c r="CCQ137" s="547"/>
      <c r="CCR137" s="547"/>
      <c r="CCS137" s="547"/>
      <c r="CCT137" s="547"/>
      <c r="CCU137" s="548"/>
      <c r="CCV137" s="547"/>
      <c r="CCW137" s="547"/>
      <c r="CCX137" s="547"/>
      <c r="CCY137" s="547"/>
      <c r="CCZ137" s="548"/>
      <c r="CDA137" s="547"/>
      <c r="CDB137" s="547"/>
      <c r="CDC137" s="547"/>
      <c r="CDD137" s="552"/>
      <c r="CDE137" s="548"/>
      <c r="CDF137" s="552"/>
      <c r="CDG137" s="552"/>
      <c r="CDH137" s="552"/>
      <c r="CDI137" s="552"/>
      <c r="CDJ137" s="548"/>
      <c r="CDK137" s="553"/>
      <c r="CDL137" s="553"/>
      <c r="CDM137" s="553"/>
      <c r="CDN137" s="8"/>
      <c r="CDO137" s="8"/>
      <c r="CDP137" s="458"/>
      <c r="CDQ137" s="8"/>
      <c r="CDR137" s="8"/>
      <c r="CDS137" s="547"/>
      <c r="CDT137" s="547"/>
      <c r="CDU137" s="547"/>
      <c r="CDV137" s="547"/>
      <c r="CDW137" s="548"/>
      <c r="CDX137" s="547"/>
      <c r="CDY137" s="547"/>
      <c r="CDZ137" s="547"/>
      <c r="CEA137" s="547"/>
      <c r="CEB137" s="548"/>
      <c r="CEC137" s="547"/>
      <c r="CED137" s="547"/>
      <c r="CEE137" s="547"/>
      <c r="CEF137" s="547"/>
      <c r="CEG137" s="548"/>
      <c r="CEH137" s="547"/>
      <c r="CEI137" s="547"/>
      <c r="CEJ137" s="547"/>
      <c r="CEK137" s="552"/>
      <c r="CEL137" s="548"/>
      <c r="CEM137" s="552"/>
      <c r="CEN137" s="552"/>
      <c r="CEO137" s="552"/>
      <c r="CEP137" s="552"/>
      <c r="CEQ137" s="548"/>
      <c r="CER137" s="553"/>
      <c r="CES137" s="553"/>
      <c r="CET137" s="553"/>
      <c r="CEU137" s="8"/>
      <c r="CEV137" s="8"/>
      <c r="CEW137" s="458"/>
      <c r="CEX137" s="8"/>
      <c r="CEY137" s="8"/>
      <c r="CEZ137" s="547"/>
      <c r="CFA137" s="547"/>
      <c r="CFB137" s="547"/>
      <c r="CFC137" s="547"/>
      <c r="CFD137" s="548"/>
      <c r="CFE137" s="547"/>
      <c r="CFF137" s="547"/>
      <c r="CFG137" s="547"/>
      <c r="CFH137" s="547"/>
      <c r="CFI137" s="548"/>
      <c r="CFJ137" s="547"/>
      <c r="CFK137" s="547"/>
      <c r="CFL137" s="547"/>
      <c r="CFM137" s="547"/>
      <c r="CFN137" s="548"/>
      <c r="CFO137" s="547"/>
      <c r="CFP137" s="547"/>
      <c r="CFQ137" s="547"/>
      <c r="CFR137" s="552"/>
      <c r="CFS137" s="548"/>
      <c r="CFT137" s="552"/>
      <c r="CFU137" s="552"/>
      <c r="CFV137" s="552"/>
      <c r="CFW137" s="552"/>
      <c r="CFX137" s="548"/>
      <c r="CFY137" s="553"/>
      <c r="CFZ137" s="553"/>
      <c r="CGA137" s="553"/>
      <c r="CGB137" s="8"/>
      <c r="CGC137" s="8"/>
      <c r="CGD137" s="458"/>
      <c r="CGE137" s="8"/>
      <c r="CGF137" s="8"/>
      <c r="CGG137" s="547"/>
      <c r="CGH137" s="547"/>
      <c r="CGI137" s="547"/>
      <c r="CGJ137" s="547"/>
      <c r="CGK137" s="548"/>
      <c r="CGL137" s="547"/>
      <c r="CGM137" s="547"/>
      <c r="CGN137" s="547"/>
      <c r="CGO137" s="547"/>
      <c r="CGP137" s="548"/>
      <c r="CGQ137" s="547"/>
      <c r="CGR137" s="547"/>
      <c r="CGS137" s="547"/>
      <c r="CGT137" s="547"/>
      <c r="CGU137" s="548"/>
      <c r="CGV137" s="547"/>
      <c r="CGW137" s="547"/>
      <c r="CGX137" s="547"/>
      <c r="CGY137" s="552"/>
      <c r="CGZ137" s="548"/>
      <c r="CHA137" s="552"/>
      <c r="CHB137" s="552"/>
      <c r="CHC137" s="552"/>
      <c r="CHD137" s="552"/>
      <c r="CHE137" s="548"/>
      <c r="CHF137" s="553"/>
      <c r="CHG137" s="553"/>
      <c r="CHH137" s="553"/>
      <c r="CHI137" s="8"/>
      <c r="CHJ137" s="8"/>
      <c r="CHK137" s="458"/>
      <c r="CHL137" s="8"/>
      <c r="CHM137" s="8"/>
      <c r="CHN137" s="547"/>
      <c r="CHO137" s="547"/>
      <c r="CHP137" s="547"/>
      <c r="CHQ137" s="547"/>
      <c r="CHR137" s="548"/>
      <c r="CHS137" s="547"/>
      <c r="CHT137" s="547"/>
      <c r="CHU137" s="547"/>
      <c r="CHV137" s="547"/>
      <c r="CHW137" s="548"/>
      <c r="CHX137" s="547"/>
      <c r="CHY137" s="547"/>
      <c r="CHZ137" s="547"/>
      <c r="CIA137" s="547"/>
      <c r="CIB137" s="548"/>
      <c r="CIC137" s="547"/>
      <c r="CID137" s="547"/>
      <c r="CIE137" s="547"/>
      <c r="CIF137" s="552"/>
      <c r="CIG137" s="548"/>
      <c r="CIH137" s="552"/>
      <c r="CII137" s="552"/>
      <c r="CIJ137" s="552"/>
      <c r="CIK137" s="552"/>
      <c r="CIL137" s="548"/>
      <c r="CIM137" s="553"/>
      <c r="CIN137" s="553"/>
      <c r="CIO137" s="553"/>
      <c r="CIP137" s="8"/>
      <c r="CIQ137" s="8"/>
      <c r="CIR137" s="458"/>
      <c r="CIS137" s="8"/>
      <c r="CIT137" s="8"/>
      <c r="CIU137" s="547"/>
      <c r="CIV137" s="547"/>
      <c r="CIW137" s="547"/>
      <c r="CIX137" s="547"/>
      <c r="CIY137" s="548"/>
      <c r="CIZ137" s="547"/>
      <c r="CJA137" s="547"/>
      <c r="CJB137" s="547"/>
      <c r="CJC137" s="547"/>
      <c r="CJD137" s="548"/>
      <c r="CJE137" s="547"/>
      <c r="CJF137" s="547"/>
      <c r="CJG137" s="547"/>
      <c r="CJH137" s="547"/>
      <c r="CJI137" s="548"/>
      <c r="CJJ137" s="547"/>
      <c r="CJK137" s="547"/>
      <c r="CJL137" s="547"/>
      <c r="CJM137" s="552"/>
      <c r="CJN137" s="548"/>
      <c r="CJO137" s="552"/>
      <c r="CJP137" s="552"/>
      <c r="CJQ137" s="552"/>
      <c r="CJR137" s="552"/>
      <c r="CJS137" s="548"/>
      <c r="CJT137" s="553"/>
      <c r="CJU137" s="553"/>
      <c r="CJV137" s="553"/>
      <c r="CJW137" s="8"/>
      <c r="CJX137" s="8"/>
      <c r="CJY137" s="458"/>
      <c r="CJZ137" s="8"/>
      <c r="CKA137" s="8"/>
      <c r="CKB137" s="547"/>
      <c r="CKC137" s="547"/>
      <c r="CKD137" s="547"/>
      <c r="CKE137" s="547"/>
      <c r="CKF137" s="548"/>
      <c r="CKG137" s="547"/>
      <c r="CKH137" s="547"/>
      <c r="CKI137" s="547"/>
      <c r="CKJ137" s="547"/>
      <c r="CKK137" s="548"/>
      <c r="CKL137" s="547"/>
      <c r="CKM137" s="547"/>
      <c r="CKN137" s="547"/>
      <c r="CKO137" s="547"/>
      <c r="CKP137" s="548"/>
      <c r="CKQ137" s="547"/>
      <c r="CKR137" s="547"/>
      <c r="CKS137" s="547"/>
      <c r="CKT137" s="552"/>
      <c r="CKU137" s="548"/>
      <c r="CKV137" s="552"/>
      <c r="CKW137" s="552"/>
      <c r="CKX137" s="552"/>
      <c r="CKY137" s="552"/>
      <c r="CKZ137" s="548"/>
      <c r="CLA137" s="553"/>
      <c r="CLB137" s="553"/>
      <c r="CLC137" s="553"/>
      <c r="CLD137" s="8"/>
      <c r="CLE137" s="8"/>
      <c r="CLF137" s="458"/>
      <c r="CLG137" s="8"/>
      <c r="CLH137" s="8"/>
      <c r="CLI137" s="547"/>
      <c r="CLJ137" s="547"/>
      <c r="CLK137" s="547"/>
      <c r="CLL137" s="547"/>
      <c r="CLM137" s="548"/>
      <c r="CLN137" s="547"/>
      <c r="CLO137" s="547"/>
      <c r="CLP137" s="547"/>
      <c r="CLQ137" s="547"/>
      <c r="CLR137" s="548"/>
      <c r="CLS137" s="547"/>
      <c r="CLT137" s="547"/>
      <c r="CLU137" s="547"/>
      <c r="CLV137" s="547"/>
      <c r="CLW137" s="548"/>
      <c r="CLX137" s="547"/>
      <c r="CLY137" s="547"/>
      <c r="CLZ137" s="547"/>
      <c r="CMA137" s="552"/>
      <c r="CMB137" s="548"/>
      <c r="CMC137" s="552"/>
      <c r="CMD137" s="552"/>
      <c r="CME137" s="552"/>
      <c r="CMF137" s="552"/>
      <c r="CMG137" s="548"/>
      <c r="CMH137" s="553"/>
      <c r="CMI137" s="553"/>
      <c r="CMJ137" s="553"/>
      <c r="CMK137" s="8"/>
      <c r="CML137" s="8"/>
      <c r="CMM137" s="458"/>
      <c r="CMN137" s="8"/>
      <c r="CMO137" s="8"/>
      <c r="CMP137" s="547"/>
      <c r="CMQ137" s="547"/>
      <c r="CMR137" s="547"/>
      <c r="CMS137" s="547"/>
      <c r="CMT137" s="548"/>
      <c r="CMU137" s="547"/>
      <c r="CMV137" s="547"/>
      <c r="CMW137" s="547"/>
      <c r="CMX137" s="547"/>
      <c r="CMY137" s="548"/>
      <c r="CMZ137" s="547"/>
      <c r="CNA137" s="547"/>
      <c r="CNB137" s="547"/>
      <c r="CNC137" s="547"/>
      <c r="CND137" s="548"/>
      <c r="CNE137" s="547"/>
      <c r="CNF137" s="547"/>
      <c r="CNG137" s="547"/>
      <c r="CNH137" s="552"/>
      <c r="CNI137" s="548"/>
      <c r="CNJ137" s="552"/>
      <c r="CNK137" s="552"/>
      <c r="CNL137" s="552"/>
      <c r="CNM137" s="552"/>
      <c r="CNN137" s="548"/>
      <c r="CNO137" s="553"/>
      <c r="CNP137" s="553"/>
      <c r="CNQ137" s="553"/>
      <c r="CNR137" s="8"/>
      <c r="CNS137" s="8"/>
      <c r="CNT137" s="458"/>
      <c r="CNU137" s="8"/>
      <c r="CNV137" s="8"/>
      <c r="CNW137" s="547"/>
      <c r="CNX137" s="547"/>
      <c r="CNY137" s="547"/>
      <c r="CNZ137" s="547"/>
      <c r="COA137" s="548"/>
      <c r="COB137" s="547"/>
      <c r="COC137" s="547"/>
      <c r="COD137" s="547"/>
      <c r="COE137" s="547"/>
      <c r="COF137" s="548"/>
      <c r="COG137" s="547"/>
      <c r="COH137" s="547"/>
      <c r="COI137" s="547"/>
      <c r="COJ137" s="547"/>
      <c r="COK137" s="548"/>
      <c r="COL137" s="547"/>
      <c r="COM137" s="547"/>
      <c r="CON137" s="547"/>
      <c r="COO137" s="552"/>
      <c r="COP137" s="548"/>
      <c r="COQ137" s="552"/>
      <c r="COR137" s="552"/>
      <c r="COS137" s="552"/>
      <c r="COT137" s="552"/>
      <c r="COU137" s="548"/>
      <c r="COV137" s="553"/>
      <c r="COW137" s="553"/>
      <c r="COX137" s="553"/>
      <c r="COY137" s="8"/>
      <c r="COZ137" s="8"/>
      <c r="CPA137" s="458"/>
      <c r="CPB137" s="8"/>
      <c r="CPC137" s="8"/>
      <c r="CPD137" s="547"/>
      <c r="CPE137" s="547"/>
      <c r="CPF137" s="547"/>
      <c r="CPG137" s="547"/>
      <c r="CPH137" s="548"/>
      <c r="CPI137" s="547"/>
      <c r="CPJ137" s="547"/>
      <c r="CPK137" s="547"/>
      <c r="CPL137" s="547"/>
      <c r="CPM137" s="548"/>
      <c r="CPN137" s="547"/>
      <c r="CPO137" s="547"/>
      <c r="CPP137" s="547"/>
      <c r="CPQ137" s="547"/>
      <c r="CPR137" s="548"/>
      <c r="CPS137" s="547"/>
      <c r="CPT137" s="547"/>
      <c r="CPU137" s="547"/>
      <c r="CPV137" s="552"/>
      <c r="CPW137" s="548"/>
      <c r="CPX137" s="552"/>
      <c r="CPY137" s="552"/>
      <c r="CPZ137" s="552"/>
      <c r="CQA137" s="552"/>
      <c r="CQB137" s="548"/>
      <c r="CQC137" s="553"/>
      <c r="CQD137" s="553"/>
      <c r="CQE137" s="553"/>
      <c r="CQF137" s="8"/>
      <c r="CQG137" s="8"/>
      <c r="CQH137" s="458"/>
      <c r="CQI137" s="8"/>
      <c r="CQJ137" s="8"/>
      <c r="CQK137" s="547"/>
      <c r="CQL137" s="547"/>
      <c r="CQM137" s="547"/>
      <c r="CQN137" s="547"/>
      <c r="CQO137" s="548"/>
      <c r="CQP137" s="547"/>
      <c r="CQQ137" s="547"/>
      <c r="CQR137" s="547"/>
      <c r="CQS137" s="547"/>
      <c r="CQT137" s="548"/>
      <c r="CQU137" s="547"/>
      <c r="CQV137" s="547"/>
      <c r="CQW137" s="547"/>
      <c r="CQX137" s="547"/>
      <c r="CQY137" s="548"/>
      <c r="CQZ137" s="547"/>
      <c r="CRA137" s="547"/>
      <c r="CRB137" s="547"/>
      <c r="CRC137" s="552"/>
      <c r="CRD137" s="548"/>
      <c r="CRE137" s="552"/>
      <c r="CRF137" s="552"/>
      <c r="CRG137" s="552"/>
      <c r="CRH137" s="552"/>
      <c r="CRI137" s="548"/>
      <c r="CRJ137" s="553"/>
      <c r="CRK137" s="553"/>
      <c r="CRL137" s="553"/>
      <c r="CRM137" s="8"/>
      <c r="CRN137" s="8"/>
      <c r="CRO137" s="458"/>
      <c r="CRP137" s="8"/>
      <c r="CRQ137" s="8"/>
      <c r="CRR137" s="547"/>
      <c r="CRS137" s="547"/>
      <c r="CRT137" s="547"/>
      <c r="CRU137" s="547"/>
      <c r="CRV137" s="548"/>
      <c r="CRW137" s="547"/>
      <c r="CRX137" s="547"/>
      <c r="CRY137" s="547"/>
      <c r="CRZ137" s="547"/>
      <c r="CSA137" s="548"/>
      <c r="CSB137" s="547"/>
      <c r="CSC137" s="547"/>
      <c r="CSD137" s="547"/>
      <c r="CSE137" s="547"/>
      <c r="CSF137" s="548"/>
      <c r="CSG137" s="547"/>
      <c r="CSH137" s="547"/>
      <c r="CSI137" s="547"/>
      <c r="CSJ137" s="552"/>
      <c r="CSK137" s="548"/>
      <c r="CSL137" s="552"/>
      <c r="CSM137" s="552"/>
      <c r="CSN137" s="552"/>
      <c r="CSO137" s="552"/>
      <c r="CSP137" s="548"/>
      <c r="CSQ137" s="553"/>
      <c r="CSR137" s="553"/>
      <c r="CSS137" s="553"/>
      <c r="CST137" s="8"/>
      <c r="CSU137" s="8"/>
      <c r="CSV137" s="458"/>
      <c r="CSW137" s="8"/>
      <c r="CSX137" s="8"/>
      <c r="CSY137" s="547"/>
      <c r="CSZ137" s="547"/>
      <c r="CTA137" s="547"/>
      <c r="CTB137" s="547"/>
      <c r="CTC137" s="548"/>
      <c r="CTD137" s="547"/>
      <c r="CTE137" s="547"/>
      <c r="CTF137" s="547"/>
      <c r="CTG137" s="547"/>
      <c r="CTH137" s="548"/>
      <c r="CTI137" s="547"/>
      <c r="CTJ137" s="547"/>
      <c r="CTK137" s="547"/>
      <c r="CTL137" s="547"/>
      <c r="CTM137" s="548"/>
      <c r="CTN137" s="547"/>
      <c r="CTO137" s="547"/>
      <c r="CTP137" s="547"/>
      <c r="CTQ137" s="552"/>
      <c r="CTR137" s="548"/>
      <c r="CTS137" s="552"/>
      <c r="CTT137" s="552"/>
      <c r="CTU137" s="552"/>
      <c r="CTV137" s="552"/>
      <c r="CTW137" s="548"/>
      <c r="CTX137" s="553"/>
      <c r="CTY137" s="553"/>
      <c r="CTZ137" s="553"/>
      <c r="CUA137" s="8"/>
      <c r="CUB137" s="8"/>
      <c r="CUC137" s="458"/>
      <c r="CUD137" s="8"/>
      <c r="CUE137" s="8"/>
      <c r="CUF137" s="547"/>
      <c r="CUG137" s="547"/>
      <c r="CUH137" s="547"/>
      <c r="CUI137" s="547"/>
      <c r="CUJ137" s="548"/>
      <c r="CUK137" s="547"/>
      <c r="CUL137" s="547"/>
      <c r="CUM137" s="547"/>
      <c r="CUN137" s="547"/>
      <c r="CUO137" s="548"/>
      <c r="CUP137" s="547"/>
      <c r="CUQ137" s="547"/>
      <c r="CUR137" s="547"/>
      <c r="CUS137" s="547"/>
      <c r="CUT137" s="548"/>
      <c r="CUU137" s="547"/>
      <c r="CUV137" s="547"/>
      <c r="CUW137" s="547"/>
      <c r="CUX137" s="552"/>
      <c r="CUY137" s="548"/>
      <c r="CUZ137" s="552"/>
      <c r="CVA137" s="552"/>
      <c r="CVB137" s="552"/>
      <c r="CVC137" s="552"/>
      <c r="CVD137" s="548"/>
      <c r="CVE137" s="553"/>
      <c r="CVF137" s="553"/>
      <c r="CVG137" s="553"/>
      <c r="CVH137" s="8"/>
      <c r="CVI137" s="8"/>
      <c r="CVJ137" s="458"/>
      <c r="CVK137" s="8"/>
      <c r="CVL137" s="8"/>
      <c r="CVM137" s="547"/>
      <c r="CVN137" s="547"/>
      <c r="CVO137" s="547"/>
      <c r="CVP137" s="547"/>
      <c r="CVQ137" s="548"/>
      <c r="CVR137" s="547"/>
      <c r="CVS137" s="547"/>
      <c r="CVT137" s="547"/>
      <c r="CVU137" s="547"/>
      <c r="CVV137" s="548"/>
      <c r="CVW137" s="547"/>
      <c r="CVX137" s="547"/>
      <c r="CVY137" s="547"/>
      <c r="CVZ137" s="547"/>
      <c r="CWA137" s="548"/>
      <c r="CWB137" s="547"/>
      <c r="CWC137" s="547"/>
      <c r="CWD137" s="547"/>
      <c r="CWE137" s="552"/>
      <c r="CWF137" s="548"/>
      <c r="CWG137" s="552"/>
      <c r="CWH137" s="552"/>
      <c r="CWI137" s="552"/>
      <c r="CWJ137" s="552"/>
      <c r="CWK137" s="548"/>
      <c r="CWL137" s="553"/>
      <c r="CWM137" s="553"/>
      <c r="CWN137" s="553"/>
      <c r="CWO137" s="8"/>
      <c r="CWP137" s="8"/>
      <c r="CWQ137" s="458"/>
      <c r="CWR137" s="8"/>
      <c r="CWS137" s="8"/>
      <c r="CWT137" s="547"/>
      <c r="CWU137" s="547"/>
      <c r="CWV137" s="547"/>
      <c r="CWW137" s="547"/>
      <c r="CWX137" s="548"/>
      <c r="CWY137" s="547"/>
      <c r="CWZ137" s="547"/>
      <c r="CXA137" s="547"/>
      <c r="CXB137" s="547"/>
      <c r="CXC137" s="548"/>
      <c r="CXD137" s="547"/>
      <c r="CXE137" s="547"/>
      <c r="CXF137" s="547"/>
      <c r="CXG137" s="547"/>
      <c r="CXH137" s="548"/>
      <c r="CXI137" s="547"/>
      <c r="CXJ137" s="547"/>
      <c r="CXK137" s="547"/>
      <c r="CXL137" s="552"/>
      <c r="CXM137" s="548"/>
      <c r="CXN137" s="552"/>
      <c r="CXO137" s="552"/>
      <c r="CXP137" s="552"/>
      <c r="CXQ137" s="552"/>
      <c r="CXR137" s="548"/>
      <c r="CXS137" s="553"/>
      <c r="CXT137" s="553"/>
      <c r="CXU137" s="553"/>
      <c r="CXV137" s="8"/>
      <c r="CXW137" s="8"/>
      <c r="CXX137" s="458"/>
      <c r="CXY137" s="8"/>
      <c r="CXZ137" s="8"/>
      <c r="CYA137" s="547"/>
      <c r="CYB137" s="547"/>
      <c r="CYC137" s="547"/>
      <c r="CYD137" s="547"/>
      <c r="CYE137" s="548"/>
      <c r="CYF137" s="547"/>
      <c r="CYG137" s="547"/>
      <c r="CYH137" s="547"/>
      <c r="CYI137" s="547"/>
      <c r="CYJ137" s="548"/>
      <c r="CYK137" s="547"/>
      <c r="CYL137" s="547"/>
      <c r="CYM137" s="547"/>
      <c r="CYN137" s="547"/>
      <c r="CYO137" s="548"/>
      <c r="CYP137" s="547"/>
      <c r="CYQ137" s="547"/>
      <c r="CYR137" s="547"/>
      <c r="CYS137" s="552"/>
      <c r="CYT137" s="548"/>
      <c r="CYU137" s="552"/>
      <c r="CYV137" s="552"/>
      <c r="CYW137" s="552"/>
      <c r="CYX137" s="552"/>
      <c r="CYY137" s="548"/>
      <c r="CYZ137" s="553"/>
      <c r="CZA137" s="553"/>
      <c r="CZB137" s="553"/>
      <c r="CZC137" s="8"/>
      <c r="CZD137" s="8"/>
      <c r="CZE137" s="458"/>
      <c r="CZF137" s="8"/>
      <c r="CZG137" s="8"/>
      <c r="CZH137" s="547"/>
      <c r="CZI137" s="547"/>
      <c r="CZJ137" s="547"/>
      <c r="CZK137" s="547"/>
      <c r="CZL137" s="548"/>
      <c r="CZM137" s="547"/>
      <c r="CZN137" s="547"/>
      <c r="CZO137" s="547"/>
      <c r="CZP137" s="547"/>
      <c r="CZQ137" s="548"/>
      <c r="CZR137" s="547"/>
      <c r="CZS137" s="547"/>
      <c r="CZT137" s="547"/>
      <c r="CZU137" s="547"/>
      <c r="CZV137" s="548"/>
      <c r="CZW137" s="547"/>
      <c r="CZX137" s="547"/>
      <c r="CZY137" s="547"/>
      <c r="CZZ137" s="552"/>
      <c r="DAA137" s="548"/>
      <c r="DAB137" s="552"/>
      <c r="DAC137" s="552"/>
      <c r="DAD137" s="552"/>
      <c r="DAE137" s="552"/>
      <c r="DAF137" s="548"/>
      <c r="DAG137" s="553"/>
      <c r="DAH137" s="553"/>
      <c r="DAI137" s="553"/>
      <c r="DAJ137" s="8"/>
      <c r="DAK137" s="8"/>
      <c r="DAL137" s="458"/>
      <c r="DAM137" s="8"/>
      <c r="DAN137" s="8"/>
      <c r="DAO137" s="547"/>
      <c r="DAP137" s="547"/>
      <c r="DAQ137" s="547"/>
      <c r="DAR137" s="547"/>
      <c r="DAS137" s="548"/>
      <c r="DAT137" s="547"/>
      <c r="DAU137" s="547"/>
      <c r="DAV137" s="547"/>
      <c r="DAW137" s="547"/>
      <c r="DAX137" s="548"/>
      <c r="DAY137" s="547"/>
      <c r="DAZ137" s="547"/>
      <c r="DBA137" s="547"/>
      <c r="DBB137" s="547"/>
      <c r="DBC137" s="548"/>
      <c r="DBD137" s="547"/>
      <c r="DBE137" s="547"/>
      <c r="DBF137" s="547"/>
      <c r="DBG137" s="552"/>
      <c r="DBH137" s="548"/>
      <c r="DBI137" s="552"/>
      <c r="DBJ137" s="552"/>
      <c r="DBK137" s="552"/>
      <c r="DBL137" s="552"/>
      <c r="DBM137" s="548"/>
      <c r="DBN137" s="553"/>
      <c r="DBO137" s="553"/>
      <c r="DBP137" s="553"/>
      <c r="DBQ137" s="8"/>
      <c r="DBR137" s="8"/>
      <c r="DBS137" s="458"/>
      <c r="DBT137" s="8"/>
      <c r="DBU137" s="8"/>
      <c r="DBV137" s="547"/>
      <c r="DBW137" s="547"/>
      <c r="DBX137" s="547"/>
      <c r="DBY137" s="547"/>
      <c r="DBZ137" s="548"/>
      <c r="DCA137" s="547"/>
      <c r="DCB137" s="547"/>
      <c r="DCC137" s="547"/>
      <c r="DCD137" s="547"/>
      <c r="DCE137" s="548"/>
      <c r="DCF137" s="547"/>
      <c r="DCG137" s="547"/>
      <c r="DCH137" s="547"/>
      <c r="DCI137" s="547"/>
      <c r="DCJ137" s="548"/>
      <c r="DCK137" s="547"/>
      <c r="DCL137" s="547"/>
      <c r="DCM137" s="547"/>
      <c r="DCN137" s="552"/>
      <c r="DCO137" s="548"/>
      <c r="DCP137" s="552"/>
      <c r="DCQ137" s="552"/>
      <c r="DCR137" s="552"/>
      <c r="DCS137" s="552"/>
      <c r="DCT137" s="548"/>
      <c r="DCU137" s="553"/>
      <c r="DCV137" s="553"/>
      <c r="DCW137" s="553"/>
      <c r="DCX137" s="8"/>
      <c r="DCY137" s="8"/>
      <c r="DCZ137" s="458"/>
      <c r="DDA137" s="8"/>
      <c r="DDB137" s="8"/>
      <c r="DDC137" s="547"/>
      <c r="DDD137" s="547"/>
      <c r="DDE137" s="547"/>
      <c r="DDF137" s="547"/>
      <c r="DDG137" s="548"/>
      <c r="DDH137" s="547"/>
      <c r="DDI137" s="547"/>
      <c r="DDJ137" s="547"/>
      <c r="DDK137" s="547"/>
      <c r="DDL137" s="548"/>
      <c r="DDM137" s="547"/>
      <c r="DDN137" s="547"/>
      <c r="DDO137" s="547"/>
      <c r="DDP137" s="547"/>
      <c r="DDQ137" s="548"/>
      <c r="DDR137" s="547"/>
      <c r="DDS137" s="547"/>
      <c r="DDT137" s="547"/>
      <c r="DDU137" s="552"/>
      <c r="DDV137" s="548"/>
      <c r="DDW137" s="552"/>
      <c r="DDX137" s="552"/>
      <c r="DDY137" s="552"/>
      <c r="DDZ137" s="552"/>
      <c r="DEA137" s="548"/>
      <c r="DEB137" s="553"/>
      <c r="DEC137" s="553"/>
      <c r="DED137" s="553"/>
      <c r="DEE137" s="8"/>
      <c r="DEF137" s="8"/>
      <c r="DEG137" s="458"/>
      <c r="DEH137" s="8"/>
      <c r="DEI137" s="8"/>
      <c r="DEJ137" s="547"/>
      <c r="DEK137" s="547"/>
      <c r="DEL137" s="547"/>
      <c r="DEM137" s="547"/>
      <c r="DEN137" s="548"/>
      <c r="DEO137" s="547"/>
      <c r="DEP137" s="547"/>
      <c r="DEQ137" s="547"/>
      <c r="DER137" s="547"/>
      <c r="DES137" s="548"/>
      <c r="DET137" s="547"/>
      <c r="DEU137" s="547"/>
      <c r="DEV137" s="547"/>
      <c r="DEW137" s="547"/>
      <c r="DEX137" s="548"/>
      <c r="DEY137" s="547"/>
      <c r="DEZ137" s="547"/>
      <c r="DFA137" s="547"/>
      <c r="DFB137" s="552"/>
      <c r="DFC137" s="548"/>
      <c r="DFD137" s="552"/>
      <c r="DFE137" s="552"/>
      <c r="DFF137" s="552"/>
      <c r="DFG137" s="552"/>
      <c r="DFH137" s="548"/>
      <c r="DFI137" s="553"/>
      <c r="DFJ137" s="553"/>
      <c r="DFK137" s="553"/>
      <c r="DFL137" s="8"/>
      <c r="DFM137" s="8"/>
      <c r="DFN137" s="458"/>
      <c r="DFO137" s="8"/>
      <c r="DFP137" s="8"/>
      <c r="DFQ137" s="547"/>
      <c r="DFR137" s="547"/>
      <c r="DFS137" s="547"/>
      <c r="DFT137" s="547"/>
      <c r="DFU137" s="548"/>
      <c r="DFV137" s="547"/>
      <c r="DFW137" s="547"/>
      <c r="DFX137" s="547"/>
      <c r="DFY137" s="547"/>
      <c r="DFZ137" s="548"/>
      <c r="DGA137" s="547"/>
      <c r="DGB137" s="547"/>
      <c r="DGC137" s="547"/>
      <c r="DGD137" s="547"/>
      <c r="DGE137" s="548"/>
      <c r="DGF137" s="547"/>
      <c r="DGG137" s="547"/>
      <c r="DGH137" s="547"/>
      <c r="DGI137" s="552"/>
      <c r="DGJ137" s="548"/>
      <c r="DGK137" s="552"/>
      <c r="DGL137" s="552"/>
      <c r="DGM137" s="552"/>
      <c r="DGN137" s="552"/>
      <c r="DGO137" s="548"/>
      <c r="DGP137" s="553"/>
      <c r="DGQ137" s="553"/>
      <c r="DGR137" s="553"/>
      <c r="DGS137" s="8"/>
      <c r="DGT137" s="8"/>
      <c r="DGU137" s="458"/>
      <c r="DGV137" s="8"/>
      <c r="DGW137" s="8"/>
      <c r="DGX137" s="547"/>
      <c r="DGY137" s="547"/>
      <c r="DGZ137" s="547"/>
      <c r="DHA137" s="547"/>
      <c r="DHB137" s="548"/>
      <c r="DHC137" s="547"/>
      <c r="DHD137" s="547"/>
      <c r="DHE137" s="547"/>
      <c r="DHF137" s="547"/>
      <c r="DHG137" s="548"/>
      <c r="DHH137" s="547"/>
      <c r="DHI137" s="547"/>
      <c r="DHJ137" s="547"/>
      <c r="DHK137" s="547"/>
      <c r="DHL137" s="548"/>
      <c r="DHM137" s="547"/>
      <c r="DHN137" s="547"/>
      <c r="DHO137" s="547"/>
      <c r="DHP137" s="552"/>
      <c r="DHQ137" s="548"/>
      <c r="DHR137" s="552"/>
      <c r="DHS137" s="552"/>
      <c r="DHT137" s="552"/>
      <c r="DHU137" s="552"/>
      <c r="DHV137" s="548"/>
      <c r="DHW137" s="553"/>
      <c r="DHX137" s="553"/>
      <c r="DHY137" s="553"/>
      <c r="DHZ137" s="8"/>
      <c r="DIA137" s="8"/>
      <c r="DIB137" s="458"/>
      <c r="DIC137" s="8"/>
      <c r="DID137" s="8"/>
      <c r="DIE137" s="547"/>
      <c r="DIF137" s="547"/>
      <c r="DIG137" s="547"/>
      <c r="DIH137" s="547"/>
      <c r="DII137" s="548"/>
      <c r="DIJ137" s="547"/>
      <c r="DIK137" s="547"/>
      <c r="DIL137" s="547"/>
      <c r="DIM137" s="547"/>
      <c r="DIN137" s="548"/>
      <c r="DIO137" s="547"/>
      <c r="DIP137" s="547"/>
      <c r="DIQ137" s="547"/>
      <c r="DIR137" s="547"/>
      <c r="DIS137" s="548"/>
      <c r="DIT137" s="547"/>
      <c r="DIU137" s="547"/>
      <c r="DIV137" s="547"/>
      <c r="DIW137" s="552"/>
      <c r="DIX137" s="548"/>
      <c r="DIY137" s="552"/>
      <c r="DIZ137" s="552"/>
      <c r="DJA137" s="552"/>
      <c r="DJB137" s="552"/>
      <c r="DJC137" s="548"/>
      <c r="DJD137" s="553"/>
      <c r="DJE137" s="553"/>
      <c r="DJF137" s="553"/>
      <c r="DJG137" s="8"/>
      <c r="DJH137" s="8"/>
      <c r="DJI137" s="458"/>
      <c r="DJJ137" s="8"/>
      <c r="DJK137" s="8"/>
      <c r="DJL137" s="547"/>
      <c r="DJM137" s="547"/>
      <c r="DJN137" s="547"/>
      <c r="DJO137" s="547"/>
      <c r="DJP137" s="548"/>
      <c r="DJQ137" s="547"/>
      <c r="DJR137" s="547"/>
      <c r="DJS137" s="547"/>
      <c r="DJT137" s="547"/>
      <c r="DJU137" s="548"/>
      <c r="DJV137" s="547"/>
      <c r="DJW137" s="547"/>
      <c r="DJX137" s="547"/>
      <c r="DJY137" s="547"/>
      <c r="DJZ137" s="548"/>
      <c r="DKA137" s="547"/>
      <c r="DKB137" s="547"/>
      <c r="DKC137" s="547"/>
      <c r="DKD137" s="552"/>
      <c r="DKE137" s="548"/>
      <c r="DKF137" s="552"/>
      <c r="DKG137" s="552"/>
      <c r="DKH137" s="552"/>
      <c r="DKI137" s="552"/>
      <c r="DKJ137" s="548"/>
      <c r="DKK137" s="553"/>
      <c r="DKL137" s="553"/>
      <c r="DKM137" s="553"/>
      <c r="DKN137" s="8"/>
      <c r="DKO137" s="8"/>
      <c r="DKP137" s="458"/>
      <c r="DKQ137" s="8"/>
      <c r="DKR137" s="8"/>
      <c r="DKS137" s="547"/>
      <c r="DKT137" s="547"/>
      <c r="DKU137" s="547"/>
      <c r="DKV137" s="547"/>
      <c r="DKW137" s="548"/>
      <c r="DKX137" s="547"/>
      <c r="DKY137" s="547"/>
      <c r="DKZ137" s="547"/>
      <c r="DLA137" s="547"/>
      <c r="DLB137" s="548"/>
      <c r="DLC137" s="547"/>
      <c r="DLD137" s="547"/>
      <c r="DLE137" s="547"/>
      <c r="DLF137" s="547"/>
      <c r="DLG137" s="548"/>
      <c r="DLH137" s="547"/>
      <c r="DLI137" s="547"/>
      <c r="DLJ137" s="547"/>
      <c r="DLK137" s="552"/>
      <c r="DLL137" s="548"/>
      <c r="DLM137" s="552"/>
      <c r="DLN137" s="552"/>
      <c r="DLO137" s="552"/>
      <c r="DLP137" s="552"/>
      <c r="DLQ137" s="548"/>
      <c r="DLR137" s="553"/>
      <c r="DLS137" s="553"/>
      <c r="DLT137" s="553"/>
      <c r="DLU137" s="8"/>
      <c r="DLV137" s="8"/>
      <c r="DLW137" s="458"/>
      <c r="DLX137" s="8"/>
      <c r="DLY137" s="8"/>
      <c r="DLZ137" s="547"/>
      <c r="DMA137" s="547"/>
      <c r="DMB137" s="547"/>
      <c r="DMC137" s="547"/>
      <c r="DMD137" s="548"/>
      <c r="DME137" s="547"/>
      <c r="DMF137" s="547"/>
      <c r="DMG137" s="547"/>
      <c r="DMH137" s="547"/>
      <c r="DMI137" s="548"/>
      <c r="DMJ137" s="547"/>
      <c r="DMK137" s="547"/>
      <c r="DML137" s="547"/>
      <c r="DMM137" s="547"/>
      <c r="DMN137" s="548"/>
      <c r="DMO137" s="547"/>
      <c r="DMP137" s="547"/>
      <c r="DMQ137" s="547"/>
      <c r="DMR137" s="552"/>
      <c r="DMS137" s="548"/>
      <c r="DMT137" s="552"/>
      <c r="DMU137" s="552"/>
      <c r="DMV137" s="552"/>
      <c r="DMW137" s="552"/>
      <c r="DMX137" s="548"/>
      <c r="DMY137" s="553"/>
      <c r="DMZ137" s="553"/>
      <c r="DNA137" s="553"/>
      <c r="DNB137" s="8"/>
      <c r="DNC137" s="8"/>
      <c r="DND137" s="458"/>
      <c r="DNE137" s="8"/>
      <c r="DNF137" s="8"/>
      <c r="DNG137" s="547"/>
      <c r="DNH137" s="547"/>
      <c r="DNI137" s="547"/>
      <c r="DNJ137" s="547"/>
      <c r="DNK137" s="548"/>
      <c r="DNL137" s="547"/>
      <c r="DNM137" s="547"/>
      <c r="DNN137" s="547"/>
      <c r="DNO137" s="547"/>
      <c r="DNP137" s="548"/>
      <c r="DNQ137" s="547"/>
      <c r="DNR137" s="547"/>
      <c r="DNS137" s="547"/>
      <c r="DNT137" s="547"/>
      <c r="DNU137" s="548"/>
      <c r="DNV137" s="547"/>
      <c r="DNW137" s="547"/>
      <c r="DNX137" s="547"/>
      <c r="DNY137" s="552"/>
      <c r="DNZ137" s="548"/>
      <c r="DOA137" s="552"/>
      <c r="DOB137" s="552"/>
      <c r="DOC137" s="552"/>
      <c r="DOD137" s="552"/>
      <c r="DOE137" s="548"/>
      <c r="DOF137" s="553"/>
      <c r="DOG137" s="553"/>
      <c r="DOH137" s="553"/>
      <c r="DOI137" s="8"/>
      <c r="DOJ137" s="8"/>
      <c r="DOK137" s="458"/>
      <c r="DOL137" s="8"/>
      <c r="DOM137" s="8"/>
      <c r="DON137" s="547"/>
      <c r="DOO137" s="547"/>
      <c r="DOP137" s="547"/>
      <c r="DOQ137" s="547"/>
      <c r="DOR137" s="548"/>
      <c r="DOS137" s="547"/>
      <c r="DOT137" s="547"/>
      <c r="DOU137" s="547"/>
      <c r="DOV137" s="547"/>
      <c r="DOW137" s="548"/>
      <c r="DOX137" s="547"/>
      <c r="DOY137" s="547"/>
      <c r="DOZ137" s="547"/>
      <c r="DPA137" s="547"/>
      <c r="DPB137" s="548"/>
      <c r="DPC137" s="547"/>
      <c r="DPD137" s="547"/>
      <c r="DPE137" s="547"/>
      <c r="DPF137" s="552"/>
      <c r="DPG137" s="548"/>
      <c r="DPH137" s="552"/>
      <c r="DPI137" s="552"/>
      <c r="DPJ137" s="552"/>
      <c r="DPK137" s="552"/>
      <c r="DPL137" s="548"/>
      <c r="DPM137" s="553"/>
      <c r="DPN137" s="553"/>
      <c r="DPO137" s="553"/>
      <c r="DPP137" s="8"/>
      <c r="DPQ137" s="8"/>
      <c r="DPR137" s="458"/>
      <c r="DPS137" s="8"/>
      <c r="DPT137" s="8"/>
      <c r="DPU137" s="547"/>
      <c r="DPV137" s="547"/>
      <c r="DPW137" s="547"/>
      <c r="DPX137" s="547"/>
      <c r="DPY137" s="548"/>
      <c r="DPZ137" s="547"/>
      <c r="DQA137" s="547"/>
      <c r="DQB137" s="547"/>
      <c r="DQC137" s="547"/>
      <c r="DQD137" s="548"/>
      <c r="DQE137" s="547"/>
      <c r="DQF137" s="547"/>
      <c r="DQG137" s="547"/>
      <c r="DQH137" s="547"/>
      <c r="DQI137" s="548"/>
      <c r="DQJ137" s="547"/>
      <c r="DQK137" s="547"/>
      <c r="DQL137" s="547"/>
      <c r="DQM137" s="552"/>
      <c r="DQN137" s="548"/>
      <c r="DQO137" s="552"/>
      <c r="DQP137" s="552"/>
      <c r="DQQ137" s="552"/>
      <c r="DQR137" s="552"/>
      <c r="DQS137" s="548"/>
      <c r="DQT137" s="553"/>
      <c r="DQU137" s="553"/>
      <c r="DQV137" s="553"/>
      <c r="DQW137" s="8"/>
      <c r="DQX137" s="8"/>
      <c r="DQY137" s="458"/>
      <c r="DQZ137" s="8"/>
      <c r="DRA137" s="8"/>
      <c r="DRB137" s="547"/>
      <c r="DRC137" s="547"/>
      <c r="DRD137" s="547"/>
      <c r="DRE137" s="547"/>
      <c r="DRF137" s="548"/>
      <c r="DRG137" s="547"/>
      <c r="DRH137" s="547"/>
      <c r="DRI137" s="547"/>
      <c r="DRJ137" s="547"/>
      <c r="DRK137" s="548"/>
      <c r="DRL137" s="547"/>
      <c r="DRM137" s="547"/>
      <c r="DRN137" s="547"/>
      <c r="DRO137" s="547"/>
      <c r="DRP137" s="548"/>
      <c r="DRQ137" s="547"/>
      <c r="DRR137" s="547"/>
      <c r="DRS137" s="547"/>
      <c r="DRT137" s="552"/>
      <c r="DRU137" s="548"/>
      <c r="DRV137" s="552"/>
      <c r="DRW137" s="552"/>
      <c r="DRX137" s="552"/>
      <c r="DRY137" s="552"/>
      <c r="DRZ137" s="548"/>
      <c r="DSA137" s="553"/>
      <c r="DSB137" s="553"/>
      <c r="DSC137" s="553"/>
      <c r="DSD137" s="8"/>
      <c r="DSE137" s="8"/>
      <c r="DSF137" s="458"/>
      <c r="DSG137" s="8"/>
      <c r="DSH137" s="8"/>
      <c r="DSI137" s="547"/>
      <c r="DSJ137" s="547"/>
      <c r="DSK137" s="547"/>
      <c r="DSL137" s="547"/>
      <c r="DSM137" s="548"/>
      <c r="DSN137" s="547"/>
      <c r="DSO137" s="547"/>
      <c r="DSP137" s="547"/>
      <c r="DSQ137" s="547"/>
      <c r="DSR137" s="548"/>
      <c r="DSS137" s="547"/>
      <c r="DST137" s="547"/>
      <c r="DSU137" s="547"/>
      <c r="DSV137" s="547"/>
      <c r="DSW137" s="548"/>
      <c r="DSX137" s="547"/>
      <c r="DSY137" s="547"/>
      <c r="DSZ137" s="547"/>
      <c r="DTA137" s="552"/>
      <c r="DTB137" s="548"/>
      <c r="DTC137" s="552"/>
      <c r="DTD137" s="552"/>
      <c r="DTE137" s="552"/>
      <c r="DTF137" s="552"/>
      <c r="DTG137" s="548"/>
      <c r="DTH137" s="553"/>
      <c r="DTI137" s="553"/>
      <c r="DTJ137" s="553"/>
      <c r="DTK137" s="8"/>
      <c r="DTL137" s="8"/>
      <c r="DTM137" s="458"/>
      <c r="DTN137" s="8"/>
      <c r="DTO137" s="8"/>
      <c r="DTP137" s="547"/>
      <c r="DTQ137" s="547"/>
      <c r="DTR137" s="547"/>
      <c r="DTS137" s="547"/>
      <c r="DTT137" s="548"/>
      <c r="DTU137" s="547"/>
      <c r="DTV137" s="547"/>
      <c r="DTW137" s="547"/>
      <c r="DTX137" s="547"/>
      <c r="DTY137" s="548"/>
      <c r="DTZ137" s="547"/>
      <c r="DUA137" s="547"/>
      <c r="DUB137" s="547"/>
      <c r="DUC137" s="547"/>
      <c r="DUD137" s="548"/>
      <c r="DUE137" s="547"/>
      <c r="DUF137" s="547"/>
      <c r="DUG137" s="547"/>
      <c r="DUH137" s="552"/>
      <c r="DUI137" s="548"/>
      <c r="DUJ137" s="552"/>
      <c r="DUK137" s="552"/>
      <c r="DUL137" s="552"/>
      <c r="DUM137" s="552"/>
      <c r="DUN137" s="548"/>
      <c r="DUO137" s="553"/>
      <c r="DUP137" s="553"/>
      <c r="DUQ137" s="553"/>
      <c r="DUR137" s="8"/>
      <c r="DUS137" s="8"/>
      <c r="DUT137" s="458"/>
      <c r="DUU137" s="8"/>
      <c r="DUV137" s="8"/>
      <c r="DUW137" s="547"/>
      <c r="DUX137" s="547"/>
      <c r="DUY137" s="547"/>
      <c r="DUZ137" s="547"/>
      <c r="DVA137" s="548"/>
      <c r="DVB137" s="547"/>
      <c r="DVC137" s="547"/>
      <c r="DVD137" s="547"/>
      <c r="DVE137" s="547"/>
      <c r="DVF137" s="548"/>
      <c r="DVG137" s="547"/>
      <c r="DVH137" s="547"/>
      <c r="DVI137" s="547"/>
      <c r="DVJ137" s="547"/>
      <c r="DVK137" s="548"/>
      <c r="DVL137" s="547"/>
      <c r="DVM137" s="547"/>
      <c r="DVN137" s="547"/>
      <c r="DVO137" s="552"/>
      <c r="DVP137" s="548"/>
      <c r="DVQ137" s="552"/>
      <c r="DVR137" s="552"/>
      <c r="DVS137" s="552"/>
      <c r="DVT137" s="552"/>
      <c r="DVU137" s="548"/>
      <c r="DVV137" s="553"/>
      <c r="DVW137" s="553"/>
      <c r="DVX137" s="553"/>
      <c r="DVY137" s="8"/>
      <c r="DVZ137" s="8"/>
      <c r="DWA137" s="458"/>
      <c r="DWB137" s="8"/>
      <c r="DWC137" s="8"/>
      <c r="DWD137" s="547"/>
      <c r="DWE137" s="547"/>
      <c r="DWF137" s="547"/>
      <c r="DWG137" s="547"/>
      <c r="DWH137" s="548"/>
      <c r="DWI137" s="547"/>
      <c r="DWJ137" s="547"/>
      <c r="DWK137" s="547"/>
      <c r="DWL137" s="547"/>
      <c r="DWM137" s="548"/>
      <c r="DWN137" s="547"/>
      <c r="DWO137" s="547"/>
      <c r="DWP137" s="547"/>
      <c r="DWQ137" s="547"/>
      <c r="DWR137" s="548"/>
      <c r="DWS137" s="547"/>
      <c r="DWT137" s="547"/>
      <c r="DWU137" s="547"/>
      <c r="DWV137" s="552"/>
      <c r="DWW137" s="548"/>
      <c r="DWX137" s="552"/>
      <c r="DWY137" s="552"/>
      <c r="DWZ137" s="552"/>
      <c r="DXA137" s="552"/>
      <c r="DXB137" s="548"/>
      <c r="DXC137" s="553"/>
      <c r="DXD137" s="553"/>
      <c r="DXE137" s="553"/>
      <c r="DXF137" s="8"/>
      <c r="DXG137" s="8"/>
      <c r="DXH137" s="458"/>
      <c r="DXI137" s="8"/>
      <c r="DXJ137" s="8"/>
      <c r="DXK137" s="547"/>
      <c r="DXL137" s="547"/>
      <c r="DXM137" s="547"/>
      <c r="DXN137" s="547"/>
      <c r="DXO137" s="548"/>
      <c r="DXP137" s="547"/>
      <c r="DXQ137" s="547"/>
      <c r="DXR137" s="547"/>
      <c r="DXS137" s="547"/>
      <c r="DXT137" s="548"/>
      <c r="DXU137" s="547"/>
      <c r="DXV137" s="547"/>
      <c r="DXW137" s="547"/>
      <c r="DXX137" s="547"/>
      <c r="DXY137" s="548"/>
      <c r="DXZ137" s="547"/>
      <c r="DYA137" s="547"/>
      <c r="DYB137" s="547"/>
      <c r="DYC137" s="552"/>
      <c r="DYD137" s="548"/>
      <c r="DYE137" s="552"/>
      <c r="DYF137" s="552"/>
      <c r="DYG137" s="552"/>
      <c r="DYH137" s="552"/>
      <c r="DYI137" s="548"/>
      <c r="DYJ137" s="553"/>
      <c r="DYK137" s="553"/>
      <c r="DYL137" s="553"/>
      <c r="DYM137" s="8"/>
      <c r="DYN137" s="8"/>
      <c r="DYO137" s="458"/>
      <c r="DYP137" s="8"/>
      <c r="DYQ137" s="8"/>
      <c r="DYR137" s="547"/>
      <c r="DYS137" s="547"/>
      <c r="DYT137" s="547"/>
      <c r="DYU137" s="547"/>
      <c r="DYV137" s="548"/>
      <c r="DYW137" s="547"/>
      <c r="DYX137" s="547"/>
      <c r="DYY137" s="547"/>
      <c r="DYZ137" s="547"/>
      <c r="DZA137" s="548"/>
      <c r="DZB137" s="547"/>
      <c r="DZC137" s="547"/>
      <c r="DZD137" s="547"/>
      <c r="DZE137" s="547"/>
      <c r="DZF137" s="548"/>
      <c r="DZG137" s="547"/>
      <c r="DZH137" s="547"/>
      <c r="DZI137" s="547"/>
      <c r="DZJ137" s="552"/>
      <c r="DZK137" s="548"/>
      <c r="DZL137" s="552"/>
      <c r="DZM137" s="552"/>
      <c r="DZN137" s="552"/>
      <c r="DZO137" s="552"/>
      <c r="DZP137" s="548"/>
      <c r="DZQ137" s="553"/>
      <c r="DZR137" s="553"/>
      <c r="DZS137" s="553"/>
      <c r="DZT137" s="8"/>
      <c r="DZU137" s="8"/>
      <c r="DZV137" s="458"/>
      <c r="DZW137" s="8"/>
      <c r="DZX137" s="8"/>
      <c r="DZY137" s="547"/>
      <c r="DZZ137" s="547"/>
      <c r="EAA137" s="547"/>
      <c r="EAB137" s="547"/>
      <c r="EAC137" s="548"/>
      <c r="EAD137" s="547"/>
      <c r="EAE137" s="547"/>
      <c r="EAF137" s="547"/>
      <c r="EAG137" s="547"/>
      <c r="EAH137" s="548"/>
      <c r="EAI137" s="547"/>
      <c r="EAJ137" s="547"/>
      <c r="EAK137" s="547"/>
      <c r="EAL137" s="547"/>
      <c r="EAM137" s="548"/>
      <c r="EAN137" s="547"/>
      <c r="EAO137" s="547"/>
      <c r="EAP137" s="547"/>
      <c r="EAQ137" s="552"/>
      <c r="EAR137" s="548"/>
      <c r="EAS137" s="552"/>
      <c r="EAT137" s="552"/>
      <c r="EAU137" s="552"/>
      <c r="EAV137" s="552"/>
      <c r="EAW137" s="548"/>
      <c r="EAX137" s="553"/>
      <c r="EAY137" s="553"/>
      <c r="EAZ137" s="553"/>
      <c r="EBA137" s="8"/>
      <c r="EBB137" s="8"/>
      <c r="EBC137" s="458"/>
      <c r="EBD137" s="8"/>
      <c r="EBE137" s="8"/>
      <c r="EBF137" s="547"/>
      <c r="EBG137" s="547"/>
      <c r="EBH137" s="547"/>
      <c r="EBI137" s="547"/>
      <c r="EBJ137" s="548"/>
      <c r="EBK137" s="547"/>
      <c r="EBL137" s="547"/>
      <c r="EBM137" s="547"/>
      <c r="EBN137" s="547"/>
      <c r="EBO137" s="548"/>
      <c r="EBP137" s="547"/>
      <c r="EBQ137" s="547"/>
      <c r="EBR137" s="547"/>
      <c r="EBS137" s="547"/>
      <c r="EBT137" s="548"/>
      <c r="EBU137" s="547"/>
      <c r="EBV137" s="547"/>
      <c r="EBW137" s="547"/>
      <c r="EBX137" s="552"/>
      <c r="EBY137" s="548"/>
      <c r="EBZ137" s="552"/>
      <c r="ECA137" s="552"/>
      <c r="ECB137" s="552"/>
      <c r="ECC137" s="552"/>
      <c r="ECD137" s="548"/>
      <c r="ECE137" s="553"/>
      <c r="ECF137" s="553"/>
      <c r="ECG137" s="553"/>
      <c r="ECH137" s="8"/>
      <c r="ECI137" s="8"/>
      <c r="ECJ137" s="458"/>
      <c r="ECK137" s="8"/>
      <c r="ECL137" s="8"/>
      <c r="ECM137" s="547"/>
      <c r="ECN137" s="547"/>
      <c r="ECO137" s="547"/>
      <c r="ECP137" s="547"/>
      <c r="ECQ137" s="548"/>
      <c r="ECR137" s="547"/>
      <c r="ECS137" s="547"/>
      <c r="ECT137" s="547"/>
      <c r="ECU137" s="547"/>
      <c r="ECV137" s="548"/>
      <c r="ECW137" s="547"/>
      <c r="ECX137" s="547"/>
      <c r="ECY137" s="547"/>
      <c r="ECZ137" s="547"/>
      <c r="EDA137" s="548"/>
      <c r="EDB137" s="547"/>
      <c r="EDC137" s="547"/>
      <c r="EDD137" s="547"/>
      <c r="EDE137" s="552"/>
      <c r="EDF137" s="548"/>
      <c r="EDG137" s="552"/>
      <c r="EDH137" s="552"/>
      <c r="EDI137" s="552"/>
      <c r="EDJ137" s="552"/>
      <c r="EDK137" s="548"/>
      <c r="EDL137" s="553"/>
      <c r="EDM137" s="553"/>
      <c r="EDN137" s="553"/>
      <c r="EDO137" s="8"/>
      <c r="EDP137" s="8"/>
      <c r="EDQ137" s="458"/>
      <c r="EDR137" s="8"/>
      <c r="EDS137" s="8"/>
      <c r="EDT137" s="547"/>
      <c r="EDU137" s="547"/>
      <c r="EDV137" s="547"/>
      <c r="EDW137" s="547"/>
      <c r="EDX137" s="548"/>
      <c r="EDY137" s="547"/>
      <c r="EDZ137" s="547"/>
      <c r="EEA137" s="547"/>
      <c r="EEB137" s="547"/>
      <c r="EEC137" s="548"/>
      <c r="EED137" s="547"/>
      <c r="EEE137" s="547"/>
      <c r="EEF137" s="547"/>
      <c r="EEG137" s="547"/>
      <c r="EEH137" s="548"/>
      <c r="EEI137" s="547"/>
      <c r="EEJ137" s="547"/>
      <c r="EEK137" s="547"/>
      <c r="EEL137" s="552"/>
      <c r="EEM137" s="548"/>
      <c r="EEN137" s="552"/>
      <c r="EEO137" s="552"/>
      <c r="EEP137" s="552"/>
      <c r="EEQ137" s="552"/>
      <c r="EER137" s="548"/>
      <c r="EES137" s="553"/>
      <c r="EET137" s="553"/>
      <c r="EEU137" s="553"/>
      <c r="EEV137" s="8"/>
      <c r="EEW137" s="8"/>
      <c r="EEX137" s="458"/>
      <c r="EEY137" s="8"/>
      <c r="EEZ137" s="8"/>
      <c r="EFA137" s="547"/>
      <c r="EFB137" s="547"/>
      <c r="EFC137" s="547"/>
      <c r="EFD137" s="547"/>
      <c r="EFE137" s="548"/>
      <c r="EFF137" s="547"/>
      <c r="EFG137" s="547"/>
      <c r="EFH137" s="547"/>
      <c r="EFI137" s="547"/>
      <c r="EFJ137" s="548"/>
      <c r="EFK137" s="547"/>
      <c r="EFL137" s="547"/>
      <c r="EFM137" s="547"/>
      <c r="EFN137" s="547"/>
      <c r="EFO137" s="548"/>
      <c r="EFP137" s="547"/>
      <c r="EFQ137" s="547"/>
      <c r="EFR137" s="547"/>
      <c r="EFS137" s="552"/>
      <c r="EFT137" s="548"/>
      <c r="EFU137" s="552"/>
      <c r="EFV137" s="552"/>
      <c r="EFW137" s="552"/>
      <c r="EFX137" s="552"/>
      <c r="EFY137" s="548"/>
      <c r="EFZ137" s="553"/>
      <c r="EGA137" s="553"/>
      <c r="EGB137" s="553"/>
      <c r="EGC137" s="8"/>
      <c r="EGD137" s="8"/>
      <c r="EGE137" s="458"/>
      <c r="EGF137" s="8"/>
      <c r="EGG137" s="8"/>
      <c r="EGH137" s="547"/>
      <c r="EGI137" s="547"/>
      <c r="EGJ137" s="547"/>
      <c r="EGK137" s="547"/>
      <c r="EGL137" s="548"/>
      <c r="EGM137" s="547"/>
      <c r="EGN137" s="547"/>
      <c r="EGO137" s="547"/>
      <c r="EGP137" s="547"/>
      <c r="EGQ137" s="548"/>
      <c r="EGR137" s="547"/>
      <c r="EGS137" s="547"/>
      <c r="EGT137" s="547"/>
      <c r="EGU137" s="547"/>
      <c r="EGV137" s="548"/>
      <c r="EGW137" s="547"/>
      <c r="EGX137" s="547"/>
      <c r="EGY137" s="547"/>
      <c r="EGZ137" s="552"/>
      <c r="EHA137" s="548"/>
      <c r="EHB137" s="552"/>
      <c r="EHC137" s="552"/>
      <c r="EHD137" s="552"/>
      <c r="EHE137" s="552"/>
      <c r="EHF137" s="548"/>
      <c r="EHG137" s="553"/>
      <c r="EHH137" s="553"/>
      <c r="EHI137" s="553"/>
      <c r="EHJ137" s="8"/>
      <c r="EHK137" s="8"/>
      <c r="EHL137" s="458"/>
      <c r="EHM137" s="8"/>
      <c r="EHN137" s="8"/>
      <c r="EHO137" s="547"/>
      <c r="EHP137" s="547"/>
      <c r="EHQ137" s="547"/>
      <c r="EHR137" s="547"/>
      <c r="EHS137" s="548"/>
      <c r="EHT137" s="547"/>
      <c r="EHU137" s="547"/>
      <c r="EHV137" s="547"/>
      <c r="EHW137" s="547"/>
      <c r="EHX137" s="548"/>
      <c r="EHY137" s="547"/>
      <c r="EHZ137" s="547"/>
      <c r="EIA137" s="547"/>
      <c r="EIB137" s="547"/>
      <c r="EIC137" s="548"/>
      <c r="EID137" s="547"/>
      <c r="EIE137" s="547"/>
      <c r="EIF137" s="547"/>
      <c r="EIG137" s="552"/>
      <c r="EIH137" s="548"/>
      <c r="EII137" s="552"/>
      <c r="EIJ137" s="552"/>
      <c r="EIK137" s="552"/>
      <c r="EIL137" s="552"/>
      <c r="EIM137" s="548"/>
      <c r="EIN137" s="553"/>
      <c r="EIO137" s="553"/>
      <c r="EIP137" s="553"/>
      <c r="EIQ137" s="8"/>
      <c r="EIR137" s="8"/>
      <c r="EIS137" s="458"/>
      <c r="EIT137" s="8"/>
      <c r="EIU137" s="8"/>
      <c r="EIV137" s="547"/>
      <c r="EIW137" s="547"/>
      <c r="EIX137" s="547"/>
      <c r="EIY137" s="547"/>
      <c r="EIZ137" s="548"/>
      <c r="EJA137" s="547"/>
      <c r="EJB137" s="547"/>
      <c r="EJC137" s="547"/>
      <c r="EJD137" s="547"/>
      <c r="EJE137" s="548"/>
      <c r="EJF137" s="547"/>
      <c r="EJG137" s="547"/>
      <c r="EJH137" s="547"/>
      <c r="EJI137" s="547"/>
      <c r="EJJ137" s="548"/>
      <c r="EJK137" s="547"/>
      <c r="EJL137" s="547"/>
      <c r="EJM137" s="547"/>
      <c r="EJN137" s="552"/>
      <c r="EJO137" s="548"/>
      <c r="EJP137" s="552"/>
      <c r="EJQ137" s="552"/>
      <c r="EJR137" s="552"/>
      <c r="EJS137" s="552"/>
      <c r="EJT137" s="548"/>
      <c r="EJU137" s="553"/>
      <c r="EJV137" s="553"/>
      <c r="EJW137" s="553"/>
      <c r="EJX137" s="8"/>
      <c r="EJY137" s="8"/>
      <c r="EJZ137" s="458"/>
      <c r="EKA137" s="8"/>
      <c r="EKB137" s="8"/>
      <c r="EKC137" s="547"/>
      <c r="EKD137" s="547"/>
      <c r="EKE137" s="547"/>
      <c r="EKF137" s="547"/>
      <c r="EKG137" s="548"/>
      <c r="EKH137" s="547"/>
      <c r="EKI137" s="547"/>
      <c r="EKJ137" s="547"/>
      <c r="EKK137" s="547"/>
      <c r="EKL137" s="548"/>
      <c r="EKM137" s="547"/>
      <c r="EKN137" s="547"/>
      <c r="EKO137" s="547"/>
      <c r="EKP137" s="547"/>
      <c r="EKQ137" s="548"/>
      <c r="EKR137" s="547"/>
      <c r="EKS137" s="547"/>
      <c r="EKT137" s="547"/>
      <c r="EKU137" s="552"/>
      <c r="EKV137" s="548"/>
      <c r="EKW137" s="552"/>
      <c r="EKX137" s="552"/>
      <c r="EKY137" s="552"/>
      <c r="EKZ137" s="552"/>
      <c r="ELA137" s="548"/>
      <c r="ELB137" s="553"/>
      <c r="ELC137" s="553"/>
      <c r="ELD137" s="553"/>
      <c r="ELE137" s="8"/>
      <c r="ELF137" s="8"/>
      <c r="ELG137" s="458"/>
      <c r="ELH137" s="8"/>
      <c r="ELI137" s="8"/>
      <c r="ELJ137" s="547"/>
      <c r="ELK137" s="547"/>
      <c r="ELL137" s="547"/>
      <c r="ELM137" s="547"/>
      <c r="ELN137" s="548"/>
      <c r="ELO137" s="547"/>
      <c r="ELP137" s="547"/>
      <c r="ELQ137" s="547"/>
      <c r="ELR137" s="547"/>
      <c r="ELS137" s="548"/>
      <c r="ELT137" s="547"/>
      <c r="ELU137" s="547"/>
      <c r="ELV137" s="547"/>
      <c r="ELW137" s="547"/>
      <c r="ELX137" s="548"/>
      <c r="ELY137" s="547"/>
      <c r="ELZ137" s="547"/>
      <c r="EMA137" s="547"/>
      <c r="EMB137" s="552"/>
      <c r="EMC137" s="548"/>
      <c r="EMD137" s="552"/>
      <c r="EME137" s="552"/>
      <c r="EMF137" s="552"/>
      <c r="EMG137" s="552"/>
      <c r="EMH137" s="548"/>
      <c r="EMI137" s="553"/>
      <c r="EMJ137" s="553"/>
      <c r="EMK137" s="553"/>
      <c r="EML137" s="8"/>
      <c r="EMM137" s="8"/>
      <c r="EMN137" s="458"/>
      <c r="EMO137" s="8"/>
      <c r="EMP137" s="8"/>
      <c r="EMQ137" s="547"/>
      <c r="EMR137" s="547"/>
      <c r="EMS137" s="547"/>
      <c r="EMT137" s="547"/>
      <c r="EMU137" s="548"/>
      <c r="EMV137" s="547"/>
      <c r="EMW137" s="547"/>
      <c r="EMX137" s="547"/>
      <c r="EMY137" s="547"/>
      <c r="EMZ137" s="548"/>
      <c r="ENA137" s="547"/>
      <c r="ENB137" s="547"/>
      <c r="ENC137" s="547"/>
      <c r="END137" s="547"/>
      <c r="ENE137" s="548"/>
      <c r="ENF137" s="547"/>
      <c r="ENG137" s="547"/>
      <c r="ENH137" s="547"/>
      <c r="ENI137" s="552"/>
      <c r="ENJ137" s="548"/>
      <c r="ENK137" s="552"/>
      <c r="ENL137" s="552"/>
      <c r="ENM137" s="552"/>
      <c r="ENN137" s="552"/>
      <c r="ENO137" s="548"/>
      <c r="ENP137" s="553"/>
      <c r="ENQ137" s="553"/>
      <c r="ENR137" s="553"/>
      <c r="ENS137" s="8"/>
      <c r="ENT137" s="8"/>
      <c r="ENU137" s="458"/>
      <c r="ENV137" s="8"/>
      <c r="ENW137" s="8"/>
      <c r="ENX137" s="547"/>
      <c r="ENY137" s="547"/>
      <c r="ENZ137" s="547"/>
      <c r="EOA137" s="547"/>
      <c r="EOB137" s="548"/>
      <c r="EOC137" s="547"/>
      <c r="EOD137" s="547"/>
      <c r="EOE137" s="547"/>
      <c r="EOF137" s="547"/>
      <c r="EOG137" s="548"/>
      <c r="EOH137" s="547"/>
      <c r="EOI137" s="547"/>
      <c r="EOJ137" s="547"/>
      <c r="EOK137" s="547"/>
      <c r="EOL137" s="548"/>
      <c r="EOM137" s="547"/>
      <c r="EON137" s="547"/>
      <c r="EOO137" s="547"/>
      <c r="EOP137" s="552"/>
      <c r="EOQ137" s="548"/>
      <c r="EOR137" s="552"/>
      <c r="EOS137" s="552"/>
      <c r="EOT137" s="552"/>
      <c r="EOU137" s="552"/>
      <c r="EOV137" s="548"/>
      <c r="EOW137" s="553"/>
      <c r="EOX137" s="553"/>
      <c r="EOY137" s="553"/>
      <c r="EOZ137" s="8"/>
      <c r="EPA137" s="8"/>
      <c r="EPB137" s="458"/>
      <c r="EPC137" s="8"/>
      <c r="EPD137" s="8"/>
      <c r="EPE137" s="547"/>
      <c r="EPF137" s="547"/>
      <c r="EPG137" s="547"/>
      <c r="EPH137" s="547"/>
      <c r="EPI137" s="548"/>
      <c r="EPJ137" s="547"/>
      <c r="EPK137" s="547"/>
      <c r="EPL137" s="547"/>
      <c r="EPM137" s="547"/>
      <c r="EPN137" s="548"/>
      <c r="EPO137" s="547"/>
      <c r="EPP137" s="547"/>
      <c r="EPQ137" s="547"/>
      <c r="EPR137" s="547"/>
      <c r="EPS137" s="548"/>
      <c r="EPT137" s="547"/>
      <c r="EPU137" s="547"/>
      <c r="EPV137" s="547"/>
      <c r="EPW137" s="552"/>
      <c r="EPX137" s="548"/>
      <c r="EPY137" s="552"/>
      <c r="EPZ137" s="552"/>
      <c r="EQA137" s="552"/>
      <c r="EQB137" s="552"/>
      <c r="EQC137" s="548"/>
      <c r="EQD137" s="553"/>
      <c r="EQE137" s="553"/>
      <c r="EQF137" s="553"/>
      <c r="EQG137" s="8"/>
      <c r="EQH137" s="8"/>
      <c r="EQI137" s="458"/>
      <c r="EQJ137" s="8"/>
      <c r="EQK137" s="8"/>
      <c r="EQL137" s="547"/>
      <c r="EQM137" s="547"/>
      <c r="EQN137" s="547"/>
      <c r="EQO137" s="547"/>
      <c r="EQP137" s="548"/>
      <c r="EQQ137" s="547"/>
      <c r="EQR137" s="547"/>
      <c r="EQS137" s="547"/>
      <c r="EQT137" s="547"/>
      <c r="EQU137" s="548"/>
      <c r="EQV137" s="547"/>
      <c r="EQW137" s="547"/>
      <c r="EQX137" s="547"/>
      <c r="EQY137" s="547"/>
      <c r="EQZ137" s="548"/>
      <c r="ERA137" s="547"/>
      <c r="ERB137" s="547"/>
      <c r="ERC137" s="547"/>
      <c r="ERD137" s="552"/>
      <c r="ERE137" s="548"/>
      <c r="ERF137" s="552"/>
      <c r="ERG137" s="552"/>
      <c r="ERH137" s="552"/>
      <c r="ERI137" s="552"/>
      <c r="ERJ137" s="548"/>
      <c r="ERK137" s="553"/>
      <c r="ERL137" s="553"/>
      <c r="ERM137" s="553"/>
      <c r="ERN137" s="8"/>
      <c r="ERO137" s="8"/>
      <c r="ERP137" s="458"/>
      <c r="ERQ137" s="8"/>
      <c r="ERR137" s="8"/>
      <c r="ERS137" s="547"/>
      <c r="ERT137" s="547"/>
      <c r="ERU137" s="547"/>
      <c r="ERV137" s="547"/>
      <c r="ERW137" s="548"/>
      <c r="ERX137" s="547"/>
      <c r="ERY137" s="547"/>
      <c r="ERZ137" s="547"/>
      <c r="ESA137" s="547"/>
      <c r="ESB137" s="548"/>
      <c r="ESC137" s="547"/>
      <c r="ESD137" s="547"/>
      <c r="ESE137" s="547"/>
      <c r="ESF137" s="547"/>
      <c r="ESG137" s="548"/>
      <c r="ESH137" s="547"/>
      <c r="ESI137" s="547"/>
      <c r="ESJ137" s="547"/>
      <c r="ESK137" s="552"/>
      <c r="ESL137" s="548"/>
      <c r="ESM137" s="552"/>
      <c r="ESN137" s="552"/>
      <c r="ESO137" s="552"/>
      <c r="ESP137" s="552"/>
      <c r="ESQ137" s="548"/>
      <c r="ESR137" s="553"/>
      <c r="ESS137" s="553"/>
      <c r="EST137" s="553"/>
      <c r="ESU137" s="8"/>
      <c r="ESV137" s="8"/>
      <c r="ESW137" s="458"/>
      <c r="ESX137" s="8"/>
      <c r="ESY137" s="8"/>
      <c r="ESZ137" s="547"/>
      <c r="ETA137" s="547"/>
      <c r="ETB137" s="547"/>
      <c r="ETC137" s="547"/>
      <c r="ETD137" s="548"/>
      <c r="ETE137" s="547"/>
      <c r="ETF137" s="547"/>
      <c r="ETG137" s="547"/>
      <c r="ETH137" s="547"/>
      <c r="ETI137" s="548"/>
      <c r="ETJ137" s="547"/>
      <c r="ETK137" s="547"/>
      <c r="ETL137" s="547"/>
      <c r="ETM137" s="547"/>
      <c r="ETN137" s="548"/>
      <c r="ETO137" s="547"/>
      <c r="ETP137" s="547"/>
      <c r="ETQ137" s="547"/>
      <c r="ETR137" s="552"/>
      <c r="ETS137" s="548"/>
      <c r="ETT137" s="552"/>
      <c r="ETU137" s="552"/>
      <c r="ETV137" s="552"/>
      <c r="ETW137" s="552"/>
      <c r="ETX137" s="548"/>
      <c r="ETY137" s="553"/>
      <c r="ETZ137" s="553"/>
      <c r="EUA137" s="553"/>
      <c r="EUB137" s="8"/>
      <c r="EUC137" s="8"/>
      <c r="EUD137" s="458"/>
      <c r="EUE137" s="8"/>
      <c r="EUF137" s="8"/>
      <c r="EUG137" s="547"/>
      <c r="EUH137" s="547"/>
      <c r="EUI137" s="547"/>
      <c r="EUJ137" s="547"/>
      <c r="EUK137" s="548"/>
      <c r="EUL137" s="547"/>
      <c r="EUM137" s="547"/>
      <c r="EUN137" s="547"/>
      <c r="EUO137" s="547"/>
      <c r="EUP137" s="548"/>
      <c r="EUQ137" s="547"/>
      <c r="EUR137" s="547"/>
      <c r="EUS137" s="547"/>
      <c r="EUT137" s="547"/>
      <c r="EUU137" s="548"/>
      <c r="EUV137" s="547"/>
      <c r="EUW137" s="547"/>
      <c r="EUX137" s="547"/>
      <c r="EUY137" s="552"/>
      <c r="EUZ137" s="548"/>
      <c r="EVA137" s="552"/>
      <c r="EVB137" s="552"/>
      <c r="EVC137" s="552"/>
      <c r="EVD137" s="552"/>
      <c r="EVE137" s="548"/>
      <c r="EVF137" s="553"/>
      <c r="EVG137" s="553"/>
      <c r="EVH137" s="553"/>
      <c r="EVI137" s="8"/>
      <c r="EVJ137" s="8"/>
      <c r="EVK137" s="458"/>
      <c r="EVL137" s="8"/>
      <c r="EVM137" s="8"/>
      <c r="EVN137" s="547"/>
      <c r="EVO137" s="547"/>
      <c r="EVP137" s="547"/>
      <c r="EVQ137" s="547"/>
      <c r="EVR137" s="548"/>
      <c r="EVS137" s="547"/>
      <c r="EVT137" s="547"/>
      <c r="EVU137" s="547"/>
      <c r="EVV137" s="547"/>
      <c r="EVW137" s="548"/>
      <c r="EVX137" s="547"/>
      <c r="EVY137" s="547"/>
      <c r="EVZ137" s="547"/>
      <c r="EWA137" s="547"/>
      <c r="EWB137" s="548"/>
      <c r="EWC137" s="547"/>
      <c r="EWD137" s="547"/>
      <c r="EWE137" s="547"/>
      <c r="EWF137" s="552"/>
      <c r="EWG137" s="548"/>
      <c r="EWH137" s="552"/>
      <c r="EWI137" s="552"/>
      <c r="EWJ137" s="552"/>
      <c r="EWK137" s="552"/>
      <c r="EWL137" s="548"/>
      <c r="EWM137" s="553"/>
      <c r="EWN137" s="553"/>
      <c r="EWO137" s="553"/>
      <c r="EWP137" s="8"/>
      <c r="EWQ137" s="8"/>
      <c r="EWR137" s="458"/>
      <c r="EWS137" s="8"/>
      <c r="EWT137" s="8"/>
      <c r="EWU137" s="547"/>
      <c r="EWV137" s="547"/>
      <c r="EWW137" s="547"/>
      <c r="EWX137" s="547"/>
      <c r="EWY137" s="548"/>
      <c r="EWZ137" s="547"/>
      <c r="EXA137" s="547"/>
      <c r="EXB137" s="547"/>
      <c r="EXC137" s="547"/>
      <c r="EXD137" s="548"/>
      <c r="EXE137" s="547"/>
      <c r="EXF137" s="547"/>
      <c r="EXG137" s="547"/>
      <c r="EXH137" s="547"/>
      <c r="EXI137" s="548"/>
      <c r="EXJ137" s="547"/>
      <c r="EXK137" s="547"/>
      <c r="EXL137" s="547"/>
      <c r="EXM137" s="552"/>
      <c r="EXN137" s="548"/>
      <c r="EXO137" s="552"/>
      <c r="EXP137" s="552"/>
      <c r="EXQ137" s="552"/>
      <c r="EXR137" s="552"/>
      <c r="EXS137" s="548"/>
      <c r="EXT137" s="553"/>
      <c r="EXU137" s="553"/>
      <c r="EXV137" s="553"/>
      <c r="EXW137" s="8"/>
      <c r="EXX137" s="8"/>
      <c r="EXY137" s="458"/>
      <c r="EXZ137" s="8"/>
      <c r="EYA137" s="8"/>
      <c r="EYB137" s="547"/>
      <c r="EYC137" s="547"/>
      <c r="EYD137" s="547"/>
      <c r="EYE137" s="547"/>
      <c r="EYF137" s="548"/>
      <c r="EYG137" s="547"/>
      <c r="EYH137" s="547"/>
      <c r="EYI137" s="547"/>
      <c r="EYJ137" s="547"/>
      <c r="EYK137" s="548"/>
      <c r="EYL137" s="547"/>
      <c r="EYM137" s="547"/>
      <c r="EYN137" s="547"/>
      <c r="EYO137" s="547"/>
      <c r="EYP137" s="548"/>
      <c r="EYQ137" s="547"/>
      <c r="EYR137" s="547"/>
      <c r="EYS137" s="547"/>
      <c r="EYT137" s="552"/>
      <c r="EYU137" s="548"/>
      <c r="EYV137" s="552"/>
      <c r="EYW137" s="552"/>
      <c r="EYX137" s="552"/>
      <c r="EYY137" s="552"/>
      <c r="EYZ137" s="548"/>
      <c r="EZA137" s="553"/>
      <c r="EZB137" s="553"/>
      <c r="EZC137" s="553"/>
      <c r="EZD137" s="8"/>
      <c r="EZE137" s="8"/>
      <c r="EZF137" s="458"/>
      <c r="EZG137" s="8"/>
      <c r="EZH137" s="8"/>
      <c r="EZI137" s="547"/>
      <c r="EZJ137" s="547"/>
      <c r="EZK137" s="547"/>
      <c r="EZL137" s="547"/>
      <c r="EZM137" s="548"/>
      <c r="EZN137" s="547"/>
      <c r="EZO137" s="547"/>
      <c r="EZP137" s="547"/>
      <c r="EZQ137" s="547"/>
      <c r="EZR137" s="548"/>
      <c r="EZS137" s="547"/>
      <c r="EZT137" s="547"/>
      <c r="EZU137" s="547"/>
      <c r="EZV137" s="547"/>
      <c r="EZW137" s="548"/>
      <c r="EZX137" s="547"/>
      <c r="EZY137" s="547"/>
      <c r="EZZ137" s="547"/>
      <c r="FAA137" s="552"/>
      <c r="FAB137" s="548"/>
      <c r="FAC137" s="552"/>
      <c r="FAD137" s="552"/>
      <c r="FAE137" s="552"/>
      <c r="FAF137" s="552"/>
      <c r="FAG137" s="548"/>
      <c r="FAH137" s="553"/>
      <c r="FAI137" s="553"/>
      <c r="FAJ137" s="553"/>
      <c r="FAK137" s="8"/>
      <c r="FAL137" s="8"/>
      <c r="FAM137" s="458"/>
      <c r="FAN137" s="8"/>
      <c r="FAO137" s="8"/>
      <c r="FAP137" s="547"/>
      <c r="FAQ137" s="547"/>
      <c r="FAR137" s="547"/>
      <c r="FAS137" s="547"/>
      <c r="FAT137" s="548"/>
      <c r="FAU137" s="547"/>
      <c r="FAV137" s="547"/>
      <c r="FAW137" s="547"/>
      <c r="FAX137" s="547"/>
      <c r="FAY137" s="548"/>
      <c r="FAZ137" s="547"/>
      <c r="FBA137" s="547"/>
      <c r="FBB137" s="547"/>
      <c r="FBC137" s="547"/>
      <c r="FBD137" s="548"/>
      <c r="FBE137" s="547"/>
      <c r="FBF137" s="547"/>
      <c r="FBG137" s="547"/>
      <c r="FBH137" s="552"/>
      <c r="FBI137" s="548"/>
      <c r="FBJ137" s="552"/>
      <c r="FBK137" s="552"/>
      <c r="FBL137" s="552"/>
      <c r="FBM137" s="552"/>
      <c r="FBN137" s="548"/>
      <c r="FBO137" s="553"/>
      <c r="FBP137" s="553"/>
      <c r="FBQ137" s="553"/>
      <c r="FBR137" s="8"/>
      <c r="FBS137" s="8"/>
      <c r="FBT137" s="458"/>
      <c r="FBU137" s="8"/>
      <c r="FBV137" s="8"/>
      <c r="FBW137" s="547"/>
      <c r="FBX137" s="547"/>
      <c r="FBY137" s="547"/>
      <c r="FBZ137" s="547"/>
      <c r="FCA137" s="548"/>
      <c r="FCB137" s="547"/>
      <c r="FCC137" s="547"/>
      <c r="FCD137" s="547"/>
      <c r="FCE137" s="547"/>
      <c r="FCF137" s="548"/>
      <c r="FCG137" s="547"/>
      <c r="FCH137" s="547"/>
      <c r="FCI137" s="547"/>
      <c r="FCJ137" s="547"/>
      <c r="FCK137" s="548"/>
      <c r="FCL137" s="547"/>
      <c r="FCM137" s="547"/>
      <c r="FCN137" s="547"/>
      <c r="FCO137" s="552"/>
      <c r="FCP137" s="548"/>
      <c r="FCQ137" s="552"/>
      <c r="FCR137" s="552"/>
      <c r="FCS137" s="552"/>
      <c r="FCT137" s="552"/>
      <c r="FCU137" s="548"/>
      <c r="FCV137" s="553"/>
      <c r="FCW137" s="553"/>
      <c r="FCX137" s="553"/>
      <c r="FCY137" s="8"/>
      <c r="FCZ137" s="8"/>
      <c r="FDA137" s="458"/>
      <c r="FDB137" s="8"/>
      <c r="FDC137" s="8"/>
      <c r="FDD137" s="547"/>
      <c r="FDE137" s="547"/>
      <c r="FDF137" s="547"/>
      <c r="FDG137" s="547"/>
      <c r="FDH137" s="548"/>
      <c r="FDI137" s="547"/>
      <c r="FDJ137" s="547"/>
      <c r="FDK137" s="547"/>
      <c r="FDL137" s="547"/>
      <c r="FDM137" s="548"/>
      <c r="FDN137" s="547"/>
      <c r="FDO137" s="547"/>
      <c r="FDP137" s="547"/>
      <c r="FDQ137" s="547"/>
      <c r="FDR137" s="548"/>
      <c r="FDS137" s="547"/>
      <c r="FDT137" s="547"/>
      <c r="FDU137" s="547"/>
      <c r="FDV137" s="552"/>
      <c r="FDW137" s="548"/>
      <c r="FDX137" s="552"/>
      <c r="FDY137" s="552"/>
      <c r="FDZ137" s="552"/>
      <c r="FEA137" s="552"/>
      <c r="FEB137" s="548"/>
      <c r="FEC137" s="553"/>
      <c r="FED137" s="553"/>
      <c r="FEE137" s="553"/>
      <c r="FEF137" s="8"/>
      <c r="FEG137" s="8"/>
      <c r="FEH137" s="458"/>
      <c r="FEI137" s="8"/>
      <c r="FEJ137" s="8"/>
      <c r="FEK137" s="547"/>
      <c r="FEL137" s="547"/>
      <c r="FEM137" s="547"/>
      <c r="FEN137" s="547"/>
      <c r="FEO137" s="548"/>
      <c r="FEP137" s="547"/>
      <c r="FEQ137" s="547"/>
      <c r="FER137" s="547"/>
      <c r="FES137" s="547"/>
      <c r="FET137" s="548"/>
      <c r="FEU137" s="547"/>
      <c r="FEV137" s="547"/>
      <c r="FEW137" s="547"/>
      <c r="FEX137" s="547"/>
      <c r="FEY137" s="548"/>
      <c r="FEZ137" s="547"/>
      <c r="FFA137" s="547"/>
      <c r="FFB137" s="547"/>
      <c r="FFC137" s="552"/>
      <c r="FFD137" s="548"/>
      <c r="FFE137" s="552"/>
      <c r="FFF137" s="552"/>
      <c r="FFG137" s="552"/>
      <c r="FFH137" s="552"/>
      <c r="FFI137" s="548"/>
      <c r="FFJ137" s="553"/>
      <c r="FFK137" s="553"/>
      <c r="FFL137" s="553"/>
      <c r="FFM137" s="8"/>
      <c r="FFN137" s="8"/>
      <c r="FFO137" s="458"/>
      <c r="FFP137" s="8"/>
      <c r="FFQ137" s="8"/>
      <c r="FFR137" s="547"/>
      <c r="FFS137" s="547"/>
      <c r="FFT137" s="547"/>
      <c r="FFU137" s="547"/>
      <c r="FFV137" s="548"/>
      <c r="FFW137" s="547"/>
      <c r="FFX137" s="547"/>
      <c r="FFY137" s="547"/>
      <c r="FFZ137" s="547"/>
      <c r="FGA137" s="548"/>
      <c r="FGB137" s="547"/>
      <c r="FGC137" s="547"/>
      <c r="FGD137" s="547"/>
      <c r="FGE137" s="547"/>
      <c r="FGF137" s="548"/>
      <c r="FGG137" s="547"/>
      <c r="FGH137" s="547"/>
      <c r="FGI137" s="547"/>
      <c r="FGJ137" s="552"/>
      <c r="FGK137" s="548"/>
      <c r="FGL137" s="552"/>
      <c r="FGM137" s="552"/>
      <c r="FGN137" s="552"/>
      <c r="FGO137" s="552"/>
      <c r="FGP137" s="548"/>
      <c r="FGQ137" s="553"/>
      <c r="FGR137" s="553"/>
      <c r="FGS137" s="553"/>
      <c r="FGT137" s="8"/>
      <c r="FGU137" s="8"/>
      <c r="FGV137" s="458"/>
      <c r="FGW137" s="8"/>
      <c r="FGX137" s="8"/>
      <c r="FGY137" s="547"/>
      <c r="FGZ137" s="547"/>
      <c r="FHA137" s="547"/>
      <c r="FHB137" s="547"/>
      <c r="FHC137" s="548"/>
      <c r="FHD137" s="547"/>
      <c r="FHE137" s="547"/>
      <c r="FHF137" s="547"/>
      <c r="FHG137" s="547"/>
      <c r="FHH137" s="548"/>
      <c r="FHI137" s="547"/>
      <c r="FHJ137" s="547"/>
      <c r="FHK137" s="547"/>
      <c r="FHL137" s="547"/>
      <c r="FHM137" s="548"/>
      <c r="FHN137" s="547"/>
      <c r="FHO137" s="547"/>
      <c r="FHP137" s="547"/>
      <c r="FHQ137" s="552"/>
      <c r="FHR137" s="548"/>
      <c r="FHS137" s="552"/>
      <c r="FHT137" s="552"/>
      <c r="FHU137" s="552"/>
      <c r="FHV137" s="552"/>
      <c r="FHW137" s="548"/>
      <c r="FHX137" s="553"/>
      <c r="FHY137" s="553"/>
      <c r="FHZ137" s="553"/>
      <c r="FIA137" s="8"/>
      <c r="FIB137" s="8"/>
      <c r="FIC137" s="458"/>
      <c r="FID137" s="8"/>
      <c r="FIE137" s="8"/>
      <c r="FIF137" s="547"/>
      <c r="FIG137" s="547"/>
      <c r="FIH137" s="547"/>
      <c r="FII137" s="547"/>
      <c r="FIJ137" s="548"/>
      <c r="FIK137" s="547"/>
      <c r="FIL137" s="547"/>
      <c r="FIM137" s="547"/>
      <c r="FIN137" s="547"/>
      <c r="FIO137" s="548"/>
      <c r="FIP137" s="547"/>
      <c r="FIQ137" s="547"/>
      <c r="FIR137" s="547"/>
      <c r="FIS137" s="547"/>
      <c r="FIT137" s="548"/>
      <c r="FIU137" s="547"/>
      <c r="FIV137" s="547"/>
      <c r="FIW137" s="547"/>
      <c r="FIX137" s="552"/>
      <c r="FIY137" s="548"/>
      <c r="FIZ137" s="552"/>
      <c r="FJA137" s="552"/>
      <c r="FJB137" s="552"/>
      <c r="FJC137" s="552"/>
      <c r="FJD137" s="548"/>
      <c r="FJE137" s="553"/>
      <c r="FJF137" s="553"/>
      <c r="FJG137" s="553"/>
      <c r="FJH137" s="8"/>
      <c r="FJI137" s="8"/>
      <c r="FJJ137" s="458"/>
      <c r="FJK137" s="8"/>
      <c r="FJL137" s="8"/>
      <c r="FJM137" s="547"/>
      <c r="FJN137" s="547"/>
      <c r="FJO137" s="547"/>
      <c r="FJP137" s="547"/>
      <c r="FJQ137" s="548"/>
      <c r="FJR137" s="547"/>
      <c r="FJS137" s="547"/>
      <c r="FJT137" s="547"/>
      <c r="FJU137" s="547"/>
      <c r="FJV137" s="548"/>
      <c r="FJW137" s="547"/>
      <c r="FJX137" s="547"/>
      <c r="FJY137" s="547"/>
      <c r="FJZ137" s="547"/>
      <c r="FKA137" s="548"/>
      <c r="FKB137" s="547"/>
      <c r="FKC137" s="547"/>
      <c r="FKD137" s="547"/>
      <c r="FKE137" s="552"/>
      <c r="FKF137" s="548"/>
      <c r="FKG137" s="552"/>
      <c r="FKH137" s="552"/>
      <c r="FKI137" s="552"/>
      <c r="FKJ137" s="552"/>
      <c r="FKK137" s="548"/>
      <c r="FKL137" s="553"/>
      <c r="FKM137" s="553"/>
      <c r="FKN137" s="553"/>
      <c r="FKO137" s="8"/>
      <c r="FKP137" s="8"/>
      <c r="FKQ137" s="458"/>
      <c r="FKR137" s="8"/>
      <c r="FKS137" s="8"/>
      <c r="FKT137" s="547"/>
      <c r="FKU137" s="547"/>
      <c r="FKV137" s="547"/>
      <c r="FKW137" s="547"/>
      <c r="FKX137" s="548"/>
      <c r="FKY137" s="547"/>
      <c r="FKZ137" s="547"/>
      <c r="FLA137" s="547"/>
      <c r="FLB137" s="547"/>
      <c r="FLC137" s="548"/>
      <c r="FLD137" s="547"/>
      <c r="FLE137" s="547"/>
      <c r="FLF137" s="547"/>
      <c r="FLG137" s="547"/>
      <c r="FLH137" s="548"/>
      <c r="FLI137" s="547"/>
      <c r="FLJ137" s="547"/>
      <c r="FLK137" s="547"/>
      <c r="FLL137" s="552"/>
      <c r="FLM137" s="548"/>
      <c r="FLN137" s="552"/>
      <c r="FLO137" s="552"/>
      <c r="FLP137" s="552"/>
      <c r="FLQ137" s="552"/>
      <c r="FLR137" s="548"/>
      <c r="FLS137" s="553"/>
      <c r="FLT137" s="553"/>
      <c r="FLU137" s="553"/>
      <c r="FLV137" s="8"/>
      <c r="FLW137" s="8"/>
      <c r="FLX137" s="458"/>
      <c r="FLY137" s="8"/>
      <c r="FLZ137" s="8"/>
      <c r="FMA137" s="547"/>
      <c r="FMB137" s="547"/>
      <c r="FMC137" s="547"/>
      <c r="FMD137" s="547"/>
      <c r="FME137" s="548"/>
      <c r="FMF137" s="547"/>
      <c r="FMG137" s="547"/>
      <c r="FMH137" s="547"/>
      <c r="FMI137" s="547"/>
      <c r="FMJ137" s="548"/>
      <c r="FMK137" s="547"/>
      <c r="FML137" s="547"/>
      <c r="FMM137" s="547"/>
      <c r="FMN137" s="547"/>
      <c r="FMO137" s="548"/>
      <c r="FMP137" s="547"/>
      <c r="FMQ137" s="547"/>
      <c r="FMR137" s="547"/>
      <c r="FMS137" s="552"/>
      <c r="FMT137" s="548"/>
      <c r="FMU137" s="552"/>
      <c r="FMV137" s="552"/>
      <c r="FMW137" s="552"/>
      <c r="FMX137" s="552"/>
      <c r="FMY137" s="548"/>
      <c r="FMZ137" s="553"/>
      <c r="FNA137" s="553"/>
      <c r="FNB137" s="553"/>
      <c r="FNC137" s="8"/>
      <c r="FND137" s="8"/>
      <c r="FNE137" s="458"/>
      <c r="FNF137" s="8"/>
      <c r="FNG137" s="8"/>
      <c r="FNH137" s="547"/>
      <c r="FNI137" s="547"/>
      <c r="FNJ137" s="547"/>
      <c r="FNK137" s="547"/>
      <c r="FNL137" s="548"/>
      <c r="FNM137" s="547"/>
      <c r="FNN137" s="547"/>
      <c r="FNO137" s="547"/>
      <c r="FNP137" s="547"/>
      <c r="FNQ137" s="548"/>
      <c r="FNR137" s="547"/>
      <c r="FNS137" s="547"/>
      <c r="FNT137" s="547"/>
      <c r="FNU137" s="547"/>
      <c r="FNV137" s="548"/>
      <c r="FNW137" s="547"/>
      <c r="FNX137" s="547"/>
      <c r="FNY137" s="547"/>
      <c r="FNZ137" s="552"/>
      <c r="FOA137" s="548"/>
      <c r="FOB137" s="552"/>
      <c r="FOC137" s="552"/>
      <c r="FOD137" s="552"/>
      <c r="FOE137" s="552"/>
      <c r="FOF137" s="548"/>
      <c r="FOG137" s="553"/>
      <c r="FOH137" s="553"/>
      <c r="FOI137" s="553"/>
      <c r="FOJ137" s="8"/>
      <c r="FOK137" s="8"/>
      <c r="FOL137" s="458"/>
      <c r="FOM137" s="8"/>
      <c r="FON137" s="8"/>
      <c r="FOO137" s="547"/>
      <c r="FOP137" s="547"/>
      <c r="FOQ137" s="547"/>
      <c r="FOR137" s="547"/>
      <c r="FOS137" s="548"/>
      <c r="FOT137" s="547"/>
      <c r="FOU137" s="547"/>
      <c r="FOV137" s="547"/>
      <c r="FOW137" s="547"/>
      <c r="FOX137" s="548"/>
      <c r="FOY137" s="547"/>
      <c r="FOZ137" s="547"/>
      <c r="FPA137" s="547"/>
      <c r="FPB137" s="547"/>
      <c r="FPC137" s="548"/>
      <c r="FPD137" s="547"/>
      <c r="FPE137" s="547"/>
      <c r="FPF137" s="547"/>
      <c r="FPG137" s="552"/>
      <c r="FPH137" s="548"/>
      <c r="FPI137" s="552"/>
      <c r="FPJ137" s="552"/>
      <c r="FPK137" s="552"/>
      <c r="FPL137" s="552"/>
      <c r="FPM137" s="548"/>
      <c r="FPN137" s="553"/>
      <c r="FPO137" s="553"/>
      <c r="FPP137" s="553"/>
      <c r="FPQ137" s="8"/>
      <c r="FPR137" s="8"/>
      <c r="FPS137" s="458"/>
      <c r="FPT137" s="8"/>
      <c r="FPU137" s="8"/>
      <c r="FPV137" s="547"/>
      <c r="FPW137" s="547"/>
      <c r="FPX137" s="547"/>
      <c r="FPY137" s="547"/>
      <c r="FPZ137" s="548"/>
      <c r="FQA137" s="547"/>
      <c r="FQB137" s="547"/>
      <c r="FQC137" s="547"/>
      <c r="FQD137" s="547"/>
      <c r="FQE137" s="548"/>
      <c r="FQF137" s="547"/>
      <c r="FQG137" s="547"/>
      <c r="FQH137" s="547"/>
      <c r="FQI137" s="547"/>
      <c r="FQJ137" s="548"/>
      <c r="FQK137" s="547"/>
      <c r="FQL137" s="547"/>
      <c r="FQM137" s="547"/>
      <c r="FQN137" s="552"/>
      <c r="FQO137" s="548"/>
      <c r="FQP137" s="552"/>
      <c r="FQQ137" s="552"/>
      <c r="FQR137" s="552"/>
      <c r="FQS137" s="552"/>
      <c r="FQT137" s="548"/>
      <c r="FQU137" s="553"/>
      <c r="FQV137" s="553"/>
      <c r="FQW137" s="553"/>
      <c r="FQX137" s="8"/>
      <c r="FQY137" s="8"/>
      <c r="FQZ137" s="458"/>
      <c r="FRA137" s="8"/>
      <c r="FRB137" s="8"/>
      <c r="FRC137" s="547"/>
      <c r="FRD137" s="547"/>
      <c r="FRE137" s="547"/>
      <c r="FRF137" s="547"/>
      <c r="FRG137" s="548"/>
      <c r="FRH137" s="547"/>
      <c r="FRI137" s="547"/>
      <c r="FRJ137" s="547"/>
      <c r="FRK137" s="547"/>
      <c r="FRL137" s="548"/>
      <c r="FRM137" s="547"/>
      <c r="FRN137" s="547"/>
      <c r="FRO137" s="547"/>
      <c r="FRP137" s="547"/>
      <c r="FRQ137" s="548"/>
      <c r="FRR137" s="547"/>
      <c r="FRS137" s="547"/>
      <c r="FRT137" s="547"/>
      <c r="FRU137" s="552"/>
      <c r="FRV137" s="548"/>
      <c r="FRW137" s="552"/>
      <c r="FRX137" s="552"/>
      <c r="FRY137" s="552"/>
      <c r="FRZ137" s="552"/>
      <c r="FSA137" s="548"/>
      <c r="FSB137" s="553"/>
      <c r="FSC137" s="553"/>
      <c r="FSD137" s="553"/>
      <c r="FSE137" s="8"/>
      <c r="FSF137" s="8"/>
      <c r="FSG137" s="458"/>
      <c r="FSH137" s="8"/>
      <c r="FSI137" s="8"/>
      <c r="FSJ137" s="547"/>
      <c r="FSK137" s="547"/>
      <c r="FSL137" s="547"/>
      <c r="FSM137" s="547"/>
      <c r="FSN137" s="548"/>
      <c r="FSO137" s="547"/>
      <c r="FSP137" s="547"/>
      <c r="FSQ137" s="547"/>
      <c r="FSR137" s="547"/>
      <c r="FSS137" s="548"/>
      <c r="FST137" s="547"/>
      <c r="FSU137" s="547"/>
      <c r="FSV137" s="547"/>
      <c r="FSW137" s="547"/>
      <c r="FSX137" s="548"/>
      <c r="FSY137" s="547"/>
      <c r="FSZ137" s="547"/>
      <c r="FTA137" s="547"/>
      <c r="FTB137" s="552"/>
      <c r="FTC137" s="548"/>
      <c r="FTD137" s="552"/>
      <c r="FTE137" s="552"/>
      <c r="FTF137" s="552"/>
      <c r="FTG137" s="552"/>
      <c r="FTH137" s="548"/>
      <c r="FTI137" s="553"/>
      <c r="FTJ137" s="553"/>
      <c r="FTK137" s="553"/>
      <c r="FTL137" s="8"/>
      <c r="FTM137" s="8"/>
      <c r="FTN137" s="458"/>
      <c r="FTO137" s="8"/>
      <c r="FTP137" s="8"/>
      <c r="FTQ137" s="547"/>
      <c r="FTR137" s="547"/>
      <c r="FTS137" s="547"/>
      <c r="FTT137" s="547"/>
      <c r="FTU137" s="548"/>
      <c r="FTV137" s="547"/>
      <c r="FTW137" s="547"/>
      <c r="FTX137" s="547"/>
      <c r="FTY137" s="547"/>
      <c r="FTZ137" s="548"/>
      <c r="FUA137" s="547"/>
      <c r="FUB137" s="547"/>
      <c r="FUC137" s="547"/>
      <c r="FUD137" s="547"/>
      <c r="FUE137" s="548"/>
      <c r="FUF137" s="547"/>
      <c r="FUG137" s="547"/>
      <c r="FUH137" s="547"/>
      <c r="FUI137" s="552"/>
      <c r="FUJ137" s="548"/>
      <c r="FUK137" s="552"/>
      <c r="FUL137" s="552"/>
      <c r="FUM137" s="552"/>
      <c r="FUN137" s="552"/>
      <c r="FUO137" s="548"/>
      <c r="FUP137" s="553"/>
      <c r="FUQ137" s="553"/>
      <c r="FUR137" s="553"/>
      <c r="FUS137" s="8"/>
      <c r="FUT137" s="8"/>
      <c r="FUU137" s="458"/>
      <c r="FUV137" s="8"/>
      <c r="FUW137" s="8"/>
      <c r="FUX137" s="547"/>
      <c r="FUY137" s="547"/>
      <c r="FUZ137" s="547"/>
      <c r="FVA137" s="547"/>
      <c r="FVB137" s="548"/>
      <c r="FVC137" s="547"/>
      <c r="FVD137" s="547"/>
      <c r="FVE137" s="547"/>
      <c r="FVF137" s="547"/>
      <c r="FVG137" s="548"/>
      <c r="FVH137" s="547"/>
      <c r="FVI137" s="547"/>
      <c r="FVJ137" s="547"/>
      <c r="FVK137" s="547"/>
      <c r="FVL137" s="548"/>
      <c r="FVM137" s="547"/>
      <c r="FVN137" s="547"/>
      <c r="FVO137" s="547"/>
      <c r="FVP137" s="552"/>
      <c r="FVQ137" s="548"/>
      <c r="FVR137" s="552"/>
      <c r="FVS137" s="552"/>
      <c r="FVT137" s="552"/>
      <c r="FVU137" s="552"/>
      <c r="FVV137" s="548"/>
      <c r="FVW137" s="553"/>
      <c r="FVX137" s="553"/>
      <c r="FVY137" s="553"/>
      <c r="FVZ137" s="8"/>
      <c r="FWA137" s="8"/>
      <c r="FWB137" s="458"/>
      <c r="FWC137" s="8"/>
      <c r="FWD137" s="8"/>
      <c r="FWE137" s="547"/>
      <c r="FWF137" s="547"/>
      <c r="FWG137" s="547"/>
      <c r="FWH137" s="547"/>
      <c r="FWI137" s="548"/>
      <c r="FWJ137" s="547"/>
      <c r="FWK137" s="547"/>
      <c r="FWL137" s="547"/>
      <c r="FWM137" s="547"/>
      <c r="FWN137" s="548"/>
      <c r="FWO137" s="547"/>
      <c r="FWP137" s="547"/>
      <c r="FWQ137" s="547"/>
      <c r="FWR137" s="547"/>
      <c r="FWS137" s="548"/>
      <c r="FWT137" s="547"/>
      <c r="FWU137" s="547"/>
      <c r="FWV137" s="547"/>
      <c r="FWW137" s="552"/>
      <c r="FWX137" s="548"/>
      <c r="FWY137" s="552"/>
      <c r="FWZ137" s="552"/>
      <c r="FXA137" s="552"/>
      <c r="FXB137" s="552"/>
      <c r="FXC137" s="548"/>
      <c r="FXD137" s="553"/>
      <c r="FXE137" s="553"/>
      <c r="FXF137" s="553"/>
      <c r="FXG137" s="8"/>
      <c r="FXH137" s="8"/>
      <c r="FXI137" s="458"/>
      <c r="FXJ137" s="8"/>
      <c r="FXK137" s="8"/>
      <c r="FXL137" s="547"/>
      <c r="FXM137" s="547"/>
      <c r="FXN137" s="547"/>
      <c r="FXO137" s="547"/>
      <c r="FXP137" s="548"/>
      <c r="FXQ137" s="547"/>
      <c r="FXR137" s="547"/>
      <c r="FXS137" s="547"/>
      <c r="FXT137" s="547"/>
      <c r="FXU137" s="548"/>
      <c r="FXV137" s="547"/>
      <c r="FXW137" s="547"/>
      <c r="FXX137" s="547"/>
      <c r="FXY137" s="547"/>
      <c r="FXZ137" s="548"/>
      <c r="FYA137" s="547"/>
      <c r="FYB137" s="547"/>
      <c r="FYC137" s="547"/>
      <c r="FYD137" s="552"/>
      <c r="FYE137" s="548"/>
      <c r="FYF137" s="552"/>
      <c r="FYG137" s="552"/>
      <c r="FYH137" s="552"/>
      <c r="FYI137" s="552"/>
      <c r="FYJ137" s="548"/>
      <c r="FYK137" s="553"/>
      <c r="FYL137" s="553"/>
      <c r="FYM137" s="553"/>
      <c r="FYN137" s="8"/>
      <c r="FYO137" s="8"/>
      <c r="FYP137" s="458"/>
      <c r="FYQ137" s="8"/>
      <c r="FYR137" s="8"/>
      <c r="FYS137" s="547"/>
      <c r="FYT137" s="547"/>
      <c r="FYU137" s="547"/>
      <c r="FYV137" s="547"/>
      <c r="FYW137" s="548"/>
      <c r="FYX137" s="547"/>
      <c r="FYY137" s="547"/>
      <c r="FYZ137" s="547"/>
      <c r="FZA137" s="547"/>
      <c r="FZB137" s="548"/>
      <c r="FZC137" s="547"/>
      <c r="FZD137" s="547"/>
      <c r="FZE137" s="547"/>
      <c r="FZF137" s="547"/>
      <c r="FZG137" s="548"/>
      <c r="FZH137" s="547"/>
      <c r="FZI137" s="547"/>
      <c r="FZJ137" s="547"/>
      <c r="FZK137" s="552"/>
      <c r="FZL137" s="548"/>
      <c r="FZM137" s="552"/>
      <c r="FZN137" s="552"/>
      <c r="FZO137" s="552"/>
      <c r="FZP137" s="552"/>
      <c r="FZQ137" s="548"/>
      <c r="FZR137" s="553"/>
      <c r="FZS137" s="553"/>
      <c r="FZT137" s="553"/>
      <c r="FZU137" s="8"/>
      <c r="FZV137" s="8"/>
      <c r="FZW137" s="458"/>
      <c r="FZX137" s="8"/>
      <c r="FZY137" s="8"/>
      <c r="FZZ137" s="547"/>
      <c r="GAA137" s="547"/>
      <c r="GAB137" s="547"/>
      <c r="GAC137" s="547"/>
      <c r="GAD137" s="548"/>
      <c r="GAE137" s="547"/>
      <c r="GAF137" s="547"/>
      <c r="GAG137" s="547"/>
      <c r="GAH137" s="547"/>
      <c r="GAI137" s="548"/>
      <c r="GAJ137" s="547"/>
      <c r="GAK137" s="547"/>
      <c r="GAL137" s="547"/>
      <c r="GAM137" s="547"/>
      <c r="GAN137" s="548"/>
      <c r="GAO137" s="547"/>
      <c r="GAP137" s="547"/>
      <c r="GAQ137" s="547"/>
      <c r="GAR137" s="552"/>
      <c r="GAS137" s="548"/>
      <c r="GAT137" s="552"/>
      <c r="GAU137" s="552"/>
      <c r="GAV137" s="552"/>
      <c r="GAW137" s="552"/>
      <c r="GAX137" s="548"/>
      <c r="GAY137" s="553"/>
      <c r="GAZ137" s="553"/>
      <c r="GBA137" s="553"/>
      <c r="GBB137" s="8"/>
      <c r="GBC137" s="8"/>
      <c r="GBD137" s="458"/>
      <c r="GBE137" s="8"/>
      <c r="GBF137" s="8"/>
      <c r="GBG137" s="547"/>
      <c r="GBH137" s="547"/>
      <c r="GBI137" s="547"/>
      <c r="GBJ137" s="547"/>
      <c r="GBK137" s="548"/>
      <c r="GBL137" s="547"/>
      <c r="GBM137" s="547"/>
      <c r="GBN137" s="547"/>
      <c r="GBO137" s="547"/>
      <c r="GBP137" s="548"/>
      <c r="GBQ137" s="547"/>
      <c r="GBR137" s="547"/>
      <c r="GBS137" s="547"/>
      <c r="GBT137" s="547"/>
      <c r="GBU137" s="548"/>
      <c r="GBV137" s="547"/>
      <c r="GBW137" s="547"/>
      <c r="GBX137" s="547"/>
      <c r="GBY137" s="552"/>
      <c r="GBZ137" s="548"/>
      <c r="GCA137" s="552"/>
      <c r="GCB137" s="552"/>
      <c r="GCC137" s="552"/>
      <c r="GCD137" s="552"/>
      <c r="GCE137" s="548"/>
      <c r="GCF137" s="553"/>
      <c r="GCG137" s="553"/>
      <c r="GCH137" s="553"/>
      <c r="GCI137" s="8"/>
      <c r="GCJ137" s="8"/>
      <c r="GCK137" s="458"/>
      <c r="GCL137" s="8"/>
      <c r="GCM137" s="8"/>
      <c r="GCN137" s="547"/>
      <c r="GCO137" s="547"/>
      <c r="GCP137" s="547"/>
      <c r="GCQ137" s="547"/>
      <c r="GCR137" s="548"/>
      <c r="GCS137" s="547"/>
      <c r="GCT137" s="547"/>
      <c r="GCU137" s="547"/>
      <c r="GCV137" s="547"/>
      <c r="GCW137" s="548"/>
      <c r="GCX137" s="547"/>
      <c r="GCY137" s="547"/>
      <c r="GCZ137" s="547"/>
      <c r="GDA137" s="547"/>
      <c r="GDB137" s="548"/>
      <c r="GDC137" s="547"/>
      <c r="GDD137" s="547"/>
      <c r="GDE137" s="547"/>
      <c r="GDF137" s="552"/>
      <c r="GDG137" s="548"/>
      <c r="GDH137" s="552"/>
      <c r="GDI137" s="552"/>
      <c r="GDJ137" s="552"/>
      <c r="GDK137" s="552"/>
      <c r="GDL137" s="548"/>
      <c r="GDM137" s="553"/>
      <c r="GDN137" s="553"/>
      <c r="GDO137" s="553"/>
      <c r="GDP137" s="8"/>
      <c r="GDQ137" s="8"/>
      <c r="GDR137" s="458"/>
      <c r="GDS137" s="8"/>
      <c r="GDT137" s="8"/>
      <c r="GDU137" s="547"/>
      <c r="GDV137" s="547"/>
      <c r="GDW137" s="547"/>
      <c r="GDX137" s="547"/>
      <c r="GDY137" s="548"/>
      <c r="GDZ137" s="547"/>
      <c r="GEA137" s="547"/>
      <c r="GEB137" s="547"/>
      <c r="GEC137" s="547"/>
      <c r="GED137" s="548"/>
      <c r="GEE137" s="547"/>
      <c r="GEF137" s="547"/>
      <c r="GEG137" s="547"/>
      <c r="GEH137" s="547"/>
      <c r="GEI137" s="548"/>
      <c r="GEJ137" s="547"/>
      <c r="GEK137" s="547"/>
      <c r="GEL137" s="547"/>
      <c r="GEM137" s="552"/>
      <c r="GEN137" s="548"/>
      <c r="GEO137" s="552"/>
      <c r="GEP137" s="552"/>
      <c r="GEQ137" s="552"/>
      <c r="GER137" s="552"/>
      <c r="GES137" s="548"/>
      <c r="GET137" s="553"/>
      <c r="GEU137" s="553"/>
      <c r="GEV137" s="553"/>
      <c r="GEW137" s="8"/>
      <c r="GEX137" s="8"/>
      <c r="GEY137" s="458"/>
      <c r="GEZ137" s="8"/>
      <c r="GFA137" s="8"/>
      <c r="GFB137" s="547"/>
      <c r="GFC137" s="547"/>
      <c r="GFD137" s="547"/>
      <c r="GFE137" s="547"/>
      <c r="GFF137" s="548"/>
      <c r="GFG137" s="547"/>
      <c r="GFH137" s="547"/>
      <c r="GFI137" s="547"/>
      <c r="GFJ137" s="547"/>
      <c r="GFK137" s="548"/>
      <c r="GFL137" s="547"/>
      <c r="GFM137" s="547"/>
      <c r="GFN137" s="547"/>
      <c r="GFO137" s="547"/>
      <c r="GFP137" s="548"/>
      <c r="GFQ137" s="547"/>
      <c r="GFR137" s="547"/>
      <c r="GFS137" s="547"/>
      <c r="GFT137" s="552"/>
      <c r="GFU137" s="548"/>
      <c r="GFV137" s="552"/>
      <c r="GFW137" s="552"/>
      <c r="GFX137" s="552"/>
      <c r="GFY137" s="552"/>
      <c r="GFZ137" s="548"/>
      <c r="GGA137" s="553"/>
      <c r="GGB137" s="553"/>
      <c r="GGC137" s="553"/>
      <c r="GGD137" s="8"/>
      <c r="GGE137" s="8"/>
      <c r="GGF137" s="458"/>
      <c r="GGG137" s="8"/>
      <c r="GGH137" s="8"/>
      <c r="GGI137" s="547"/>
      <c r="GGJ137" s="547"/>
      <c r="GGK137" s="547"/>
      <c r="GGL137" s="547"/>
      <c r="GGM137" s="548"/>
      <c r="GGN137" s="547"/>
      <c r="GGO137" s="547"/>
      <c r="GGP137" s="547"/>
      <c r="GGQ137" s="547"/>
      <c r="GGR137" s="548"/>
      <c r="GGS137" s="547"/>
      <c r="GGT137" s="547"/>
      <c r="GGU137" s="547"/>
      <c r="GGV137" s="547"/>
      <c r="GGW137" s="548"/>
      <c r="GGX137" s="547"/>
      <c r="GGY137" s="547"/>
      <c r="GGZ137" s="547"/>
      <c r="GHA137" s="552"/>
      <c r="GHB137" s="548"/>
      <c r="GHC137" s="552"/>
      <c r="GHD137" s="552"/>
      <c r="GHE137" s="552"/>
      <c r="GHF137" s="552"/>
      <c r="GHG137" s="548"/>
      <c r="GHH137" s="553"/>
      <c r="GHI137" s="553"/>
      <c r="GHJ137" s="553"/>
      <c r="GHK137" s="8"/>
      <c r="GHL137" s="8"/>
      <c r="GHM137" s="458"/>
      <c r="GHN137" s="8"/>
      <c r="GHO137" s="8"/>
      <c r="GHP137" s="547"/>
      <c r="GHQ137" s="547"/>
      <c r="GHR137" s="547"/>
      <c r="GHS137" s="547"/>
      <c r="GHT137" s="548"/>
      <c r="GHU137" s="547"/>
      <c r="GHV137" s="547"/>
      <c r="GHW137" s="547"/>
      <c r="GHX137" s="547"/>
      <c r="GHY137" s="548"/>
      <c r="GHZ137" s="547"/>
      <c r="GIA137" s="547"/>
      <c r="GIB137" s="547"/>
      <c r="GIC137" s="547"/>
      <c r="GID137" s="548"/>
      <c r="GIE137" s="547"/>
      <c r="GIF137" s="547"/>
      <c r="GIG137" s="547"/>
      <c r="GIH137" s="552"/>
      <c r="GII137" s="548"/>
      <c r="GIJ137" s="552"/>
      <c r="GIK137" s="552"/>
      <c r="GIL137" s="552"/>
      <c r="GIM137" s="552"/>
      <c r="GIN137" s="548"/>
      <c r="GIO137" s="553"/>
      <c r="GIP137" s="553"/>
      <c r="GIQ137" s="553"/>
      <c r="GIR137" s="8"/>
      <c r="GIS137" s="8"/>
      <c r="GIT137" s="458"/>
      <c r="GIU137" s="8"/>
      <c r="GIV137" s="8"/>
      <c r="GIW137" s="547"/>
      <c r="GIX137" s="547"/>
      <c r="GIY137" s="547"/>
      <c r="GIZ137" s="547"/>
      <c r="GJA137" s="548"/>
      <c r="GJB137" s="547"/>
      <c r="GJC137" s="547"/>
      <c r="GJD137" s="547"/>
      <c r="GJE137" s="547"/>
      <c r="GJF137" s="548"/>
      <c r="GJG137" s="547"/>
      <c r="GJH137" s="547"/>
      <c r="GJI137" s="547"/>
      <c r="GJJ137" s="547"/>
      <c r="GJK137" s="548"/>
      <c r="GJL137" s="547"/>
      <c r="GJM137" s="547"/>
      <c r="GJN137" s="547"/>
      <c r="GJO137" s="552"/>
      <c r="GJP137" s="548"/>
      <c r="GJQ137" s="552"/>
      <c r="GJR137" s="552"/>
      <c r="GJS137" s="552"/>
      <c r="GJT137" s="552"/>
      <c r="GJU137" s="548"/>
      <c r="GJV137" s="553"/>
      <c r="GJW137" s="553"/>
      <c r="GJX137" s="553"/>
      <c r="GJY137" s="8"/>
      <c r="GJZ137" s="8"/>
      <c r="GKA137" s="458"/>
      <c r="GKB137" s="8"/>
      <c r="GKC137" s="8"/>
      <c r="GKD137" s="547"/>
      <c r="GKE137" s="547"/>
      <c r="GKF137" s="547"/>
      <c r="GKG137" s="547"/>
      <c r="GKH137" s="548"/>
      <c r="GKI137" s="547"/>
      <c r="GKJ137" s="547"/>
      <c r="GKK137" s="547"/>
      <c r="GKL137" s="547"/>
      <c r="GKM137" s="548"/>
      <c r="GKN137" s="547"/>
      <c r="GKO137" s="547"/>
      <c r="GKP137" s="547"/>
      <c r="GKQ137" s="547"/>
      <c r="GKR137" s="548"/>
      <c r="GKS137" s="547"/>
      <c r="GKT137" s="547"/>
      <c r="GKU137" s="547"/>
      <c r="GKV137" s="552"/>
      <c r="GKW137" s="548"/>
      <c r="GKX137" s="552"/>
      <c r="GKY137" s="552"/>
      <c r="GKZ137" s="552"/>
      <c r="GLA137" s="552"/>
      <c r="GLB137" s="548"/>
      <c r="GLC137" s="553"/>
      <c r="GLD137" s="553"/>
      <c r="GLE137" s="553"/>
      <c r="GLF137" s="8"/>
      <c r="GLG137" s="8"/>
      <c r="GLH137" s="458"/>
      <c r="GLI137" s="8"/>
      <c r="GLJ137" s="8"/>
      <c r="GLK137" s="547"/>
      <c r="GLL137" s="547"/>
      <c r="GLM137" s="547"/>
      <c r="GLN137" s="547"/>
      <c r="GLO137" s="548"/>
      <c r="GLP137" s="547"/>
      <c r="GLQ137" s="547"/>
      <c r="GLR137" s="547"/>
      <c r="GLS137" s="547"/>
      <c r="GLT137" s="548"/>
      <c r="GLU137" s="547"/>
      <c r="GLV137" s="547"/>
      <c r="GLW137" s="547"/>
      <c r="GLX137" s="547"/>
      <c r="GLY137" s="548"/>
      <c r="GLZ137" s="547"/>
      <c r="GMA137" s="547"/>
      <c r="GMB137" s="547"/>
      <c r="GMC137" s="552"/>
      <c r="GMD137" s="548"/>
      <c r="GME137" s="552"/>
      <c r="GMF137" s="552"/>
      <c r="GMG137" s="552"/>
      <c r="GMH137" s="552"/>
      <c r="GMI137" s="548"/>
      <c r="GMJ137" s="553"/>
      <c r="GMK137" s="553"/>
      <c r="GML137" s="553"/>
      <c r="GMM137" s="8"/>
      <c r="GMN137" s="8"/>
      <c r="GMO137" s="458"/>
      <c r="GMP137" s="8"/>
      <c r="GMQ137" s="8"/>
      <c r="GMR137" s="547"/>
      <c r="GMS137" s="547"/>
      <c r="GMT137" s="547"/>
      <c r="GMU137" s="547"/>
      <c r="GMV137" s="548"/>
      <c r="GMW137" s="547"/>
      <c r="GMX137" s="547"/>
      <c r="GMY137" s="547"/>
      <c r="GMZ137" s="547"/>
      <c r="GNA137" s="548"/>
      <c r="GNB137" s="547"/>
      <c r="GNC137" s="547"/>
      <c r="GND137" s="547"/>
      <c r="GNE137" s="547"/>
      <c r="GNF137" s="548"/>
      <c r="GNG137" s="547"/>
      <c r="GNH137" s="547"/>
      <c r="GNI137" s="547"/>
      <c r="GNJ137" s="552"/>
      <c r="GNK137" s="548"/>
      <c r="GNL137" s="552"/>
      <c r="GNM137" s="552"/>
      <c r="GNN137" s="552"/>
      <c r="GNO137" s="552"/>
      <c r="GNP137" s="548"/>
      <c r="GNQ137" s="553"/>
      <c r="GNR137" s="553"/>
      <c r="GNS137" s="553"/>
      <c r="GNT137" s="8"/>
      <c r="GNU137" s="8"/>
      <c r="GNV137" s="458"/>
      <c r="GNW137" s="8"/>
      <c r="GNX137" s="8"/>
      <c r="GNY137" s="547"/>
      <c r="GNZ137" s="547"/>
      <c r="GOA137" s="547"/>
      <c r="GOB137" s="547"/>
      <c r="GOC137" s="548"/>
      <c r="GOD137" s="547"/>
      <c r="GOE137" s="547"/>
      <c r="GOF137" s="547"/>
      <c r="GOG137" s="547"/>
      <c r="GOH137" s="548"/>
      <c r="GOI137" s="547"/>
      <c r="GOJ137" s="547"/>
      <c r="GOK137" s="547"/>
      <c r="GOL137" s="547"/>
      <c r="GOM137" s="548"/>
      <c r="GON137" s="547"/>
      <c r="GOO137" s="547"/>
      <c r="GOP137" s="547"/>
      <c r="GOQ137" s="552"/>
      <c r="GOR137" s="548"/>
      <c r="GOS137" s="552"/>
      <c r="GOT137" s="552"/>
      <c r="GOU137" s="552"/>
      <c r="GOV137" s="552"/>
      <c r="GOW137" s="548"/>
      <c r="GOX137" s="553"/>
      <c r="GOY137" s="553"/>
      <c r="GOZ137" s="553"/>
      <c r="GPA137" s="8"/>
      <c r="GPB137" s="8"/>
      <c r="GPC137" s="458"/>
      <c r="GPD137" s="8"/>
      <c r="GPE137" s="8"/>
      <c r="GPF137" s="547"/>
      <c r="GPG137" s="547"/>
      <c r="GPH137" s="547"/>
      <c r="GPI137" s="547"/>
      <c r="GPJ137" s="548"/>
      <c r="GPK137" s="547"/>
      <c r="GPL137" s="547"/>
      <c r="GPM137" s="547"/>
      <c r="GPN137" s="547"/>
      <c r="GPO137" s="548"/>
      <c r="GPP137" s="547"/>
      <c r="GPQ137" s="547"/>
      <c r="GPR137" s="547"/>
      <c r="GPS137" s="547"/>
      <c r="GPT137" s="548"/>
      <c r="GPU137" s="547"/>
      <c r="GPV137" s="547"/>
      <c r="GPW137" s="547"/>
      <c r="GPX137" s="552"/>
      <c r="GPY137" s="548"/>
      <c r="GPZ137" s="552"/>
      <c r="GQA137" s="552"/>
      <c r="GQB137" s="552"/>
      <c r="GQC137" s="552"/>
      <c r="GQD137" s="548"/>
      <c r="GQE137" s="553"/>
      <c r="GQF137" s="553"/>
      <c r="GQG137" s="553"/>
      <c r="GQH137" s="8"/>
      <c r="GQI137" s="8"/>
      <c r="GQJ137" s="458"/>
      <c r="GQK137" s="8"/>
      <c r="GQL137" s="8"/>
      <c r="GQM137" s="547"/>
      <c r="GQN137" s="547"/>
      <c r="GQO137" s="547"/>
      <c r="GQP137" s="547"/>
      <c r="GQQ137" s="548"/>
      <c r="GQR137" s="547"/>
      <c r="GQS137" s="547"/>
      <c r="GQT137" s="547"/>
      <c r="GQU137" s="547"/>
      <c r="GQV137" s="548"/>
      <c r="GQW137" s="547"/>
      <c r="GQX137" s="547"/>
      <c r="GQY137" s="547"/>
      <c r="GQZ137" s="547"/>
      <c r="GRA137" s="548"/>
      <c r="GRB137" s="547"/>
      <c r="GRC137" s="547"/>
      <c r="GRD137" s="547"/>
      <c r="GRE137" s="552"/>
      <c r="GRF137" s="548"/>
      <c r="GRG137" s="552"/>
      <c r="GRH137" s="552"/>
      <c r="GRI137" s="552"/>
      <c r="GRJ137" s="552"/>
      <c r="GRK137" s="548"/>
      <c r="GRL137" s="553"/>
      <c r="GRM137" s="553"/>
      <c r="GRN137" s="553"/>
      <c r="GRO137" s="8"/>
      <c r="GRP137" s="8"/>
      <c r="GRQ137" s="458"/>
      <c r="GRR137" s="8"/>
      <c r="GRS137" s="8"/>
      <c r="GRT137" s="547"/>
      <c r="GRU137" s="547"/>
      <c r="GRV137" s="547"/>
      <c r="GRW137" s="547"/>
      <c r="GRX137" s="548"/>
      <c r="GRY137" s="547"/>
      <c r="GRZ137" s="547"/>
      <c r="GSA137" s="547"/>
      <c r="GSB137" s="547"/>
      <c r="GSC137" s="548"/>
      <c r="GSD137" s="547"/>
      <c r="GSE137" s="547"/>
      <c r="GSF137" s="547"/>
      <c r="GSG137" s="547"/>
      <c r="GSH137" s="548"/>
      <c r="GSI137" s="547"/>
      <c r="GSJ137" s="547"/>
      <c r="GSK137" s="547"/>
      <c r="GSL137" s="552"/>
      <c r="GSM137" s="548"/>
      <c r="GSN137" s="552"/>
      <c r="GSO137" s="552"/>
      <c r="GSP137" s="552"/>
      <c r="GSQ137" s="552"/>
      <c r="GSR137" s="548"/>
      <c r="GSS137" s="553"/>
      <c r="GST137" s="553"/>
      <c r="GSU137" s="553"/>
      <c r="GSV137" s="8"/>
      <c r="GSW137" s="8"/>
      <c r="GSX137" s="458"/>
      <c r="GSY137" s="8"/>
      <c r="GSZ137" s="8"/>
      <c r="GTA137" s="547"/>
      <c r="GTB137" s="547"/>
      <c r="GTC137" s="547"/>
      <c r="GTD137" s="547"/>
      <c r="GTE137" s="548"/>
      <c r="GTF137" s="547"/>
      <c r="GTG137" s="547"/>
      <c r="GTH137" s="547"/>
      <c r="GTI137" s="547"/>
      <c r="GTJ137" s="548"/>
      <c r="GTK137" s="547"/>
      <c r="GTL137" s="547"/>
      <c r="GTM137" s="547"/>
      <c r="GTN137" s="547"/>
      <c r="GTO137" s="548"/>
      <c r="GTP137" s="547"/>
      <c r="GTQ137" s="547"/>
      <c r="GTR137" s="547"/>
      <c r="GTS137" s="552"/>
      <c r="GTT137" s="548"/>
      <c r="GTU137" s="552"/>
      <c r="GTV137" s="552"/>
      <c r="GTW137" s="552"/>
      <c r="GTX137" s="552"/>
      <c r="GTY137" s="548"/>
      <c r="GTZ137" s="553"/>
      <c r="GUA137" s="553"/>
      <c r="GUB137" s="553"/>
      <c r="GUC137" s="8"/>
      <c r="GUD137" s="8"/>
      <c r="GUE137" s="458"/>
      <c r="GUF137" s="8"/>
      <c r="GUG137" s="8"/>
      <c r="GUH137" s="547"/>
      <c r="GUI137" s="547"/>
      <c r="GUJ137" s="547"/>
      <c r="GUK137" s="547"/>
      <c r="GUL137" s="548"/>
      <c r="GUM137" s="547"/>
      <c r="GUN137" s="547"/>
      <c r="GUO137" s="547"/>
      <c r="GUP137" s="547"/>
      <c r="GUQ137" s="548"/>
      <c r="GUR137" s="547"/>
      <c r="GUS137" s="547"/>
      <c r="GUT137" s="547"/>
      <c r="GUU137" s="547"/>
      <c r="GUV137" s="548"/>
      <c r="GUW137" s="547"/>
      <c r="GUX137" s="547"/>
      <c r="GUY137" s="547"/>
      <c r="GUZ137" s="552"/>
      <c r="GVA137" s="548"/>
      <c r="GVB137" s="552"/>
      <c r="GVC137" s="552"/>
      <c r="GVD137" s="552"/>
      <c r="GVE137" s="552"/>
      <c r="GVF137" s="548"/>
      <c r="GVG137" s="553"/>
      <c r="GVH137" s="553"/>
      <c r="GVI137" s="553"/>
      <c r="GVJ137" s="8"/>
      <c r="GVK137" s="8"/>
      <c r="GVL137" s="458"/>
      <c r="GVM137" s="8"/>
      <c r="GVN137" s="8"/>
      <c r="GVO137" s="547"/>
      <c r="GVP137" s="547"/>
      <c r="GVQ137" s="547"/>
      <c r="GVR137" s="547"/>
      <c r="GVS137" s="548"/>
      <c r="GVT137" s="547"/>
      <c r="GVU137" s="547"/>
      <c r="GVV137" s="547"/>
      <c r="GVW137" s="547"/>
      <c r="GVX137" s="548"/>
      <c r="GVY137" s="547"/>
      <c r="GVZ137" s="547"/>
      <c r="GWA137" s="547"/>
      <c r="GWB137" s="547"/>
      <c r="GWC137" s="548"/>
      <c r="GWD137" s="547"/>
      <c r="GWE137" s="547"/>
      <c r="GWF137" s="547"/>
      <c r="GWG137" s="552"/>
      <c r="GWH137" s="548"/>
      <c r="GWI137" s="552"/>
      <c r="GWJ137" s="552"/>
      <c r="GWK137" s="552"/>
      <c r="GWL137" s="552"/>
      <c r="GWM137" s="548"/>
      <c r="GWN137" s="553"/>
      <c r="GWO137" s="553"/>
      <c r="GWP137" s="553"/>
      <c r="GWQ137" s="8"/>
      <c r="GWR137" s="8"/>
      <c r="GWS137" s="458"/>
      <c r="GWT137" s="8"/>
      <c r="GWU137" s="8"/>
      <c r="GWV137" s="547"/>
      <c r="GWW137" s="547"/>
      <c r="GWX137" s="547"/>
      <c r="GWY137" s="547"/>
      <c r="GWZ137" s="548"/>
      <c r="GXA137" s="547"/>
      <c r="GXB137" s="547"/>
      <c r="GXC137" s="547"/>
      <c r="GXD137" s="547"/>
      <c r="GXE137" s="548"/>
      <c r="GXF137" s="547"/>
      <c r="GXG137" s="547"/>
      <c r="GXH137" s="547"/>
      <c r="GXI137" s="547"/>
      <c r="GXJ137" s="548"/>
      <c r="GXK137" s="547"/>
      <c r="GXL137" s="547"/>
      <c r="GXM137" s="547"/>
      <c r="GXN137" s="552"/>
      <c r="GXO137" s="548"/>
      <c r="GXP137" s="552"/>
      <c r="GXQ137" s="552"/>
      <c r="GXR137" s="552"/>
      <c r="GXS137" s="552"/>
      <c r="GXT137" s="548"/>
      <c r="GXU137" s="553"/>
      <c r="GXV137" s="553"/>
      <c r="GXW137" s="553"/>
      <c r="GXX137" s="8"/>
      <c r="GXY137" s="8"/>
      <c r="GXZ137" s="458"/>
      <c r="GYA137" s="8"/>
      <c r="GYB137" s="8"/>
      <c r="GYC137" s="547"/>
      <c r="GYD137" s="547"/>
      <c r="GYE137" s="547"/>
      <c r="GYF137" s="547"/>
      <c r="GYG137" s="548"/>
      <c r="GYH137" s="547"/>
      <c r="GYI137" s="547"/>
      <c r="GYJ137" s="547"/>
      <c r="GYK137" s="547"/>
      <c r="GYL137" s="548"/>
      <c r="GYM137" s="547"/>
      <c r="GYN137" s="547"/>
      <c r="GYO137" s="547"/>
      <c r="GYP137" s="547"/>
      <c r="GYQ137" s="548"/>
      <c r="GYR137" s="547"/>
      <c r="GYS137" s="547"/>
      <c r="GYT137" s="547"/>
      <c r="GYU137" s="552"/>
      <c r="GYV137" s="548"/>
      <c r="GYW137" s="552"/>
      <c r="GYX137" s="552"/>
      <c r="GYY137" s="552"/>
      <c r="GYZ137" s="552"/>
      <c r="GZA137" s="548"/>
      <c r="GZB137" s="553"/>
      <c r="GZC137" s="553"/>
      <c r="GZD137" s="553"/>
      <c r="GZE137" s="8"/>
      <c r="GZF137" s="8"/>
      <c r="GZG137" s="458"/>
      <c r="GZH137" s="8"/>
      <c r="GZI137" s="8"/>
      <c r="GZJ137" s="547"/>
      <c r="GZK137" s="547"/>
      <c r="GZL137" s="547"/>
      <c r="GZM137" s="547"/>
      <c r="GZN137" s="548"/>
      <c r="GZO137" s="547"/>
      <c r="GZP137" s="547"/>
      <c r="GZQ137" s="547"/>
      <c r="GZR137" s="547"/>
      <c r="GZS137" s="548"/>
      <c r="GZT137" s="547"/>
      <c r="GZU137" s="547"/>
      <c r="GZV137" s="547"/>
      <c r="GZW137" s="547"/>
      <c r="GZX137" s="548"/>
      <c r="GZY137" s="547"/>
      <c r="GZZ137" s="547"/>
      <c r="HAA137" s="547"/>
      <c r="HAB137" s="552"/>
      <c r="HAC137" s="548"/>
      <c r="HAD137" s="552"/>
      <c r="HAE137" s="552"/>
      <c r="HAF137" s="552"/>
      <c r="HAG137" s="552"/>
      <c r="HAH137" s="548"/>
      <c r="HAI137" s="553"/>
      <c r="HAJ137" s="553"/>
      <c r="HAK137" s="553"/>
      <c r="HAL137" s="8"/>
      <c r="HAM137" s="8"/>
      <c r="HAN137" s="458"/>
      <c r="HAO137" s="8"/>
      <c r="HAP137" s="8"/>
      <c r="HAQ137" s="547"/>
      <c r="HAR137" s="547"/>
      <c r="HAS137" s="547"/>
      <c r="HAT137" s="547"/>
      <c r="HAU137" s="548"/>
      <c r="HAV137" s="547"/>
      <c r="HAW137" s="547"/>
      <c r="HAX137" s="547"/>
      <c r="HAY137" s="547"/>
      <c r="HAZ137" s="548"/>
      <c r="HBA137" s="547"/>
      <c r="HBB137" s="547"/>
      <c r="HBC137" s="547"/>
      <c r="HBD137" s="547"/>
      <c r="HBE137" s="548"/>
      <c r="HBF137" s="547"/>
      <c r="HBG137" s="547"/>
      <c r="HBH137" s="547"/>
      <c r="HBI137" s="552"/>
      <c r="HBJ137" s="548"/>
      <c r="HBK137" s="552"/>
      <c r="HBL137" s="552"/>
      <c r="HBM137" s="552"/>
      <c r="HBN137" s="552"/>
      <c r="HBO137" s="548"/>
      <c r="HBP137" s="553"/>
      <c r="HBQ137" s="553"/>
      <c r="HBR137" s="553"/>
      <c r="HBS137" s="8"/>
      <c r="HBT137" s="8"/>
      <c r="HBU137" s="458"/>
      <c r="HBV137" s="8"/>
      <c r="HBW137" s="8"/>
      <c r="HBX137" s="547"/>
      <c r="HBY137" s="547"/>
      <c r="HBZ137" s="547"/>
      <c r="HCA137" s="547"/>
      <c r="HCB137" s="548"/>
      <c r="HCC137" s="547"/>
      <c r="HCD137" s="547"/>
      <c r="HCE137" s="547"/>
      <c r="HCF137" s="547"/>
      <c r="HCG137" s="548"/>
      <c r="HCH137" s="547"/>
      <c r="HCI137" s="547"/>
      <c r="HCJ137" s="547"/>
      <c r="HCK137" s="547"/>
      <c r="HCL137" s="548"/>
      <c r="HCM137" s="547"/>
      <c r="HCN137" s="547"/>
      <c r="HCO137" s="547"/>
      <c r="HCP137" s="552"/>
      <c r="HCQ137" s="548"/>
      <c r="HCR137" s="552"/>
      <c r="HCS137" s="552"/>
      <c r="HCT137" s="552"/>
      <c r="HCU137" s="552"/>
      <c r="HCV137" s="548"/>
      <c r="HCW137" s="553"/>
      <c r="HCX137" s="553"/>
      <c r="HCY137" s="553"/>
      <c r="HCZ137" s="8"/>
      <c r="HDA137" s="8"/>
      <c r="HDB137" s="458"/>
      <c r="HDC137" s="8"/>
      <c r="HDD137" s="8"/>
      <c r="HDE137" s="547"/>
      <c r="HDF137" s="547"/>
      <c r="HDG137" s="547"/>
      <c r="HDH137" s="547"/>
      <c r="HDI137" s="548"/>
      <c r="HDJ137" s="547"/>
      <c r="HDK137" s="547"/>
      <c r="HDL137" s="547"/>
      <c r="HDM137" s="547"/>
      <c r="HDN137" s="548"/>
      <c r="HDO137" s="547"/>
      <c r="HDP137" s="547"/>
      <c r="HDQ137" s="547"/>
      <c r="HDR137" s="547"/>
      <c r="HDS137" s="548"/>
      <c r="HDT137" s="547"/>
      <c r="HDU137" s="547"/>
      <c r="HDV137" s="547"/>
      <c r="HDW137" s="552"/>
      <c r="HDX137" s="548"/>
      <c r="HDY137" s="552"/>
      <c r="HDZ137" s="552"/>
      <c r="HEA137" s="552"/>
      <c r="HEB137" s="552"/>
      <c r="HEC137" s="548"/>
      <c r="HED137" s="553"/>
      <c r="HEE137" s="553"/>
      <c r="HEF137" s="553"/>
      <c r="HEG137" s="8"/>
      <c r="HEH137" s="8"/>
      <c r="HEI137" s="458"/>
      <c r="HEJ137" s="8"/>
      <c r="HEK137" s="8"/>
      <c r="HEL137" s="547"/>
      <c r="HEM137" s="547"/>
      <c r="HEN137" s="547"/>
      <c r="HEO137" s="547"/>
      <c r="HEP137" s="548"/>
      <c r="HEQ137" s="547"/>
      <c r="HER137" s="547"/>
      <c r="HES137" s="547"/>
      <c r="HET137" s="547"/>
      <c r="HEU137" s="548"/>
      <c r="HEV137" s="547"/>
      <c r="HEW137" s="547"/>
      <c r="HEX137" s="547"/>
      <c r="HEY137" s="547"/>
      <c r="HEZ137" s="548"/>
      <c r="HFA137" s="547"/>
      <c r="HFB137" s="547"/>
      <c r="HFC137" s="547"/>
      <c r="HFD137" s="552"/>
      <c r="HFE137" s="548"/>
      <c r="HFF137" s="552"/>
      <c r="HFG137" s="552"/>
      <c r="HFH137" s="552"/>
      <c r="HFI137" s="552"/>
      <c r="HFJ137" s="548"/>
      <c r="HFK137" s="553"/>
      <c r="HFL137" s="553"/>
      <c r="HFM137" s="553"/>
      <c r="HFN137" s="8"/>
      <c r="HFO137" s="8"/>
      <c r="HFP137" s="458"/>
      <c r="HFQ137" s="8"/>
      <c r="HFR137" s="8"/>
      <c r="HFS137" s="547"/>
      <c r="HFT137" s="547"/>
      <c r="HFU137" s="547"/>
      <c r="HFV137" s="547"/>
      <c r="HFW137" s="548"/>
      <c r="HFX137" s="547"/>
      <c r="HFY137" s="547"/>
      <c r="HFZ137" s="547"/>
      <c r="HGA137" s="547"/>
      <c r="HGB137" s="548"/>
      <c r="HGC137" s="547"/>
      <c r="HGD137" s="547"/>
      <c r="HGE137" s="547"/>
      <c r="HGF137" s="547"/>
      <c r="HGG137" s="548"/>
      <c r="HGH137" s="547"/>
      <c r="HGI137" s="547"/>
      <c r="HGJ137" s="547"/>
      <c r="HGK137" s="552"/>
      <c r="HGL137" s="548"/>
      <c r="HGM137" s="552"/>
      <c r="HGN137" s="552"/>
      <c r="HGO137" s="552"/>
      <c r="HGP137" s="552"/>
      <c r="HGQ137" s="548"/>
      <c r="HGR137" s="553"/>
      <c r="HGS137" s="553"/>
      <c r="HGT137" s="553"/>
      <c r="HGU137" s="8"/>
      <c r="HGV137" s="8"/>
      <c r="HGW137" s="458"/>
      <c r="HGX137" s="8"/>
      <c r="HGY137" s="8"/>
      <c r="HGZ137" s="547"/>
      <c r="HHA137" s="547"/>
      <c r="HHB137" s="547"/>
      <c r="HHC137" s="547"/>
      <c r="HHD137" s="548"/>
      <c r="HHE137" s="547"/>
      <c r="HHF137" s="547"/>
      <c r="HHG137" s="547"/>
      <c r="HHH137" s="547"/>
      <c r="HHI137" s="548"/>
      <c r="HHJ137" s="547"/>
      <c r="HHK137" s="547"/>
      <c r="HHL137" s="547"/>
      <c r="HHM137" s="547"/>
      <c r="HHN137" s="548"/>
      <c r="HHO137" s="547"/>
      <c r="HHP137" s="547"/>
      <c r="HHQ137" s="547"/>
      <c r="HHR137" s="552"/>
      <c r="HHS137" s="548"/>
      <c r="HHT137" s="552"/>
      <c r="HHU137" s="552"/>
      <c r="HHV137" s="552"/>
      <c r="HHW137" s="552"/>
      <c r="HHX137" s="548"/>
      <c r="HHY137" s="553"/>
      <c r="HHZ137" s="553"/>
      <c r="HIA137" s="553"/>
      <c r="HIB137" s="8"/>
      <c r="HIC137" s="8"/>
      <c r="HID137" s="458"/>
      <c r="HIE137" s="8"/>
      <c r="HIF137" s="8"/>
      <c r="HIG137" s="547"/>
      <c r="HIH137" s="547"/>
      <c r="HII137" s="547"/>
      <c r="HIJ137" s="547"/>
      <c r="HIK137" s="548"/>
      <c r="HIL137" s="547"/>
      <c r="HIM137" s="547"/>
      <c r="HIN137" s="547"/>
      <c r="HIO137" s="547"/>
      <c r="HIP137" s="548"/>
      <c r="HIQ137" s="547"/>
      <c r="HIR137" s="547"/>
      <c r="HIS137" s="547"/>
      <c r="HIT137" s="547"/>
      <c r="HIU137" s="548"/>
      <c r="HIV137" s="547"/>
      <c r="HIW137" s="547"/>
      <c r="HIX137" s="547"/>
      <c r="HIY137" s="552"/>
      <c r="HIZ137" s="548"/>
      <c r="HJA137" s="552"/>
      <c r="HJB137" s="552"/>
      <c r="HJC137" s="552"/>
      <c r="HJD137" s="552"/>
      <c r="HJE137" s="548"/>
      <c r="HJF137" s="553"/>
      <c r="HJG137" s="553"/>
      <c r="HJH137" s="553"/>
      <c r="HJI137" s="8"/>
      <c r="HJJ137" s="8"/>
      <c r="HJK137" s="458"/>
      <c r="HJL137" s="8"/>
      <c r="HJM137" s="8"/>
      <c r="HJN137" s="547"/>
      <c r="HJO137" s="547"/>
      <c r="HJP137" s="547"/>
      <c r="HJQ137" s="547"/>
      <c r="HJR137" s="548"/>
      <c r="HJS137" s="547"/>
      <c r="HJT137" s="547"/>
      <c r="HJU137" s="547"/>
      <c r="HJV137" s="547"/>
      <c r="HJW137" s="548"/>
      <c r="HJX137" s="547"/>
      <c r="HJY137" s="547"/>
      <c r="HJZ137" s="547"/>
      <c r="HKA137" s="547"/>
      <c r="HKB137" s="548"/>
      <c r="HKC137" s="547"/>
      <c r="HKD137" s="547"/>
      <c r="HKE137" s="547"/>
      <c r="HKF137" s="552"/>
      <c r="HKG137" s="548"/>
      <c r="HKH137" s="552"/>
      <c r="HKI137" s="552"/>
      <c r="HKJ137" s="552"/>
      <c r="HKK137" s="552"/>
      <c r="HKL137" s="548"/>
      <c r="HKM137" s="553"/>
      <c r="HKN137" s="553"/>
      <c r="HKO137" s="553"/>
      <c r="HKP137" s="8"/>
      <c r="HKQ137" s="8"/>
      <c r="HKR137" s="458"/>
      <c r="HKS137" s="8"/>
      <c r="HKT137" s="8"/>
      <c r="HKU137" s="547"/>
      <c r="HKV137" s="547"/>
      <c r="HKW137" s="547"/>
      <c r="HKX137" s="547"/>
      <c r="HKY137" s="548"/>
      <c r="HKZ137" s="547"/>
      <c r="HLA137" s="547"/>
      <c r="HLB137" s="547"/>
      <c r="HLC137" s="547"/>
      <c r="HLD137" s="548"/>
      <c r="HLE137" s="547"/>
      <c r="HLF137" s="547"/>
      <c r="HLG137" s="547"/>
      <c r="HLH137" s="547"/>
      <c r="HLI137" s="548"/>
      <c r="HLJ137" s="547"/>
      <c r="HLK137" s="547"/>
      <c r="HLL137" s="547"/>
      <c r="HLM137" s="552"/>
      <c r="HLN137" s="548"/>
      <c r="HLO137" s="552"/>
      <c r="HLP137" s="552"/>
      <c r="HLQ137" s="552"/>
      <c r="HLR137" s="552"/>
      <c r="HLS137" s="548"/>
      <c r="HLT137" s="553"/>
      <c r="HLU137" s="553"/>
      <c r="HLV137" s="553"/>
      <c r="HLW137" s="8"/>
      <c r="HLX137" s="8"/>
      <c r="HLY137" s="458"/>
      <c r="HLZ137" s="8"/>
      <c r="HMA137" s="8"/>
      <c r="HMB137" s="547"/>
      <c r="HMC137" s="547"/>
      <c r="HMD137" s="547"/>
      <c r="HME137" s="547"/>
      <c r="HMF137" s="548"/>
      <c r="HMG137" s="547"/>
      <c r="HMH137" s="547"/>
      <c r="HMI137" s="547"/>
      <c r="HMJ137" s="547"/>
      <c r="HMK137" s="548"/>
      <c r="HML137" s="547"/>
      <c r="HMM137" s="547"/>
      <c r="HMN137" s="547"/>
      <c r="HMO137" s="547"/>
      <c r="HMP137" s="548"/>
      <c r="HMQ137" s="547"/>
      <c r="HMR137" s="547"/>
      <c r="HMS137" s="547"/>
      <c r="HMT137" s="552"/>
      <c r="HMU137" s="548"/>
      <c r="HMV137" s="552"/>
      <c r="HMW137" s="552"/>
      <c r="HMX137" s="552"/>
      <c r="HMY137" s="552"/>
      <c r="HMZ137" s="548"/>
      <c r="HNA137" s="553"/>
      <c r="HNB137" s="553"/>
      <c r="HNC137" s="553"/>
      <c r="HND137" s="8"/>
      <c r="HNE137" s="8"/>
      <c r="HNF137" s="458"/>
      <c r="HNG137" s="8"/>
      <c r="HNH137" s="8"/>
      <c r="HNI137" s="547"/>
      <c r="HNJ137" s="547"/>
      <c r="HNK137" s="547"/>
      <c r="HNL137" s="547"/>
      <c r="HNM137" s="548"/>
      <c r="HNN137" s="547"/>
      <c r="HNO137" s="547"/>
      <c r="HNP137" s="547"/>
      <c r="HNQ137" s="547"/>
      <c r="HNR137" s="548"/>
      <c r="HNS137" s="547"/>
      <c r="HNT137" s="547"/>
      <c r="HNU137" s="547"/>
      <c r="HNV137" s="547"/>
      <c r="HNW137" s="548"/>
      <c r="HNX137" s="547"/>
      <c r="HNY137" s="547"/>
      <c r="HNZ137" s="547"/>
      <c r="HOA137" s="552"/>
      <c r="HOB137" s="548"/>
      <c r="HOC137" s="552"/>
      <c r="HOD137" s="552"/>
      <c r="HOE137" s="552"/>
      <c r="HOF137" s="552"/>
      <c r="HOG137" s="548"/>
      <c r="HOH137" s="553"/>
      <c r="HOI137" s="553"/>
      <c r="HOJ137" s="553"/>
      <c r="HOK137" s="8"/>
      <c r="HOL137" s="8"/>
      <c r="HOM137" s="458"/>
      <c r="HON137" s="8"/>
      <c r="HOO137" s="8"/>
      <c r="HOP137" s="547"/>
      <c r="HOQ137" s="547"/>
      <c r="HOR137" s="547"/>
      <c r="HOS137" s="547"/>
      <c r="HOT137" s="548"/>
      <c r="HOU137" s="547"/>
      <c r="HOV137" s="547"/>
      <c r="HOW137" s="547"/>
      <c r="HOX137" s="547"/>
      <c r="HOY137" s="548"/>
      <c r="HOZ137" s="547"/>
      <c r="HPA137" s="547"/>
      <c r="HPB137" s="547"/>
      <c r="HPC137" s="547"/>
      <c r="HPD137" s="548"/>
      <c r="HPE137" s="547"/>
      <c r="HPF137" s="547"/>
      <c r="HPG137" s="547"/>
      <c r="HPH137" s="552"/>
      <c r="HPI137" s="548"/>
      <c r="HPJ137" s="552"/>
      <c r="HPK137" s="552"/>
      <c r="HPL137" s="552"/>
      <c r="HPM137" s="552"/>
      <c r="HPN137" s="548"/>
      <c r="HPO137" s="553"/>
      <c r="HPP137" s="553"/>
      <c r="HPQ137" s="553"/>
      <c r="HPR137" s="8"/>
      <c r="HPS137" s="8"/>
      <c r="HPT137" s="458"/>
      <c r="HPU137" s="8"/>
      <c r="HPV137" s="8"/>
      <c r="HPW137" s="547"/>
      <c r="HPX137" s="547"/>
      <c r="HPY137" s="547"/>
      <c r="HPZ137" s="547"/>
      <c r="HQA137" s="548"/>
      <c r="HQB137" s="547"/>
      <c r="HQC137" s="547"/>
      <c r="HQD137" s="547"/>
      <c r="HQE137" s="547"/>
      <c r="HQF137" s="548"/>
      <c r="HQG137" s="547"/>
      <c r="HQH137" s="547"/>
      <c r="HQI137" s="547"/>
      <c r="HQJ137" s="547"/>
      <c r="HQK137" s="548"/>
      <c r="HQL137" s="547"/>
      <c r="HQM137" s="547"/>
      <c r="HQN137" s="547"/>
      <c r="HQO137" s="552"/>
      <c r="HQP137" s="548"/>
      <c r="HQQ137" s="552"/>
      <c r="HQR137" s="552"/>
      <c r="HQS137" s="552"/>
      <c r="HQT137" s="552"/>
      <c r="HQU137" s="548"/>
      <c r="HQV137" s="553"/>
      <c r="HQW137" s="553"/>
      <c r="HQX137" s="553"/>
      <c r="HQY137" s="8"/>
      <c r="HQZ137" s="8"/>
      <c r="HRA137" s="458"/>
      <c r="HRB137" s="8"/>
      <c r="HRC137" s="8"/>
      <c r="HRD137" s="547"/>
      <c r="HRE137" s="547"/>
      <c r="HRF137" s="547"/>
      <c r="HRG137" s="547"/>
      <c r="HRH137" s="548"/>
      <c r="HRI137" s="547"/>
      <c r="HRJ137" s="547"/>
      <c r="HRK137" s="547"/>
      <c r="HRL137" s="547"/>
      <c r="HRM137" s="548"/>
      <c r="HRN137" s="547"/>
      <c r="HRO137" s="547"/>
      <c r="HRP137" s="547"/>
      <c r="HRQ137" s="547"/>
      <c r="HRR137" s="548"/>
      <c r="HRS137" s="547"/>
      <c r="HRT137" s="547"/>
      <c r="HRU137" s="547"/>
      <c r="HRV137" s="552"/>
      <c r="HRW137" s="548"/>
      <c r="HRX137" s="552"/>
      <c r="HRY137" s="552"/>
      <c r="HRZ137" s="552"/>
      <c r="HSA137" s="552"/>
      <c r="HSB137" s="548"/>
      <c r="HSC137" s="553"/>
      <c r="HSD137" s="553"/>
      <c r="HSE137" s="553"/>
      <c r="HSF137" s="8"/>
      <c r="HSG137" s="8"/>
      <c r="HSH137" s="458"/>
      <c r="HSI137" s="8"/>
      <c r="HSJ137" s="8"/>
      <c r="HSK137" s="547"/>
      <c r="HSL137" s="547"/>
      <c r="HSM137" s="547"/>
      <c r="HSN137" s="547"/>
      <c r="HSO137" s="548"/>
      <c r="HSP137" s="547"/>
      <c r="HSQ137" s="547"/>
      <c r="HSR137" s="547"/>
      <c r="HSS137" s="547"/>
      <c r="HST137" s="548"/>
      <c r="HSU137" s="547"/>
      <c r="HSV137" s="547"/>
      <c r="HSW137" s="547"/>
      <c r="HSX137" s="547"/>
      <c r="HSY137" s="548"/>
      <c r="HSZ137" s="547"/>
      <c r="HTA137" s="547"/>
      <c r="HTB137" s="547"/>
      <c r="HTC137" s="552"/>
      <c r="HTD137" s="548"/>
      <c r="HTE137" s="552"/>
      <c r="HTF137" s="552"/>
      <c r="HTG137" s="552"/>
      <c r="HTH137" s="552"/>
      <c r="HTI137" s="548"/>
      <c r="HTJ137" s="553"/>
      <c r="HTK137" s="553"/>
      <c r="HTL137" s="553"/>
      <c r="HTM137" s="8"/>
      <c r="HTN137" s="8"/>
      <c r="HTO137" s="458"/>
      <c r="HTP137" s="8"/>
      <c r="HTQ137" s="8"/>
      <c r="HTR137" s="547"/>
      <c r="HTS137" s="547"/>
      <c r="HTT137" s="547"/>
      <c r="HTU137" s="547"/>
      <c r="HTV137" s="548"/>
      <c r="HTW137" s="547"/>
      <c r="HTX137" s="547"/>
      <c r="HTY137" s="547"/>
      <c r="HTZ137" s="547"/>
      <c r="HUA137" s="548"/>
      <c r="HUB137" s="547"/>
      <c r="HUC137" s="547"/>
      <c r="HUD137" s="547"/>
      <c r="HUE137" s="547"/>
      <c r="HUF137" s="548"/>
      <c r="HUG137" s="547"/>
      <c r="HUH137" s="547"/>
      <c r="HUI137" s="547"/>
      <c r="HUJ137" s="552"/>
      <c r="HUK137" s="548"/>
      <c r="HUL137" s="552"/>
      <c r="HUM137" s="552"/>
      <c r="HUN137" s="552"/>
      <c r="HUO137" s="552"/>
      <c r="HUP137" s="548"/>
      <c r="HUQ137" s="553"/>
      <c r="HUR137" s="553"/>
      <c r="HUS137" s="553"/>
      <c r="HUT137" s="8"/>
      <c r="HUU137" s="8"/>
      <c r="HUV137" s="458"/>
      <c r="HUW137" s="8"/>
      <c r="HUX137" s="8"/>
      <c r="HUY137" s="547"/>
      <c r="HUZ137" s="547"/>
      <c r="HVA137" s="547"/>
      <c r="HVB137" s="547"/>
      <c r="HVC137" s="548"/>
      <c r="HVD137" s="547"/>
      <c r="HVE137" s="547"/>
      <c r="HVF137" s="547"/>
      <c r="HVG137" s="547"/>
      <c r="HVH137" s="548"/>
      <c r="HVI137" s="547"/>
      <c r="HVJ137" s="547"/>
      <c r="HVK137" s="547"/>
      <c r="HVL137" s="547"/>
      <c r="HVM137" s="548"/>
      <c r="HVN137" s="547"/>
      <c r="HVO137" s="547"/>
      <c r="HVP137" s="547"/>
      <c r="HVQ137" s="552"/>
      <c r="HVR137" s="548"/>
      <c r="HVS137" s="552"/>
      <c r="HVT137" s="552"/>
      <c r="HVU137" s="552"/>
      <c r="HVV137" s="552"/>
      <c r="HVW137" s="548"/>
      <c r="HVX137" s="553"/>
      <c r="HVY137" s="553"/>
      <c r="HVZ137" s="553"/>
      <c r="HWA137" s="8"/>
      <c r="HWB137" s="8"/>
      <c r="HWC137" s="458"/>
      <c r="HWD137" s="8"/>
      <c r="HWE137" s="8"/>
      <c r="HWF137" s="547"/>
      <c r="HWG137" s="547"/>
      <c r="HWH137" s="547"/>
      <c r="HWI137" s="547"/>
      <c r="HWJ137" s="548"/>
      <c r="HWK137" s="547"/>
      <c r="HWL137" s="547"/>
      <c r="HWM137" s="547"/>
      <c r="HWN137" s="547"/>
      <c r="HWO137" s="548"/>
      <c r="HWP137" s="547"/>
      <c r="HWQ137" s="547"/>
      <c r="HWR137" s="547"/>
      <c r="HWS137" s="547"/>
      <c r="HWT137" s="548"/>
      <c r="HWU137" s="547"/>
      <c r="HWV137" s="547"/>
      <c r="HWW137" s="547"/>
      <c r="HWX137" s="552"/>
      <c r="HWY137" s="548"/>
      <c r="HWZ137" s="552"/>
      <c r="HXA137" s="552"/>
      <c r="HXB137" s="552"/>
      <c r="HXC137" s="552"/>
      <c r="HXD137" s="548"/>
      <c r="HXE137" s="553"/>
      <c r="HXF137" s="553"/>
      <c r="HXG137" s="553"/>
      <c r="HXH137" s="8"/>
      <c r="HXI137" s="8"/>
      <c r="HXJ137" s="458"/>
      <c r="HXK137" s="8"/>
      <c r="HXL137" s="8"/>
      <c r="HXM137" s="547"/>
      <c r="HXN137" s="547"/>
      <c r="HXO137" s="547"/>
      <c r="HXP137" s="547"/>
      <c r="HXQ137" s="548"/>
      <c r="HXR137" s="547"/>
      <c r="HXS137" s="547"/>
      <c r="HXT137" s="547"/>
      <c r="HXU137" s="547"/>
      <c r="HXV137" s="548"/>
      <c r="HXW137" s="547"/>
      <c r="HXX137" s="547"/>
      <c r="HXY137" s="547"/>
      <c r="HXZ137" s="547"/>
      <c r="HYA137" s="548"/>
      <c r="HYB137" s="547"/>
      <c r="HYC137" s="547"/>
      <c r="HYD137" s="547"/>
      <c r="HYE137" s="552"/>
      <c r="HYF137" s="548"/>
      <c r="HYG137" s="552"/>
      <c r="HYH137" s="552"/>
      <c r="HYI137" s="552"/>
      <c r="HYJ137" s="552"/>
      <c r="HYK137" s="548"/>
      <c r="HYL137" s="553"/>
      <c r="HYM137" s="553"/>
      <c r="HYN137" s="553"/>
      <c r="HYO137" s="8"/>
      <c r="HYP137" s="8"/>
      <c r="HYQ137" s="458"/>
      <c r="HYR137" s="8"/>
      <c r="HYS137" s="8"/>
      <c r="HYT137" s="547"/>
      <c r="HYU137" s="547"/>
      <c r="HYV137" s="547"/>
      <c r="HYW137" s="547"/>
      <c r="HYX137" s="548"/>
      <c r="HYY137" s="547"/>
      <c r="HYZ137" s="547"/>
      <c r="HZA137" s="547"/>
      <c r="HZB137" s="547"/>
      <c r="HZC137" s="548"/>
      <c r="HZD137" s="547"/>
      <c r="HZE137" s="547"/>
      <c r="HZF137" s="547"/>
      <c r="HZG137" s="547"/>
      <c r="HZH137" s="548"/>
      <c r="HZI137" s="547"/>
      <c r="HZJ137" s="547"/>
      <c r="HZK137" s="547"/>
      <c r="HZL137" s="552"/>
      <c r="HZM137" s="548"/>
      <c r="HZN137" s="552"/>
      <c r="HZO137" s="552"/>
      <c r="HZP137" s="552"/>
      <c r="HZQ137" s="552"/>
      <c r="HZR137" s="548"/>
      <c r="HZS137" s="553"/>
      <c r="HZT137" s="553"/>
      <c r="HZU137" s="553"/>
      <c r="HZV137" s="8"/>
      <c r="HZW137" s="8"/>
      <c r="HZX137" s="458"/>
      <c r="HZY137" s="8"/>
      <c r="HZZ137" s="8"/>
      <c r="IAA137" s="547"/>
      <c r="IAB137" s="547"/>
      <c r="IAC137" s="547"/>
      <c r="IAD137" s="547"/>
      <c r="IAE137" s="548"/>
      <c r="IAF137" s="547"/>
      <c r="IAG137" s="547"/>
      <c r="IAH137" s="547"/>
      <c r="IAI137" s="547"/>
      <c r="IAJ137" s="548"/>
      <c r="IAK137" s="547"/>
      <c r="IAL137" s="547"/>
      <c r="IAM137" s="547"/>
      <c r="IAN137" s="547"/>
      <c r="IAO137" s="548"/>
      <c r="IAP137" s="547"/>
      <c r="IAQ137" s="547"/>
      <c r="IAR137" s="547"/>
      <c r="IAS137" s="552"/>
      <c r="IAT137" s="548"/>
      <c r="IAU137" s="552"/>
      <c r="IAV137" s="552"/>
      <c r="IAW137" s="552"/>
      <c r="IAX137" s="552"/>
      <c r="IAY137" s="548"/>
      <c r="IAZ137" s="553"/>
      <c r="IBA137" s="553"/>
      <c r="IBB137" s="553"/>
      <c r="IBC137" s="8"/>
      <c r="IBD137" s="8"/>
      <c r="IBE137" s="458"/>
      <c r="IBF137" s="8"/>
      <c r="IBG137" s="8"/>
      <c r="IBH137" s="547"/>
      <c r="IBI137" s="547"/>
      <c r="IBJ137" s="547"/>
      <c r="IBK137" s="547"/>
      <c r="IBL137" s="548"/>
      <c r="IBM137" s="547"/>
      <c r="IBN137" s="547"/>
      <c r="IBO137" s="547"/>
      <c r="IBP137" s="547"/>
      <c r="IBQ137" s="548"/>
      <c r="IBR137" s="547"/>
      <c r="IBS137" s="547"/>
      <c r="IBT137" s="547"/>
      <c r="IBU137" s="547"/>
      <c r="IBV137" s="548"/>
      <c r="IBW137" s="547"/>
      <c r="IBX137" s="547"/>
      <c r="IBY137" s="547"/>
      <c r="IBZ137" s="552"/>
      <c r="ICA137" s="548"/>
      <c r="ICB137" s="552"/>
      <c r="ICC137" s="552"/>
      <c r="ICD137" s="552"/>
      <c r="ICE137" s="552"/>
      <c r="ICF137" s="548"/>
      <c r="ICG137" s="553"/>
      <c r="ICH137" s="553"/>
      <c r="ICI137" s="553"/>
      <c r="ICJ137" s="8"/>
      <c r="ICK137" s="8"/>
      <c r="ICL137" s="458"/>
      <c r="ICM137" s="8"/>
      <c r="ICN137" s="8"/>
      <c r="ICO137" s="547"/>
      <c r="ICP137" s="547"/>
      <c r="ICQ137" s="547"/>
      <c r="ICR137" s="547"/>
      <c r="ICS137" s="548"/>
      <c r="ICT137" s="547"/>
      <c r="ICU137" s="547"/>
      <c r="ICV137" s="547"/>
      <c r="ICW137" s="547"/>
      <c r="ICX137" s="548"/>
      <c r="ICY137" s="547"/>
      <c r="ICZ137" s="547"/>
      <c r="IDA137" s="547"/>
      <c r="IDB137" s="547"/>
      <c r="IDC137" s="548"/>
      <c r="IDD137" s="547"/>
      <c r="IDE137" s="547"/>
      <c r="IDF137" s="547"/>
      <c r="IDG137" s="552"/>
      <c r="IDH137" s="548"/>
      <c r="IDI137" s="552"/>
      <c r="IDJ137" s="552"/>
      <c r="IDK137" s="552"/>
      <c r="IDL137" s="552"/>
      <c r="IDM137" s="548"/>
      <c r="IDN137" s="553"/>
      <c r="IDO137" s="553"/>
      <c r="IDP137" s="553"/>
      <c r="IDQ137" s="8"/>
      <c r="IDR137" s="8"/>
      <c r="IDS137" s="458"/>
      <c r="IDT137" s="8"/>
      <c r="IDU137" s="8"/>
      <c r="IDV137" s="547"/>
      <c r="IDW137" s="547"/>
      <c r="IDX137" s="547"/>
      <c r="IDY137" s="547"/>
      <c r="IDZ137" s="548"/>
      <c r="IEA137" s="547"/>
      <c r="IEB137" s="547"/>
      <c r="IEC137" s="547"/>
      <c r="IED137" s="547"/>
      <c r="IEE137" s="548"/>
      <c r="IEF137" s="547"/>
      <c r="IEG137" s="547"/>
      <c r="IEH137" s="547"/>
      <c r="IEI137" s="547"/>
      <c r="IEJ137" s="548"/>
      <c r="IEK137" s="547"/>
      <c r="IEL137" s="547"/>
      <c r="IEM137" s="547"/>
      <c r="IEN137" s="552"/>
      <c r="IEO137" s="548"/>
      <c r="IEP137" s="552"/>
      <c r="IEQ137" s="552"/>
      <c r="IER137" s="552"/>
      <c r="IES137" s="552"/>
      <c r="IET137" s="548"/>
      <c r="IEU137" s="553"/>
      <c r="IEV137" s="553"/>
      <c r="IEW137" s="553"/>
      <c r="IEX137" s="8"/>
      <c r="IEY137" s="8"/>
      <c r="IEZ137" s="458"/>
      <c r="IFA137" s="8"/>
      <c r="IFB137" s="8"/>
      <c r="IFC137" s="547"/>
      <c r="IFD137" s="547"/>
      <c r="IFE137" s="547"/>
      <c r="IFF137" s="547"/>
      <c r="IFG137" s="548"/>
      <c r="IFH137" s="547"/>
      <c r="IFI137" s="547"/>
      <c r="IFJ137" s="547"/>
      <c r="IFK137" s="547"/>
      <c r="IFL137" s="548"/>
      <c r="IFM137" s="547"/>
      <c r="IFN137" s="547"/>
      <c r="IFO137" s="547"/>
      <c r="IFP137" s="547"/>
      <c r="IFQ137" s="548"/>
      <c r="IFR137" s="547"/>
      <c r="IFS137" s="547"/>
      <c r="IFT137" s="547"/>
      <c r="IFU137" s="552"/>
      <c r="IFV137" s="548"/>
      <c r="IFW137" s="552"/>
      <c r="IFX137" s="552"/>
      <c r="IFY137" s="552"/>
      <c r="IFZ137" s="552"/>
      <c r="IGA137" s="548"/>
      <c r="IGB137" s="553"/>
      <c r="IGC137" s="553"/>
      <c r="IGD137" s="553"/>
      <c r="IGE137" s="8"/>
      <c r="IGF137" s="8"/>
      <c r="IGG137" s="458"/>
      <c r="IGH137" s="8"/>
      <c r="IGI137" s="8"/>
      <c r="IGJ137" s="547"/>
      <c r="IGK137" s="547"/>
      <c r="IGL137" s="547"/>
      <c r="IGM137" s="547"/>
      <c r="IGN137" s="548"/>
      <c r="IGO137" s="547"/>
      <c r="IGP137" s="547"/>
      <c r="IGQ137" s="547"/>
      <c r="IGR137" s="547"/>
      <c r="IGS137" s="548"/>
      <c r="IGT137" s="547"/>
      <c r="IGU137" s="547"/>
      <c r="IGV137" s="547"/>
      <c r="IGW137" s="547"/>
      <c r="IGX137" s="548"/>
      <c r="IGY137" s="547"/>
      <c r="IGZ137" s="547"/>
      <c r="IHA137" s="547"/>
      <c r="IHB137" s="552"/>
      <c r="IHC137" s="548"/>
      <c r="IHD137" s="552"/>
      <c r="IHE137" s="552"/>
      <c r="IHF137" s="552"/>
      <c r="IHG137" s="552"/>
      <c r="IHH137" s="548"/>
      <c r="IHI137" s="553"/>
      <c r="IHJ137" s="553"/>
      <c r="IHK137" s="553"/>
      <c r="IHL137" s="8"/>
      <c r="IHM137" s="8"/>
      <c r="IHN137" s="458"/>
      <c r="IHO137" s="8"/>
      <c r="IHP137" s="8"/>
      <c r="IHQ137" s="547"/>
      <c r="IHR137" s="547"/>
      <c r="IHS137" s="547"/>
      <c r="IHT137" s="547"/>
      <c r="IHU137" s="548"/>
      <c r="IHV137" s="547"/>
      <c r="IHW137" s="547"/>
      <c r="IHX137" s="547"/>
      <c r="IHY137" s="547"/>
      <c r="IHZ137" s="548"/>
      <c r="IIA137" s="547"/>
      <c r="IIB137" s="547"/>
      <c r="IIC137" s="547"/>
      <c r="IID137" s="547"/>
      <c r="IIE137" s="548"/>
      <c r="IIF137" s="547"/>
      <c r="IIG137" s="547"/>
      <c r="IIH137" s="547"/>
      <c r="III137" s="552"/>
      <c r="IIJ137" s="548"/>
      <c r="IIK137" s="552"/>
      <c r="IIL137" s="552"/>
      <c r="IIM137" s="552"/>
      <c r="IIN137" s="552"/>
      <c r="IIO137" s="548"/>
      <c r="IIP137" s="553"/>
      <c r="IIQ137" s="553"/>
      <c r="IIR137" s="553"/>
      <c r="IIS137" s="8"/>
      <c r="IIT137" s="8"/>
      <c r="IIU137" s="458"/>
      <c r="IIV137" s="8"/>
      <c r="IIW137" s="8"/>
      <c r="IIX137" s="547"/>
      <c r="IIY137" s="547"/>
      <c r="IIZ137" s="547"/>
      <c r="IJA137" s="547"/>
      <c r="IJB137" s="548"/>
      <c r="IJC137" s="547"/>
      <c r="IJD137" s="547"/>
      <c r="IJE137" s="547"/>
      <c r="IJF137" s="547"/>
      <c r="IJG137" s="548"/>
      <c r="IJH137" s="547"/>
      <c r="IJI137" s="547"/>
      <c r="IJJ137" s="547"/>
      <c r="IJK137" s="547"/>
      <c r="IJL137" s="548"/>
      <c r="IJM137" s="547"/>
      <c r="IJN137" s="547"/>
      <c r="IJO137" s="547"/>
      <c r="IJP137" s="552"/>
      <c r="IJQ137" s="548"/>
      <c r="IJR137" s="552"/>
      <c r="IJS137" s="552"/>
      <c r="IJT137" s="552"/>
      <c r="IJU137" s="552"/>
      <c r="IJV137" s="548"/>
      <c r="IJW137" s="553"/>
      <c r="IJX137" s="553"/>
      <c r="IJY137" s="553"/>
      <c r="IJZ137" s="8"/>
      <c r="IKA137" s="8"/>
      <c r="IKB137" s="458"/>
      <c r="IKC137" s="8"/>
      <c r="IKD137" s="8"/>
      <c r="IKE137" s="547"/>
      <c r="IKF137" s="547"/>
      <c r="IKG137" s="547"/>
      <c r="IKH137" s="547"/>
      <c r="IKI137" s="548"/>
      <c r="IKJ137" s="547"/>
      <c r="IKK137" s="547"/>
      <c r="IKL137" s="547"/>
      <c r="IKM137" s="547"/>
      <c r="IKN137" s="548"/>
      <c r="IKO137" s="547"/>
      <c r="IKP137" s="547"/>
      <c r="IKQ137" s="547"/>
      <c r="IKR137" s="547"/>
      <c r="IKS137" s="548"/>
      <c r="IKT137" s="547"/>
      <c r="IKU137" s="547"/>
      <c r="IKV137" s="547"/>
      <c r="IKW137" s="552"/>
      <c r="IKX137" s="548"/>
      <c r="IKY137" s="552"/>
      <c r="IKZ137" s="552"/>
      <c r="ILA137" s="552"/>
      <c r="ILB137" s="552"/>
      <c r="ILC137" s="548"/>
      <c r="ILD137" s="553"/>
      <c r="ILE137" s="553"/>
      <c r="ILF137" s="553"/>
      <c r="ILG137" s="8"/>
      <c r="ILH137" s="8"/>
      <c r="ILI137" s="458"/>
      <c r="ILJ137" s="8"/>
      <c r="ILK137" s="8"/>
      <c r="ILL137" s="547"/>
      <c r="ILM137" s="547"/>
      <c r="ILN137" s="547"/>
      <c r="ILO137" s="547"/>
      <c r="ILP137" s="548"/>
      <c r="ILQ137" s="547"/>
      <c r="ILR137" s="547"/>
      <c r="ILS137" s="547"/>
      <c r="ILT137" s="547"/>
      <c r="ILU137" s="548"/>
      <c r="ILV137" s="547"/>
      <c r="ILW137" s="547"/>
      <c r="ILX137" s="547"/>
      <c r="ILY137" s="547"/>
      <c r="ILZ137" s="548"/>
      <c r="IMA137" s="547"/>
      <c r="IMB137" s="547"/>
      <c r="IMC137" s="547"/>
      <c r="IMD137" s="552"/>
      <c r="IME137" s="548"/>
      <c r="IMF137" s="552"/>
      <c r="IMG137" s="552"/>
      <c r="IMH137" s="552"/>
      <c r="IMI137" s="552"/>
      <c r="IMJ137" s="548"/>
      <c r="IMK137" s="553"/>
      <c r="IML137" s="553"/>
      <c r="IMM137" s="553"/>
      <c r="IMN137" s="8"/>
      <c r="IMO137" s="8"/>
      <c r="IMP137" s="458"/>
      <c r="IMQ137" s="8"/>
      <c r="IMR137" s="8"/>
      <c r="IMS137" s="547"/>
      <c r="IMT137" s="547"/>
      <c r="IMU137" s="547"/>
      <c r="IMV137" s="547"/>
      <c r="IMW137" s="548"/>
      <c r="IMX137" s="547"/>
      <c r="IMY137" s="547"/>
      <c r="IMZ137" s="547"/>
      <c r="INA137" s="547"/>
      <c r="INB137" s="548"/>
      <c r="INC137" s="547"/>
      <c r="IND137" s="547"/>
      <c r="INE137" s="547"/>
      <c r="INF137" s="547"/>
      <c r="ING137" s="548"/>
      <c r="INH137" s="547"/>
      <c r="INI137" s="547"/>
      <c r="INJ137" s="547"/>
      <c r="INK137" s="552"/>
      <c r="INL137" s="548"/>
      <c r="INM137" s="552"/>
      <c r="INN137" s="552"/>
      <c r="INO137" s="552"/>
      <c r="INP137" s="552"/>
      <c r="INQ137" s="548"/>
      <c r="INR137" s="553"/>
      <c r="INS137" s="553"/>
      <c r="INT137" s="553"/>
      <c r="INU137" s="8"/>
      <c r="INV137" s="8"/>
      <c r="INW137" s="458"/>
      <c r="INX137" s="8"/>
      <c r="INY137" s="8"/>
      <c r="INZ137" s="547"/>
      <c r="IOA137" s="547"/>
      <c r="IOB137" s="547"/>
      <c r="IOC137" s="547"/>
      <c r="IOD137" s="548"/>
      <c r="IOE137" s="547"/>
      <c r="IOF137" s="547"/>
      <c r="IOG137" s="547"/>
      <c r="IOH137" s="547"/>
      <c r="IOI137" s="548"/>
      <c r="IOJ137" s="547"/>
      <c r="IOK137" s="547"/>
      <c r="IOL137" s="547"/>
      <c r="IOM137" s="547"/>
      <c r="ION137" s="548"/>
      <c r="IOO137" s="547"/>
      <c r="IOP137" s="547"/>
      <c r="IOQ137" s="547"/>
      <c r="IOR137" s="552"/>
      <c r="IOS137" s="548"/>
      <c r="IOT137" s="552"/>
      <c r="IOU137" s="552"/>
      <c r="IOV137" s="552"/>
      <c r="IOW137" s="552"/>
      <c r="IOX137" s="548"/>
      <c r="IOY137" s="553"/>
      <c r="IOZ137" s="553"/>
      <c r="IPA137" s="553"/>
      <c r="IPB137" s="8"/>
      <c r="IPC137" s="8"/>
      <c r="IPD137" s="458"/>
      <c r="IPE137" s="8"/>
      <c r="IPF137" s="8"/>
      <c r="IPG137" s="547"/>
      <c r="IPH137" s="547"/>
      <c r="IPI137" s="547"/>
      <c r="IPJ137" s="547"/>
      <c r="IPK137" s="548"/>
      <c r="IPL137" s="547"/>
      <c r="IPM137" s="547"/>
      <c r="IPN137" s="547"/>
      <c r="IPO137" s="547"/>
      <c r="IPP137" s="548"/>
      <c r="IPQ137" s="547"/>
      <c r="IPR137" s="547"/>
      <c r="IPS137" s="547"/>
      <c r="IPT137" s="547"/>
      <c r="IPU137" s="548"/>
      <c r="IPV137" s="547"/>
      <c r="IPW137" s="547"/>
      <c r="IPX137" s="547"/>
      <c r="IPY137" s="552"/>
      <c r="IPZ137" s="548"/>
      <c r="IQA137" s="552"/>
      <c r="IQB137" s="552"/>
      <c r="IQC137" s="552"/>
      <c r="IQD137" s="552"/>
      <c r="IQE137" s="548"/>
      <c r="IQF137" s="553"/>
      <c r="IQG137" s="553"/>
      <c r="IQH137" s="553"/>
      <c r="IQI137" s="8"/>
      <c r="IQJ137" s="8"/>
      <c r="IQK137" s="458"/>
      <c r="IQL137" s="8"/>
      <c r="IQM137" s="8"/>
      <c r="IQN137" s="547"/>
      <c r="IQO137" s="547"/>
      <c r="IQP137" s="547"/>
      <c r="IQQ137" s="547"/>
      <c r="IQR137" s="548"/>
      <c r="IQS137" s="547"/>
      <c r="IQT137" s="547"/>
      <c r="IQU137" s="547"/>
      <c r="IQV137" s="547"/>
      <c r="IQW137" s="548"/>
      <c r="IQX137" s="547"/>
      <c r="IQY137" s="547"/>
      <c r="IQZ137" s="547"/>
      <c r="IRA137" s="547"/>
      <c r="IRB137" s="548"/>
      <c r="IRC137" s="547"/>
      <c r="IRD137" s="547"/>
      <c r="IRE137" s="547"/>
      <c r="IRF137" s="552"/>
      <c r="IRG137" s="548"/>
      <c r="IRH137" s="552"/>
      <c r="IRI137" s="552"/>
      <c r="IRJ137" s="552"/>
      <c r="IRK137" s="552"/>
      <c r="IRL137" s="548"/>
      <c r="IRM137" s="553"/>
      <c r="IRN137" s="553"/>
      <c r="IRO137" s="553"/>
      <c r="IRP137" s="8"/>
      <c r="IRQ137" s="8"/>
      <c r="IRR137" s="458"/>
      <c r="IRS137" s="8"/>
      <c r="IRT137" s="8"/>
      <c r="IRU137" s="547"/>
      <c r="IRV137" s="547"/>
      <c r="IRW137" s="547"/>
      <c r="IRX137" s="547"/>
      <c r="IRY137" s="548"/>
      <c r="IRZ137" s="547"/>
      <c r="ISA137" s="547"/>
      <c r="ISB137" s="547"/>
      <c r="ISC137" s="547"/>
      <c r="ISD137" s="548"/>
      <c r="ISE137" s="547"/>
      <c r="ISF137" s="547"/>
      <c r="ISG137" s="547"/>
      <c r="ISH137" s="547"/>
      <c r="ISI137" s="548"/>
      <c r="ISJ137" s="547"/>
      <c r="ISK137" s="547"/>
      <c r="ISL137" s="547"/>
      <c r="ISM137" s="552"/>
      <c r="ISN137" s="548"/>
      <c r="ISO137" s="552"/>
      <c r="ISP137" s="552"/>
      <c r="ISQ137" s="552"/>
      <c r="ISR137" s="552"/>
      <c r="ISS137" s="548"/>
      <c r="IST137" s="553"/>
      <c r="ISU137" s="553"/>
      <c r="ISV137" s="553"/>
      <c r="ISW137" s="8"/>
      <c r="ISX137" s="8"/>
      <c r="ISY137" s="458"/>
      <c r="ISZ137" s="8"/>
      <c r="ITA137" s="8"/>
      <c r="ITB137" s="547"/>
      <c r="ITC137" s="547"/>
      <c r="ITD137" s="547"/>
      <c r="ITE137" s="547"/>
      <c r="ITF137" s="548"/>
      <c r="ITG137" s="547"/>
      <c r="ITH137" s="547"/>
      <c r="ITI137" s="547"/>
      <c r="ITJ137" s="547"/>
      <c r="ITK137" s="548"/>
      <c r="ITL137" s="547"/>
      <c r="ITM137" s="547"/>
      <c r="ITN137" s="547"/>
      <c r="ITO137" s="547"/>
      <c r="ITP137" s="548"/>
      <c r="ITQ137" s="547"/>
      <c r="ITR137" s="547"/>
      <c r="ITS137" s="547"/>
      <c r="ITT137" s="552"/>
      <c r="ITU137" s="548"/>
      <c r="ITV137" s="552"/>
      <c r="ITW137" s="552"/>
      <c r="ITX137" s="552"/>
      <c r="ITY137" s="552"/>
      <c r="ITZ137" s="548"/>
      <c r="IUA137" s="553"/>
      <c r="IUB137" s="553"/>
      <c r="IUC137" s="553"/>
      <c r="IUD137" s="8"/>
      <c r="IUE137" s="8"/>
      <c r="IUF137" s="458"/>
      <c r="IUG137" s="8"/>
      <c r="IUH137" s="8"/>
      <c r="IUI137" s="547"/>
      <c r="IUJ137" s="547"/>
      <c r="IUK137" s="547"/>
      <c r="IUL137" s="547"/>
      <c r="IUM137" s="548"/>
      <c r="IUN137" s="547"/>
      <c r="IUO137" s="547"/>
      <c r="IUP137" s="547"/>
      <c r="IUQ137" s="547"/>
      <c r="IUR137" s="548"/>
      <c r="IUS137" s="547"/>
      <c r="IUT137" s="547"/>
      <c r="IUU137" s="547"/>
      <c r="IUV137" s="547"/>
      <c r="IUW137" s="548"/>
      <c r="IUX137" s="547"/>
      <c r="IUY137" s="547"/>
      <c r="IUZ137" s="547"/>
      <c r="IVA137" s="552"/>
      <c r="IVB137" s="548"/>
      <c r="IVC137" s="552"/>
      <c r="IVD137" s="552"/>
      <c r="IVE137" s="552"/>
      <c r="IVF137" s="552"/>
      <c r="IVG137" s="548"/>
      <c r="IVH137" s="553"/>
      <c r="IVI137" s="553"/>
      <c r="IVJ137" s="553"/>
      <c r="IVK137" s="8"/>
      <c r="IVL137" s="8"/>
      <c r="IVM137" s="458"/>
      <c r="IVN137" s="8"/>
      <c r="IVO137" s="8"/>
      <c r="IVP137" s="547"/>
      <c r="IVQ137" s="547"/>
      <c r="IVR137" s="547"/>
      <c r="IVS137" s="547"/>
      <c r="IVT137" s="548"/>
      <c r="IVU137" s="547"/>
      <c r="IVV137" s="547"/>
      <c r="IVW137" s="547"/>
      <c r="IVX137" s="547"/>
      <c r="IVY137" s="548"/>
      <c r="IVZ137" s="547"/>
      <c r="IWA137" s="547"/>
      <c r="IWB137" s="547"/>
      <c r="IWC137" s="547"/>
      <c r="IWD137" s="548"/>
      <c r="IWE137" s="547"/>
      <c r="IWF137" s="547"/>
      <c r="IWG137" s="547"/>
      <c r="IWH137" s="552"/>
      <c r="IWI137" s="548"/>
      <c r="IWJ137" s="552"/>
      <c r="IWK137" s="552"/>
      <c r="IWL137" s="552"/>
      <c r="IWM137" s="552"/>
      <c r="IWN137" s="548"/>
      <c r="IWO137" s="553"/>
      <c r="IWP137" s="553"/>
      <c r="IWQ137" s="553"/>
      <c r="IWR137" s="8"/>
      <c r="IWS137" s="8"/>
      <c r="IWT137" s="458"/>
      <c r="IWU137" s="8"/>
      <c r="IWV137" s="8"/>
      <c r="IWW137" s="547"/>
      <c r="IWX137" s="547"/>
      <c r="IWY137" s="547"/>
      <c r="IWZ137" s="547"/>
      <c r="IXA137" s="548"/>
      <c r="IXB137" s="547"/>
      <c r="IXC137" s="547"/>
      <c r="IXD137" s="547"/>
      <c r="IXE137" s="547"/>
      <c r="IXF137" s="548"/>
      <c r="IXG137" s="547"/>
      <c r="IXH137" s="547"/>
      <c r="IXI137" s="547"/>
      <c r="IXJ137" s="547"/>
      <c r="IXK137" s="548"/>
      <c r="IXL137" s="547"/>
      <c r="IXM137" s="547"/>
      <c r="IXN137" s="547"/>
      <c r="IXO137" s="552"/>
      <c r="IXP137" s="548"/>
      <c r="IXQ137" s="552"/>
      <c r="IXR137" s="552"/>
      <c r="IXS137" s="552"/>
      <c r="IXT137" s="552"/>
      <c r="IXU137" s="548"/>
      <c r="IXV137" s="553"/>
      <c r="IXW137" s="553"/>
      <c r="IXX137" s="553"/>
      <c r="IXY137" s="8"/>
      <c r="IXZ137" s="8"/>
      <c r="IYA137" s="458"/>
      <c r="IYB137" s="8"/>
      <c r="IYC137" s="8"/>
      <c r="IYD137" s="547"/>
      <c r="IYE137" s="547"/>
      <c r="IYF137" s="547"/>
      <c r="IYG137" s="547"/>
      <c r="IYH137" s="548"/>
      <c r="IYI137" s="547"/>
      <c r="IYJ137" s="547"/>
      <c r="IYK137" s="547"/>
      <c r="IYL137" s="547"/>
      <c r="IYM137" s="548"/>
      <c r="IYN137" s="547"/>
      <c r="IYO137" s="547"/>
      <c r="IYP137" s="547"/>
      <c r="IYQ137" s="547"/>
      <c r="IYR137" s="548"/>
      <c r="IYS137" s="547"/>
      <c r="IYT137" s="547"/>
      <c r="IYU137" s="547"/>
      <c r="IYV137" s="552"/>
      <c r="IYW137" s="548"/>
      <c r="IYX137" s="552"/>
      <c r="IYY137" s="552"/>
      <c r="IYZ137" s="552"/>
      <c r="IZA137" s="552"/>
      <c r="IZB137" s="548"/>
      <c r="IZC137" s="553"/>
      <c r="IZD137" s="553"/>
      <c r="IZE137" s="553"/>
      <c r="IZF137" s="8"/>
      <c r="IZG137" s="8"/>
      <c r="IZH137" s="458"/>
      <c r="IZI137" s="8"/>
      <c r="IZJ137" s="8"/>
      <c r="IZK137" s="547"/>
      <c r="IZL137" s="547"/>
      <c r="IZM137" s="547"/>
      <c r="IZN137" s="547"/>
      <c r="IZO137" s="548"/>
      <c r="IZP137" s="547"/>
      <c r="IZQ137" s="547"/>
      <c r="IZR137" s="547"/>
      <c r="IZS137" s="547"/>
      <c r="IZT137" s="548"/>
      <c r="IZU137" s="547"/>
      <c r="IZV137" s="547"/>
      <c r="IZW137" s="547"/>
      <c r="IZX137" s="547"/>
      <c r="IZY137" s="548"/>
      <c r="IZZ137" s="547"/>
      <c r="JAA137" s="547"/>
      <c r="JAB137" s="547"/>
      <c r="JAC137" s="552"/>
      <c r="JAD137" s="548"/>
      <c r="JAE137" s="552"/>
      <c r="JAF137" s="552"/>
      <c r="JAG137" s="552"/>
      <c r="JAH137" s="552"/>
      <c r="JAI137" s="548"/>
      <c r="JAJ137" s="553"/>
      <c r="JAK137" s="553"/>
      <c r="JAL137" s="553"/>
      <c r="JAM137" s="8"/>
      <c r="JAN137" s="8"/>
      <c r="JAO137" s="458"/>
      <c r="JAP137" s="8"/>
      <c r="JAQ137" s="8"/>
      <c r="JAR137" s="547"/>
      <c r="JAS137" s="547"/>
      <c r="JAT137" s="547"/>
      <c r="JAU137" s="547"/>
      <c r="JAV137" s="548"/>
      <c r="JAW137" s="547"/>
      <c r="JAX137" s="547"/>
      <c r="JAY137" s="547"/>
      <c r="JAZ137" s="547"/>
      <c r="JBA137" s="548"/>
      <c r="JBB137" s="547"/>
      <c r="JBC137" s="547"/>
      <c r="JBD137" s="547"/>
      <c r="JBE137" s="547"/>
      <c r="JBF137" s="548"/>
      <c r="JBG137" s="547"/>
      <c r="JBH137" s="547"/>
      <c r="JBI137" s="547"/>
      <c r="JBJ137" s="552"/>
      <c r="JBK137" s="548"/>
      <c r="JBL137" s="552"/>
      <c r="JBM137" s="552"/>
      <c r="JBN137" s="552"/>
      <c r="JBO137" s="552"/>
      <c r="JBP137" s="548"/>
      <c r="JBQ137" s="553"/>
      <c r="JBR137" s="553"/>
      <c r="JBS137" s="553"/>
      <c r="JBT137" s="8"/>
      <c r="JBU137" s="8"/>
      <c r="JBV137" s="458"/>
      <c r="JBW137" s="8"/>
      <c r="JBX137" s="8"/>
      <c r="JBY137" s="547"/>
      <c r="JBZ137" s="547"/>
      <c r="JCA137" s="547"/>
      <c r="JCB137" s="547"/>
      <c r="JCC137" s="548"/>
      <c r="JCD137" s="547"/>
      <c r="JCE137" s="547"/>
      <c r="JCF137" s="547"/>
      <c r="JCG137" s="547"/>
      <c r="JCH137" s="548"/>
      <c r="JCI137" s="547"/>
      <c r="JCJ137" s="547"/>
      <c r="JCK137" s="547"/>
      <c r="JCL137" s="547"/>
      <c r="JCM137" s="548"/>
      <c r="JCN137" s="547"/>
      <c r="JCO137" s="547"/>
      <c r="JCP137" s="547"/>
      <c r="JCQ137" s="552"/>
      <c r="JCR137" s="548"/>
      <c r="JCS137" s="552"/>
      <c r="JCT137" s="552"/>
      <c r="JCU137" s="552"/>
      <c r="JCV137" s="552"/>
      <c r="JCW137" s="548"/>
      <c r="JCX137" s="553"/>
      <c r="JCY137" s="553"/>
      <c r="JCZ137" s="553"/>
      <c r="JDA137" s="8"/>
      <c r="JDB137" s="8"/>
      <c r="JDC137" s="458"/>
      <c r="JDD137" s="8"/>
      <c r="JDE137" s="8"/>
      <c r="JDF137" s="547"/>
      <c r="JDG137" s="547"/>
      <c r="JDH137" s="547"/>
      <c r="JDI137" s="547"/>
      <c r="JDJ137" s="548"/>
      <c r="JDK137" s="547"/>
      <c r="JDL137" s="547"/>
      <c r="JDM137" s="547"/>
      <c r="JDN137" s="547"/>
      <c r="JDO137" s="548"/>
      <c r="JDP137" s="547"/>
      <c r="JDQ137" s="547"/>
      <c r="JDR137" s="547"/>
      <c r="JDS137" s="547"/>
      <c r="JDT137" s="548"/>
      <c r="JDU137" s="547"/>
      <c r="JDV137" s="547"/>
      <c r="JDW137" s="547"/>
      <c r="JDX137" s="552"/>
      <c r="JDY137" s="548"/>
      <c r="JDZ137" s="552"/>
      <c r="JEA137" s="552"/>
      <c r="JEB137" s="552"/>
      <c r="JEC137" s="552"/>
      <c r="JED137" s="548"/>
      <c r="JEE137" s="553"/>
      <c r="JEF137" s="553"/>
      <c r="JEG137" s="553"/>
      <c r="JEH137" s="8"/>
      <c r="JEI137" s="8"/>
      <c r="JEJ137" s="458"/>
      <c r="JEK137" s="8"/>
      <c r="JEL137" s="8"/>
      <c r="JEM137" s="547"/>
      <c r="JEN137" s="547"/>
      <c r="JEO137" s="547"/>
      <c r="JEP137" s="547"/>
      <c r="JEQ137" s="548"/>
      <c r="JER137" s="547"/>
      <c r="JES137" s="547"/>
      <c r="JET137" s="547"/>
      <c r="JEU137" s="547"/>
      <c r="JEV137" s="548"/>
      <c r="JEW137" s="547"/>
      <c r="JEX137" s="547"/>
      <c r="JEY137" s="547"/>
      <c r="JEZ137" s="547"/>
      <c r="JFA137" s="548"/>
      <c r="JFB137" s="547"/>
      <c r="JFC137" s="547"/>
      <c r="JFD137" s="547"/>
      <c r="JFE137" s="552"/>
      <c r="JFF137" s="548"/>
      <c r="JFG137" s="552"/>
      <c r="JFH137" s="552"/>
      <c r="JFI137" s="552"/>
      <c r="JFJ137" s="552"/>
      <c r="JFK137" s="548"/>
      <c r="JFL137" s="553"/>
      <c r="JFM137" s="553"/>
      <c r="JFN137" s="553"/>
      <c r="JFO137" s="8"/>
      <c r="JFP137" s="8"/>
      <c r="JFQ137" s="458"/>
      <c r="JFR137" s="8"/>
      <c r="JFS137" s="8"/>
      <c r="JFT137" s="547"/>
      <c r="JFU137" s="547"/>
      <c r="JFV137" s="547"/>
      <c r="JFW137" s="547"/>
      <c r="JFX137" s="548"/>
      <c r="JFY137" s="547"/>
      <c r="JFZ137" s="547"/>
      <c r="JGA137" s="547"/>
      <c r="JGB137" s="547"/>
      <c r="JGC137" s="548"/>
      <c r="JGD137" s="547"/>
      <c r="JGE137" s="547"/>
      <c r="JGF137" s="547"/>
      <c r="JGG137" s="547"/>
      <c r="JGH137" s="548"/>
      <c r="JGI137" s="547"/>
      <c r="JGJ137" s="547"/>
      <c r="JGK137" s="547"/>
      <c r="JGL137" s="552"/>
      <c r="JGM137" s="548"/>
      <c r="JGN137" s="552"/>
      <c r="JGO137" s="552"/>
      <c r="JGP137" s="552"/>
      <c r="JGQ137" s="552"/>
      <c r="JGR137" s="548"/>
      <c r="JGS137" s="553"/>
      <c r="JGT137" s="553"/>
      <c r="JGU137" s="553"/>
      <c r="JGV137" s="8"/>
      <c r="JGW137" s="8"/>
      <c r="JGX137" s="458"/>
      <c r="JGY137" s="8"/>
      <c r="JGZ137" s="8"/>
      <c r="JHA137" s="547"/>
      <c r="JHB137" s="547"/>
      <c r="JHC137" s="547"/>
      <c r="JHD137" s="547"/>
      <c r="JHE137" s="548"/>
      <c r="JHF137" s="547"/>
      <c r="JHG137" s="547"/>
      <c r="JHH137" s="547"/>
      <c r="JHI137" s="547"/>
      <c r="JHJ137" s="548"/>
      <c r="JHK137" s="547"/>
      <c r="JHL137" s="547"/>
      <c r="JHM137" s="547"/>
      <c r="JHN137" s="547"/>
      <c r="JHO137" s="548"/>
      <c r="JHP137" s="547"/>
      <c r="JHQ137" s="547"/>
      <c r="JHR137" s="547"/>
      <c r="JHS137" s="552"/>
      <c r="JHT137" s="548"/>
      <c r="JHU137" s="552"/>
      <c r="JHV137" s="552"/>
      <c r="JHW137" s="552"/>
      <c r="JHX137" s="552"/>
      <c r="JHY137" s="548"/>
      <c r="JHZ137" s="553"/>
      <c r="JIA137" s="553"/>
      <c r="JIB137" s="553"/>
      <c r="JIC137" s="8"/>
      <c r="JID137" s="8"/>
      <c r="JIE137" s="458"/>
      <c r="JIF137" s="8"/>
      <c r="JIG137" s="8"/>
      <c r="JIH137" s="547"/>
      <c r="JII137" s="547"/>
      <c r="JIJ137" s="547"/>
      <c r="JIK137" s="547"/>
      <c r="JIL137" s="548"/>
      <c r="JIM137" s="547"/>
      <c r="JIN137" s="547"/>
      <c r="JIO137" s="547"/>
      <c r="JIP137" s="547"/>
      <c r="JIQ137" s="548"/>
      <c r="JIR137" s="547"/>
      <c r="JIS137" s="547"/>
      <c r="JIT137" s="547"/>
      <c r="JIU137" s="547"/>
      <c r="JIV137" s="548"/>
      <c r="JIW137" s="547"/>
      <c r="JIX137" s="547"/>
      <c r="JIY137" s="547"/>
      <c r="JIZ137" s="552"/>
      <c r="JJA137" s="548"/>
      <c r="JJB137" s="552"/>
      <c r="JJC137" s="552"/>
      <c r="JJD137" s="552"/>
      <c r="JJE137" s="552"/>
      <c r="JJF137" s="548"/>
      <c r="JJG137" s="553"/>
      <c r="JJH137" s="553"/>
      <c r="JJI137" s="553"/>
      <c r="JJJ137" s="8"/>
      <c r="JJK137" s="8"/>
      <c r="JJL137" s="458"/>
      <c r="JJM137" s="8"/>
      <c r="JJN137" s="8"/>
      <c r="JJO137" s="547"/>
      <c r="JJP137" s="547"/>
      <c r="JJQ137" s="547"/>
      <c r="JJR137" s="547"/>
      <c r="JJS137" s="548"/>
      <c r="JJT137" s="547"/>
      <c r="JJU137" s="547"/>
      <c r="JJV137" s="547"/>
      <c r="JJW137" s="547"/>
      <c r="JJX137" s="548"/>
      <c r="JJY137" s="547"/>
      <c r="JJZ137" s="547"/>
      <c r="JKA137" s="547"/>
      <c r="JKB137" s="547"/>
      <c r="JKC137" s="548"/>
      <c r="JKD137" s="547"/>
      <c r="JKE137" s="547"/>
      <c r="JKF137" s="547"/>
      <c r="JKG137" s="552"/>
      <c r="JKH137" s="548"/>
      <c r="JKI137" s="552"/>
      <c r="JKJ137" s="552"/>
      <c r="JKK137" s="552"/>
      <c r="JKL137" s="552"/>
      <c r="JKM137" s="548"/>
      <c r="JKN137" s="553"/>
      <c r="JKO137" s="553"/>
      <c r="JKP137" s="553"/>
      <c r="JKQ137" s="8"/>
      <c r="JKR137" s="8"/>
      <c r="JKS137" s="458"/>
      <c r="JKT137" s="8"/>
      <c r="JKU137" s="8"/>
      <c r="JKV137" s="547"/>
      <c r="JKW137" s="547"/>
      <c r="JKX137" s="547"/>
      <c r="JKY137" s="547"/>
      <c r="JKZ137" s="548"/>
      <c r="JLA137" s="547"/>
      <c r="JLB137" s="547"/>
      <c r="JLC137" s="547"/>
      <c r="JLD137" s="547"/>
      <c r="JLE137" s="548"/>
      <c r="JLF137" s="547"/>
      <c r="JLG137" s="547"/>
      <c r="JLH137" s="547"/>
      <c r="JLI137" s="547"/>
      <c r="JLJ137" s="548"/>
      <c r="JLK137" s="547"/>
      <c r="JLL137" s="547"/>
      <c r="JLM137" s="547"/>
      <c r="JLN137" s="552"/>
      <c r="JLO137" s="548"/>
      <c r="JLP137" s="552"/>
      <c r="JLQ137" s="552"/>
      <c r="JLR137" s="552"/>
      <c r="JLS137" s="552"/>
      <c r="JLT137" s="548"/>
      <c r="JLU137" s="553"/>
      <c r="JLV137" s="553"/>
      <c r="JLW137" s="553"/>
      <c r="JLX137" s="8"/>
      <c r="JLY137" s="8"/>
      <c r="JLZ137" s="458"/>
      <c r="JMA137" s="8"/>
      <c r="JMB137" s="8"/>
      <c r="JMC137" s="547"/>
      <c r="JMD137" s="547"/>
      <c r="JME137" s="547"/>
      <c r="JMF137" s="547"/>
      <c r="JMG137" s="548"/>
      <c r="JMH137" s="547"/>
      <c r="JMI137" s="547"/>
      <c r="JMJ137" s="547"/>
      <c r="JMK137" s="547"/>
      <c r="JML137" s="548"/>
      <c r="JMM137" s="547"/>
      <c r="JMN137" s="547"/>
      <c r="JMO137" s="547"/>
      <c r="JMP137" s="547"/>
      <c r="JMQ137" s="548"/>
      <c r="JMR137" s="547"/>
      <c r="JMS137" s="547"/>
      <c r="JMT137" s="547"/>
      <c r="JMU137" s="552"/>
      <c r="JMV137" s="548"/>
      <c r="JMW137" s="552"/>
      <c r="JMX137" s="552"/>
      <c r="JMY137" s="552"/>
      <c r="JMZ137" s="552"/>
      <c r="JNA137" s="548"/>
      <c r="JNB137" s="553"/>
      <c r="JNC137" s="553"/>
      <c r="JND137" s="553"/>
      <c r="JNE137" s="8"/>
      <c r="JNF137" s="8"/>
      <c r="JNG137" s="458"/>
      <c r="JNH137" s="8"/>
      <c r="JNI137" s="8"/>
      <c r="JNJ137" s="547"/>
      <c r="JNK137" s="547"/>
      <c r="JNL137" s="547"/>
      <c r="JNM137" s="547"/>
      <c r="JNN137" s="548"/>
      <c r="JNO137" s="547"/>
      <c r="JNP137" s="547"/>
      <c r="JNQ137" s="547"/>
      <c r="JNR137" s="547"/>
      <c r="JNS137" s="548"/>
      <c r="JNT137" s="547"/>
      <c r="JNU137" s="547"/>
      <c r="JNV137" s="547"/>
      <c r="JNW137" s="547"/>
      <c r="JNX137" s="548"/>
      <c r="JNY137" s="547"/>
      <c r="JNZ137" s="547"/>
      <c r="JOA137" s="547"/>
      <c r="JOB137" s="552"/>
      <c r="JOC137" s="548"/>
      <c r="JOD137" s="552"/>
      <c r="JOE137" s="552"/>
      <c r="JOF137" s="552"/>
      <c r="JOG137" s="552"/>
      <c r="JOH137" s="548"/>
      <c r="JOI137" s="553"/>
      <c r="JOJ137" s="553"/>
      <c r="JOK137" s="553"/>
      <c r="JOL137" s="8"/>
      <c r="JOM137" s="8"/>
      <c r="JON137" s="458"/>
      <c r="JOO137" s="8"/>
      <c r="JOP137" s="8"/>
      <c r="JOQ137" s="547"/>
      <c r="JOR137" s="547"/>
      <c r="JOS137" s="547"/>
      <c r="JOT137" s="547"/>
      <c r="JOU137" s="548"/>
      <c r="JOV137" s="547"/>
      <c r="JOW137" s="547"/>
      <c r="JOX137" s="547"/>
      <c r="JOY137" s="547"/>
      <c r="JOZ137" s="548"/>
      <c r="JPA137" s="547"/>
      <c r="JPB137" s="547"/>
      <c r="JPC137" s="547"/>
      <c r="JPD137" s="547"/>
      <c r="JPE137" s="548"/>
      <c r="JPF137" s="547"/>
      <c r="JPG137" s="547"/>
      <c r="JPH137" s="547"/>
      <c r="JPI137" s="552"/>
      <c r="JPJ137" s="548"/>
      <c r="JPK137" s="552"/>
      <c r="JPL137" s="552"/>
      <c r="JPM137" s="552"/>
      <c r="JPN137" s="552"/>
      <c r="JPO137" s="548"/>
      <c r="JPP137" s="553"/>
      <c r="JPQ137" s="553"/>
      <c r="JPR137" s="553"/>
      <c r="JPS137" s="8"/>
      <c r="JPT137" s="8"/>
      <c r="JPU137" s="458"/>
      <c r="JPV137" s="8"/>
      <c r="JPW137" s="8"/>
      <c r="JPX137" s="547"/>
      <c r="JPY137" s="547"/>
      <c r="JPZ137" s="547"/>
      <c r="JQA137" s="547"/>
      <c r="JQB137" s="548"/>
      <c r="JQC137" s="547"/>
      <c r="JQD137" s="547"/>
      <c r="JQE137" s="547"/>
      <c r="JQF137" s="547"/>
      <c r="JQG137" s="548"/>
      <c r="JQH137" s="547"/>
      <c r="JQI137" s="547"/>
      <c r="JQJ137" s="547"/>
      <c r="JQK137" s="547"/>
      <c r="JQL137" s="548"/>
      <c r="JQM137" s="547"/>
      <c r="JQN137" s="547"/>
      <c r="JQO137" s="547"/>
      <c r="JQP137" s="552"/>
      <c r="JQQ137" s="548"/>
      <c r="JQR137" s="552"/>
      <c r="JQS137" s="552"/>
      <c r="JQT137" s="552"/>
      <c r="JQU137" s="552"/>
      <c r="JQV137" s="548"/>
      <c r="JQW137" s="553"/>
      <c r="JQX137" s="553"/>
      <c r="JQY137" s="553"/>
      <c r="JQZ137" s="8"/>
      <c r="JRA137" s="8"/>
      <c r="JRB137" s="458"/>
      <c r="JRC137" s="8"/>
      <c r="JRD137" s="8"/>
      <c r="JRE137" s="547"/>
      <c r="JRF137" s="547"/>
      <c r="JRG137" s="547"/>
      <c r="JRH137" s="547"/>
      <c r="JRI137" s="548"/>
      <c r="JRJ137" s="547"/>
      <c r="JRK137" s="547"/>
      <c r="JRL137" s="547"/>
      <c r="JRM137" s="547"/>
      <c r="JRN137" s="548"/>
      <c r="JRO137" s="547"/>
      <c r="JRP137" s="547"/>
      <c r="JRQ137" s="547"/>
      <c r="JRR137" s="547"/>
      <c r="JRS137" s="548"/>
      <c r="JRT137" s="547"/>
      <c r="JRU137" s="547"/>
      <c r="JRV137" s="547"/>
      <c r="JRW137" s="552"/>
      <c r="JRX137" s="548"/>
      <c r="JRY137" s="552"/>
      <c r="JRZ137" s="552"/>
      <c r="JSA137" s="552"/>
      <c r="JSB137" s="552"/>
      <c r="JSC137" s="548"/>
      <c r="JSD137" s="553"/>
      <c r="JSE137" s="553"/>
      <c r="JSF137" s="553"/>
      <c r="JSG137" s="8"/>
      <c r="JSH137" s="8"/>
      <c r="JSI137" s="458"/>
      <c r="JSJ137" s="8"/>
      <c r="JSK137" s="8"/>
      <c r="JSL137" s="547"/>
      <c r="JSM137" s="547"/>
      <c r="JSN137" s="547"/>
      <c r="JSO137" s="547"/>
      <c r="JSP137" s="548"/>
      <c r="JSQ137" s="547"/>
      <c r="JSR137" s="547"/>
      <c r="JSS137" s="547"/>
      <c r="JST137" s="547"/>
      <c r="JSU137" s="548"/>
      <c r="JSV137" s="547"/>
      <c r="JSW137" s="547"/>
      <c r="JSX137" s="547"/>
      <c r="JSY137" s="547"/>
      <c r="JSZ137" s="548"/>
      <c r="JTA137" s="547"/>
      <c r="JTB137" s="547"/>
      <c r="JTC137" s="547"/>
      <c r="JTD137" s="552"/>
      <c r="JTE137" s="548"/>
      <c r="JTF137" s="552"/>
      <c r="JTG137" s="552"/>
      <c r="JTH137" s="552"/>
      <c r="JTI137" s="552"/>
      <c r="JTJ137" s="548"/>
      <c r="JTK137" s="553"/>
      <c r="JTL137" s="553"/>
      <c r="JTM137" s="553"/>
      <c r="JTN137" s="8"/>
      <c r="JTO137" s="8"/>
      <c r="JTP137" s="458"/>
      <c r="JTQ137" s="8"/>
      <c r="JTR137" s="8"/>
      <c r="JTS137" s="547"/>
      <c r="JTT137" s="547"/>
      <c r="JTU137" s="547"/>
      <c r="JTV137" s="547"/>
      <c r="JTW137" s="548"/>
      <c r="JTX137" s="547"/>
      <c r="JTY137" s="547"/>
      <c r="JTZ137" s="547"/>
      <c r="JUA137" s="547"/>
      <c r="JUB137" s="548"/>
      <c r="JUC137" s="547"/>
      <c r="JUD137" s="547"/>
      <c r="JUE137" s="547"/>
      <c r="JUF137" s="547"/>
      <c r="JUG137" s="548"/>
      <c r="JUH137" s="547"/>
      <c r="JUI137" s="547"/>
      <c r="JUJ137" s="547"/>
      <c r="JUK137" s="552"/>
      <c r="JUL137" s="548"/>
      <c r="JUM137" s="552"/>
      <c r="JUN137" s="552"/>
      <c r="JUO137" s="552"/>
      <c r="JUP137" s="552"/>
      <c r="JUQ137" s="548"/>
      <c r="JUR137" s="553"/>
      <c r="JUS137" s="553"/>
      <c r="JUT137" s="553"/>
      <c r="JUU137" s="8"/>
      <c r="JUV137" s="8"/>
      <c r="JUW137" s="458"/>
      <c r="JUX137" s="8"/>
      <c r="JUY137" s="8"/>
      <c r="JUZ137" s="547"/>
      <c r="JVA137" s="547"/>
      <c r="JVB137" s="547"/>
      <c r="JVC137" s="547"/>
      <c r="JVD137" s="548"/>
      <c r="JVE137" s="547"/>
      <c r="JVF137" s="547"/>
      <c r="JVG137" s="547"/>
      <c r="JVH137" s="547"/>
      <c r="JVI137" s="548"/>
      <c r="JVJ137" s="547"/>
      <c r="JVK137" s="547"/>
      <c r="JVL137" s="547"/>
      <c r="JVM137" s="547"/>
      <c r="JVN137" s="548"/>
      <c r="JVO137" s="547"/>
      <c r="JVP137" s="547"/>
      <c r="JVQ137" s="547"/>
      <c r="JVR137" s="552"/>
      <c r="JVS137" s="548"/>
      <c r="JVT137" s="552"/>
      <c r="JVU137" s="552"/>
      <c r="JVV137" s="552"/>
      <c r="JVW137" s="552"/>
      <c r="JVX137" s="548"/>
      <c r="JVY137" s="553"/>
      <c r="JVZ137" s="553"/>
      <c r="JWA137" s="553"/>
      <c r="JWB137" s="8"/>
      <c r="JWC137" s="8"/>
      <c r="JWD137" s="458"/>
      <c r="JWE137" s="8"/>
      <c r="JWF137" s="8"/>
      <c r="JWG137" s="547"/>
      <c r="JWH137" s="547"/>
      <c r="JWI137" s="547"/>
      <c r="JWJ137" s="547"/>
      <c r="JWK137" s="548"/>
      <c r="JWL137" s="547"/>
      <c r="JWM137" s="547"/>
      <c r="JWN137" s="547"/>
      <c r="JWO137" s="547"/>
      <c r="JWP137" s="548"/>
      <c r="JWQ137" s="547"/>
      <c r="JWR137" s="547"/>
      <c r="JWS137" s="547"/>
      <c r="JWT137" s="547"/>
      <c r="JWU137" s="548"/>
      <c r="JWV137" s="547"/>
      <c r="JWW137" s="547"/>
      <c r="JWX137" s="547"/>
      <c r="JWY137" s="552"/>
      <c r="JWZ137" s="548"/>
      <c r="JXA137" s="552"/>
      <c r="JXB137" s="552"/>
      <c r="JXC137" s="552"/>
      <c r="JXD137" s="552"/>
      <c r="JXE137" s="548"/>
      <c r="JXF137" s="553"/>
      <c r="JXG137" s="553"/>
      <c r="JXH137" s="553"/>
      <c r="JXI137" s="8"/>
      <c r="JXJ137" s="8"/>
      <c r="JXK137" s="458"/>
      <c r="JXL137" s="8"/>
      <c r="JXM137" s="8"/>
      <c r="JXN137" s="547"/>
      <c r="JXO137" s="547"/>
      <c r="JXP137" s="547"/>
      <c r="JXQ137" s="547"/>
      <c r="JXR137" s="548"/>
      <c r="JXS137" s="547"/>
      <c r="JXT137" s="547"/>
      <c r="JXU137" s="547"/>
      <c r="JXV137" s="547"/>
      <c r="JXW137" s="548"/>
      <c r="JXX137" s="547"/>
      <c r="JXY137" s="547"/>
      <c r="JXZ137" s="547"/>
      <c r="JYA137" s="547"/>
      <c r="JYB137" s="548"/>
      <c r="JYC137" s="547"/>
      <c r="JYD137" s="547"/>
      <c r="JYE137" s="547"/>
      <c r="JYF137" s="552"/>
      <c r="JYG137" s="548"/>
      <c r="JYH137" s="552"/>
      <c r="JYI137" s="552"/>
      <c r="JYJ137" s="552"/>
      <c r="JYK137" s="552"/>
      <c r="JYL137" s="548"/>
      <c r="JYM137" s="553"/>
      <c r="JYN137" s="553"/>
      <c r="JYO137" s="553"/>
      <c r="JYP137" s="8"/>
      <c r="JYQ137" s="8"/>
      <c r="JYR137" s="458"/>
      <c r="JYS137" s="8"/>
      <c r="JYT137" s="8"/>
      <c r="JYU137" s="547"/>
      <c r="JYV137" s="547"/>
      <c r="JYW137" s="547"/>
      <c r="JYX137" s="547"/>
      <c r="JYY137" s="548"/>
      <c r="JYZ137" s="547"/>
      <c r="JZA137" s="547"/>
      <c r="JZB137" s="547"/>
      <c r="JZC137" s="547"/>
      <c r="JZD137" s="548"/>
      <c r="JZE137" s="547"/>
      <c r="JZF137" s="547"/>
      <c r="JZG137" s="547"/>
      <c r="JZH137" s="547"/>
      <c r="JZI137" s="548"/>
      <c r="JZJ137" s="547"/>
      <c r="JZK137" s="547"/>
      <c r="JZL137" s="547"/>
      <c r="JZM137" s="552"/>
      <c r="JZN137" s="548"/>
      <c r="JZO137" s="552"/>
      <c r="JZP137" s="552"/>
      <c r="JZQ137" s="552"/>
      <c r="JZR137" s="552"/>
      <c r="JZS137" s="548"/>
      <c r="JZT137" s="553"/>
      <c r="JZU137" s="553"/>
      <c r="JZV137" s="553"/>
      <c r="JZW137" s="8"/>
      <c r="JZX137" s="8"/>
      <c r="JZY137" s="458"/>
      <c r="JZZ137" s="8"/>
      <c r="KAA137" s="8"/>
      <c r="KAB137" s="547"/>
      <c r="KAC137" s="547"/>
      <c r="KAD137" s="547"/>
      <c r="KAE137" s="547"/>
      <c r="KAF137" s="548"/>
      <c r="KAG137" s="547"/>
      <c r="KAH137" s="547"/>
      <c r="KAI137" s="547"/>
      <c r="KAJ137" s="547"/>
      <c r="KAK137" s="548"/>
      <c r="KAL137" s="547"/>
      <c r="KAM137" s="547"/>
      <c r="KAN137" s="547"/>
      <c r="KAO137" s="547"/>
      <c r="KAP137" s="548"/>
      <c r="KAQ137" s="547"/>
      <c r="KAR137" s="547"/>
      <c r="KAS137" s="547"/>
      <c r="KAT137" s="552"/>
      <c r="KAU137" s="548"/>
      <c r="KAV137" s="552"/>
      <c r="KAW137" s="552"/>
      <c r="KAX137" s="552"/>
      <c r="KAY137" s="552"/>
      <c r="KAZ137" s="548"/>
      <c r="KBA137" s="553"/>
      <c r="KBB137" s="553"/>
      <c r="KBC137" s="553"/>
      <c r="KBD137" s="8"/>
      <c r="KBE137" s="8"/>
      <c r="KBF137" s="458"/>
      <c r="KBG137" s="8"/>
      <c r="KBH137" s="8"/>
      <c r="KBI137" s="547"/>
      <c r="KBJ137" s="547"/>
      <c r="KBK137" s="547"/>
      <c r="KBL137" s="547"/>
      <c r="KBM137" s="548"/>
      <c r="KBN137" s="547"/>
      <c r="KBO137" s="547"/>
      <c r="KBP137" s="547"/>
      <c r="KBQ137" s="547"/>
      <c r="KBR137" s="548"/>
      <c r="KBS137" s="547"/>
      <c r="KBT137" s="547"/>
      <c r="KBU137" s="547"/>
      <c r="KBV137" s="547"/>
      <c r="KBW137" s="548"/>
      <c r="KBX137" s="547"/>
      <c r="KBY137" s="547"/>
      <c r="KBZ137" s="547"/>
      <c r="KCA137" s="552"/>
      <c r="KCB137" s="548"/>
      <c r="KCC137" s="552"/>
      <c r="KCD137" s="552"/>
      <c r="KCE137" s="552"/>
      <c r="KCF137" s="552"/>
      <c r="KCG137" s="548"/>
      <c r="KCH137" s="553"/>
      <c r="KCI137" s="553"/>
      <c r="KCJ137" s="553"/>
      <c r="KCK137" s="8"/>
      <c r="KCL137" s="8"/>
      <c r="KCM137" s="458"/>
      <c r="KCN137" s="8"/>
      <c r="KCO137" s="8"/>
      <c r="KCP137" s="547"/>
      <c r="KCQ137" s="547"/>
      <c r="KCR137" s="547"/>
      <c r="KCS137" s="547"/>
      <c r="KCT137" s="548"/>
      <c r="KCU137" s="547"/>
      <c r="KCV137" s="547"/>
      <c r="KCW137" s="547"/>
      <c r="KCX137" s="547"/>
      <c r="KCY137" s="548"/>
      <c r="KCZ137" s="547"/>
      <c r="KDA137" s="547"/>
      <c r="KDB137" s="547"/>
      <c r="KDC137" s="547"/>
      <c r="KDD137" s="548"/>
      <c r="KDE137" s="547"/>
      <c r="KDF137" s="547"/>
      <c r="KDG137" s="547"/>
      <c r="KDH137" s="552"/>
      <c r="KDI137" s="548"/>
      <c r="KDJ137" s="552"/>
      <c r="KDK137" s="552"/>
      <c r="KDL137" s="552"/>
      <c r="KDM137" s="552"/>
      <c r="KDN137" s="548"/>
      <c r="KDO137" s="553"/>
      <c r="KDP137" s="553"/>
      <c r="KDQ137" s="553"/>
      <c r="KDR137" s="8"/>
      <c r="KDS137" s="8"/>
      <c r="KDT137" s="458"/>
      <c r="KDU137" s="8"/>
      <c r="KDV137" s="8"/>
      <c r="KDW137" s="547"/>
      <c r="KDX137" s="547"/>
      <c r="KDY137" s="547"/>
      <c r="KDZ137" s="547"/>
      <c r="KEA137" s="548"/>
      <c r="KEB137" s="547"/>
      <c r="KEC137" s="547"/>
      <c r="KED137" s="547"/>
      <c r="KEE137" s="547"/>
      <c r="KEF137" s="548"/>
      <c r="KEG137" s="547"/>
      <c r="KEH137" s="547"/>
      <c r="KEI137" s="547"/>
      <c r="KEJ137" s="547"/>
      <c r="KEK137" s="548"/>
      <c r="KEL137" s="547"/>
      <c r="KEM137" s="547"/>
      <c r="KEN137" s="547"/>
      <c r="KEO137" s="552"/>
      <c r="KEP137" s="548"/>
      <c r="KEQ137" s="552"/>
      <c r="KER137" s="552"/>
      <c r="KES137" s="552"/>
      <c r="KET137" s="552"/>
      <c r="KEU137" s="548"/>
      <c r="KEV137" s="553"/>
      <c r="KEW137" s="553"/>
      <c r="KEX137" s="553"/>
      <c r="KEY137" s="8"/>
      <c r="KEZ137" s="8"/>
      <c r="KFA137" s="458"/>
      <c r="KFB137" s="8"/>
      <c r="KFC137" s="8"/>
      <c r="KFD137" s="547"/>
      <c r="KFE137" s="547"/>
      <c r="KFF137" s="547"/>
      <c r="KFG137" s="547"/>
      <c r="KFH137" s="548"/>
      <c r="KFI137" s="547"/>
      <c r="KFJ137" s="547"/>
      <c r="KFK137" s="547"/>
      <c r="KFL137" s="547"/>
      <c r="KFM137" s="548"/>
      <c r="KFN137" s="547"/>
      <c r="KFO137" s="547"/>
      <c r="KFP137" s="547"/>
      <c r="KFQ137" s="547"/>
      <c r="KFR137" s="548"/>
      <c r="KFS137" s="547"/>
      <c r="KFT137" s="547"/>
      <c r="KFU137" s="547"/>
      <c r="KFV137" s="552"/>
      <c r="KFW137" s="548"/>
      <c r="KFX137" s="552"/>
      <c r="KFY137" s="552"/>
      <c r="KFZ137" s="552"/>
      <c r="KGA137" s="552"/>
      <c r="KGB137" s="548"/>
      <c r="KGC137" s="553"/>
      <c r="KGD137" s="553"/>
      <c r="KGE137" s="553"/>
      <c r="KGF137" s="8"/>
      <c r="KGG137" s="8"/>
      <c r="KGH137" s="458"/>
      <c r="KGI137" s="8"/>
      <c r="KGJ137" s="8"/>
      <c r="KGK137" s="547"/>
      <c r="KGL137" s="547"/>
      <c r="KGM137" s="547"/>
      <c r="KGN137" s="547"/>
      <c r="KGO137" s="548"/>
      <c r="KGP137" s="547"/>
      <c r="KGQ137" s="547"/>
      <c r="KGR137" s="547"/>
      <c r="KGS137" s="547"/>
      <c r="KGT137" s="548"/>
      <c r="KGU137" s="547"/>
      <c r="KGV137" s="547"/>
      <c r="KGW137" s="547"/>
      <c r="KGX137" s="547"/>
      <c r="KGY137" s="548"/>
      <c r="KGZ137" s="547"/>
      <c r="KHA137" s="547"/>
      <c r="KHB137" s="547"/>
      <c r="KHC137" s="552"/>
      <c r="KHD137" s="548"/>
      <c r="KHE137" s="552"/>
      <c r="KHF137" s="552"/>
      <c r="KHG137" s="552"/>
      <c r="KHH137" s="552"/>
      <c r="KHI137" s="548"/>
      <c r="KHJ137" s="553"/>
      <c r="KHK137" s="553"/>
      <c r="KHL137" s="553"/>
      <c r="KHM137" s="8"/>
      <c r="KHN137" s="8"/>
      <c r="KHO137" s="458"/>
      <c r="KHP137" s="8"/>
      <c r="KHQ137" s="8"/>
      <c r="KHR137" s="547"/>
      <c r="KHS137" s="547"/>
      <c r="KHT137" s="547"/>
      <c r="KHU137" s="547"/>
      <c r="KHV137" s="548"/>
      <c r="KHW137" s="547"/>
      <c r="KHX137" s="547"/>
      <c r="KHY137" s="547"/>
      <c r="KHZ137" s="547"/>
      <c r="KIA137" s="548"/>
      <c r="KIB137" s="547"/>
      <c r="KIC137" s="547"/>
      <c r="KID137" s="547"/>
      <c r="KIE137" s="547"/>
      <c r="KIF137" s="548"/>
      <c r="KIG137" s="547"/>
      <c r="KIH137" s="547"/>
      <c r="KII137" s="547"/>
      <c r="KIJ137" s="552"/>
      <c r="KIK137" s="548"/>
      <c r="KIL137" s="552"/>
      <c r="KIM137" s="552"/>
      <c r="KIN137" s="552"/>
      <c r="KIO137" s="552"/>
      <c r="KIP137" s="548"/>
      <c r="KIQ137" s="553"/>
      <c r="KIR137" s="553"/>
      <c r="KIS137" s="553"/>
      <c r="KIT137" s="8"/>
      <c r="KIU137" s="8"/>
      <c r="KIV137" s="458"/>
      <c r="KIW137" s="8"/>
      <c r="KIX137" s="8"/>
      <c r="KIY137" s="547"/>
      <c r="KIZ137" s="547"/>
      <c r="KJA137" s="547"/>
      <c r="KJB137" s="547"/>
      <c r="KJC137" s="548"/>
      <c r="KJD137" s="547"/>
      <c r="KJE137" s="547"/>
      <c r="KJF137" s="547"/>
      <c r="KJG137" s="547"/>
      <c r="KJH137" s="548"/>
      <c r="KJI137" s="547"/>
      <c r="KJJ137" s="547"/>
      <c r="KJK137" s="547"/>
      <c r="KJL137" s="547"/>
      <c r="KJM137" s="548"/>
      <c r="KJN137" s="547"/>
      <c r="KJO137" s="547"/>
      <c r="KJP137" s="547"/>
      <c r="KJQ137" s="552"/>
      <c r="KJR137" s="548"/>
      <c r="KJS137" s="552"/>
      <c r="KJT137" s="552"/>
      <c r="KJU137" s="552"/>
      <c r="KJV137" s="552"/>
      <c r="KJW137" s="548"/>
      <c r="KJX137" s="553"/>
      <c r="KJY137" s="553"/>
      <c r="KJZ137" s="553"/>
      <c r="KKA137" s="8"/>
      <c r="KKB137" s="8"/>
      <c r="KKC137" s="458"/>
      <c r="KKD137" s="8"/>
      <c r="KKE137" s="8"/>
      <c r="KKF137" s="547"/>
      <c r="KKG137" s="547"/>
      <c r="KKH137" s="547"/>
      <c r="KKI137" s="547"/>
      <c r="KKJ137" s="548"/>
      <c r="KKK137" s="547"/>
      <c r="KKL137" s="547"/>
      <c r="KKM137" s="547"/>
      <c r="KKN137" s="547"/>
      <c r="KKO137" s="548"/>
      <c r="KKP137" s="547"/>
      <c r="KKQ137" s="547"/>
      <c r="KKR137" s="547"/>
      <c r="KKS137" s="547"/>
      <c r="KKT137" s="548"/>
      <c r="KKU137" s="547"/>
      <c r="KKV137" s="547"/>
      <c r="KKW137" s="547"/>
      <c r="KKX137" s="552"/>
      <c r="KKY137" s="548"/>
      <c r="KKZ137" s="552"/>
      <c r="KLA137" s="552"/>
      <c r="KLB137" s="552"/>
      <c r="KLC137" s="552"/>
      <c r="KLD137" s="548"/>
      <c r="KLE137" s="553"/>
      <c r="KLF137" s="553"/>
      <c r="KLG137" s="553"/>
      <c r="KLH137" s="8"/>
      <c r="KLI137" s="8"/>
      <c r="KLJ137" s="458"/>
      <c r="KLK137" s="8"/>
      <c r="KLL137" s="8"/>
      <c r="KLM137" s="547"/>
      <c r="KLN137" s="547"/>
      <c r="KLO137" s="547"/>
      <c r="KLP137" s="547"/>
      <c r="KLQ137" s="548"/>
      <c r="KLR137" s="547"/>
      <c r="KLS137" s="547"/>
      <c r="KLT137" s="547"/>
      <c r="KLU137" s="547"/>
      <c r="KLV137" s="548"/>
      <c r="KLW137" s="547"/>
      <c r="KLX137" s="547"/>
      <c r="KLY137" s="547"/>
      <c r="KLZ137" s="547"/>
      <c r="KMA137" s="548"/>
      <c r="KMB137" s="547"/>
      <c r="KMC137" s="547"/>
      <c r="KMD137" s="547"/>
      <c r="KME137" s="552"/>
      <c r="KMF137" s="548"/>
      <c r="KMG137" s="552"/>
      <c r="KMH137" s="552"/>
      <c r="KMI137" s="552"/>
      <c r="KMJ137" s="552"/>
      <c r="KMK137" s="548"/>
      <c r="KML137" s="553"/>
      <c r="KMM137" s="553"/>
      <c r="KMN137" s="553"/>
      <c r="KMO137" s="8"/>
      <c r="KMP137" s="8"/>
      <c r="KMQ137" s="458"/>
      <c r="KMR137" s="8"/>
      <c r="KMS137" s="8"/>
      <c r="KMT137" s="547"/>
      <c r="KMU137" s="547"/>
      <c r="KMV137" s="547"/>
      <c r="KMW137" s="547"/>
      <c r="KMX137" s="548"/>
      <c r="KMY137" s="547"/>
      <c r="KMZ137" s="547"/>
      <c r="KNA137" s="547"/>
      <c r="KNB137" s="547"/>
      <c r="KNC137" s="548"/>
      <c r="KND137" s="547"/>
      <c r="KNE137" s="547"/>
      <c r="KNF137" s="547"/>
      <c r="KNG137" s="547"/>
      <c r="KNH137" s="548"/>
      <c r="KNI137" s="547"/>
      <c r="KNJ137" s="547"/>
      <c r="KNK137" s="547"/>
      <c r="KNL137" s="552"/>
      <c r="KNM137" s="548"/>
      <c r="KNN137" s="552"/>
      <c r="KNO137" s="552"/>
      <c r="KNP137" s="552"/>
      <c r="KNQ137" s="552"/>
      <c r="KNR137" s="548"/>
      <c r="KNS137" s="553"/>
      <c r="KNT137" s="553"/>
      <c r="KNU137" s="553"/>
      <c r="KNV137" s="8"/>
      <c r="KNW137" s="8"/>
      <c r="KNX137" s="458"/>
      <c r="KNY137" s="8"/>
      <c r="KNZ137" s="8"/>
      <c r="KOA137" s="547"/>
      <c r="KOB137" s="547"/>
      <c r="KOC137" s="547"/>
      <c r="KOD137" s="547"/>
      <c r="KOE137" s="548"/>
      <c r="KOF137" s="547"/>
      <c r="KOG137" s="547"/>
      <c r="KOH137" s="547"/>
      <c r="KOI137" s="547"/>
      <c r="KOJ137" s="548"/>
      <c r="KOK137" s="547"/>
      <c r="KOL137" s="547"/>
      <c r="KOM137" s="547"/>
      <c r="KON137" s="547"/>
      <c r="KOO137" s="548"/>
      <c r="KOP137" s="547"/>
      <c r="KOQ137" s="547"/>
      <c r="KOR137" s="547"/>
      <c r="KOS137" s="552"/>
      <c r="KOT137" s="548"/>
      <c r="KOU137" s="552"/>
      <c r="KOV137" s="552"/>
      <c r="KOW137" s="552"/>
      <c r="KOX137" s="552"/>
      <c r="KOY137" s="548"/>
      <c r="KOZ137" s="553"/>
      <c r="KPA137" s="553"/>
      <c r="KPB137" s="553"/>
      <c r="KPC137" s="8"/>
      <c r="KPD137" s="8"/>
      <c r="KPE137" s="458"/>
      <c r="KPF137" s="8"/>
      <c r="KPG137" s="8"/>
      <c r="KPH137" s="547"/>
      <c r="KPI137" s="547"/>
      <c r="KPJ137" s="547"/>
      <c r="KPK137" s="547"/>
      <c r="KPL137" s="548"/>
      <c r="KPM137" s="547"/>
      <c r="KPN137" s="547"/>
      <c r="KPO137" s="547"/>
      <c r="KPP137" s="547"/>
      <c r="KPQ137" s="548"/>
      <c r="KPR137" s="547"/>
      <c r="KPS137" s="547"/>
      <c r="KPT137" s="547"/>
      <c r="KPU137" s="547"/>
      <c r="KPV137" s="548"/>
      <c r="KPW137" s="547"/>
      <c r="KPX137" s="547"/>
      <c r="KPY137" s="547"/>
      <c r="KPZ137" s="552"/>
      <c r="KQA137" s="548"/>
      <c r="KQB137" s="552"/>
      <c r="KQC137" s="552"/>
      <c r="KQD137" s="552"/>
      <c r="KQE137" s="552"/>
      <c r="KQF137" s="548"/>
      <c r="KQG137" s="553"/>
      <c r="KQH137" s="553"/>
      <c r="KQI137" s="553"/>
      <c r="KQJ137" s="8"/>
      <c r="KQK137" s="8"/>
      <c r="KQL137" s="458"/>
      <c r="KQM137" s="8"/>
      <c r="KQN137" s="8"/>
      <c r="KQO137" s="547"/>
      <c r="KQP137" s="547"/>
      <c r="KQQ137" s="547"/>
      <c r="KQR137" s="547"/>
      <c r="KQS137" s="548"/>
      <c r="KQT137" s="547"/>
      <c r="KQU137" s="547"/>
      <c r="KQV137" s="547"/>
      <c r="KQW137" s="547"/>
      <c r="KQX137" s="548"/>
      <c r="KQY137" s="547"/>
      <c r="KQZ137" s="547"/>
      <c r="KRA137" s="547"/>
      <c r="KRB137" s="547"/>
      <c r="KRC137" s="548"/>
      <c r="KRD137" s="547"/>
      <c r="KRE137" s="547"/>
      <c r="KRF137" s="547"/>
      <c r="KRG137" s="552"/>
      <c r="KRH137" s="548"/>
      <c r="KRI137" s="552"/>
      <c r="KRJ137" s="552"/>
      <c r="KRK137" s="552"/>
      <c r="KRL137" s="552"/>
      <c r="KRM137" s="548"/>
      <c r="KRN137" s="553"/>
      <c r="KRO137" s="553"/>
      <c r="KRP137" s="553"/>
      <c r="KRQ137" s="8"/>
      <c r="KRR137" s="8"/>
      <c r="KRS137" s="458"/>
      <c r="KRT137" s="8"/>
      <c r="KRU137" s="8"/>
      <c r="KRV137" s="547"/>
      <c r="KRW137" s="547"/>
      <c r="KRX137" s="547"/>
      <c r="KRY137" s="547"/>
      <c r="KRZ137" s="548"/>
      <c r="KSA137" s="547"/>
      <c r="KSB137" s="547"/>
      <c r="KSC137" s="547"/>
      <c r="KSD137" s="547"/>
      <c r="KSE137" s="548"/>
      <c r="KSF137" s="547"/>
      <c r="KSG137" s="547"/>
      <c r="KSH137" s="547"/>
      <c r="KSI137" s="547"/>
      <c r="KSJ137" s="548"/>
      <c r="KSK137" s="547"/>
      <c r="KSL137" s="547"/>
      <c r="KSM137" s="547"/>
      <c r="KSN137" s="552"/>
      <c r="KSO137" s="548"/>
      <c r="KSP137" s="552"/>
      <c r="KSQ137" s="552"/>
      <c r="KSR137" s="552"/>
      <c r="KSS137" s="552"/>
      <c r="KST137" s="548"/>
      <c r="KSU137" s="553"/>
      <c r="KSV137" s="553"/>
      <c r="KSW137" s="553"/>
      <c r="KSX137" s="8"/>
      <c r="KSY137" s="8"/>
      <c r="KSZ137" s="458"/>
      <c r="KTA137" s="8"/>
      <c r="KTB137" s="8"/>
      <c r="KTC137" s="547"/>
      <c r="KTD137" s="547"/>
      <c r="KTE137" s="547"/>
      <c r="KTF137" s="547"/>
      <c r="KTG137" s="548"/>
      <c r="KTH137" s="547"/>
      <c r="KTI137" s="547"/>
      <c r="KTJ137" s="547"/>
      <c r="KTK137" s="547"/>
      <c r="KTL137" s="548"/>
      <c r="KTM137" s="547"/>
      <c r="KTN137" s="547"/>
      <c r="KTO137" s="547"/>
      <c r="KTP137" s="547"/>
      <c r="KTQ137" s="548"/>
      <c r="KTR137" s="547"/>
      <c r="KTS137" s="547"/>
      <c r="KTT137" s="547"/>
      <c r="KTU137" s="552"/>
      <c r="KTV137" s="548"/>
      <c r="KTW137" s="552"/>
      <c r="KTX137" s="552"/>
      <c r="KTY137" s="552"/>
      <c r="KTZ137" s="552"/>
      <c r="KUA137" s="548"/>
      <c r="KUB137" s="553"/>
      <c r="KUC137" s="553"/>
      <c r="KUD137" s="553"/>
      <c r="KUE137" s="8"/>
      <c r="KUF137" s="8"/>
      <c r="KUG137" s="458"/>
      <c r="KUH137" s="8"/>
      <c r="KUI137" s="8"/>
      <c r="KUJ137" s="547"/>
      <c r="KUK137" s="547"/>
      <c r="KUL137" s="547"/>
      <c r="KUM137" s="547"/>
      <c r="KUN137" s="548"/>
      <c r="KUO137" s="547"/>
      <c r="KUP137" s="547"/>
      <c r="KUQ137" s="547"/>
      <c r="KUR137" s="547"/>
      <c r="KUS137" s="548"/>
      <c r="KUT137" s="547"/>
      <c r="KUU137" s="547"/>
      <c r="KUV137" s="547"/>
      <c r="KUW137" s="547"/>
      <c r="KUX137" s="548"/>
      <c r="KUY137" s="547"/>
      <c r="KUZ137" s="547"/>
      <c r="KVA137" s="547"/>
      <c r="KVB137" s="552"/>
      <c r="KVC137" s="548"/>
      <c r="KVD137" s="552"/>
      <c r="KVE137" s="552"/>
      <c r="KVF137" s="552"/>
      <c r="KVG137" s="552"/>
      <c r="KVH137" s="548"/>
      <c r="KVI137" s="553"/>
      <c r="KVJ137" s="553"/>
      <c r="KVK137" s="553"/>
      <c r="KVL137" s="8"/>
      <c r="KVM137" s="8"/>
      <c r="KVN137" s="458"/>
      <c r="KVO137" s="8"/>
      <c r="KVP137" s="8"/>
      <c r="KVQ137" s="547"/>
      <c r="KVR137" s="547"/>
      <c r="KVS137" s="547"/>
      <c r="KVT137" s="547"/>
      <c r="KVU137" s="548"/>
      <c r="KVV137" s="547"/>
      <c r="KVW137" s="547"/>
      <c r="KVX137" s="547"/>
      <c r="KVY137" s="547"/>
      <c r="KVZ137" s="548"/>
      <c r="KWA137" s="547"/>
      <c r="KWB137" s="547"/>
      <c r="KWC137" s="547"/>
      <c r="KWD137" s="547"/>
      <c r="KWE137" s="548"/>
      <c r="KWF137" s="547"/>
      <c r="KWG137" s="547"/>
      <c r="KWH137" s="547"/>
      <c r="KWI137" s="552"/>
      <c r="KWJ137" s="548"/>
      <c r="KWK137" s="552"/>
      <c r="KWL137" s="552"/>
      <c r="KWM137" s="552"/>
      <c r="KWN137" s="552"/>
      <c r="KWO137" s="548"/>
      <c r="KWP137" s="553"/>
      <c r="KWQ137" s="553"/>
      <c r="KWR137" s="553"/>
      <c r="KWS137" s="8"/>
      <c r="KWT137" s="8"/>
      <c r="KWU137" s="458"/>
      <c r="KWV137" s="8"/>
      <c r="KWW137" s="8"/>
      <c r="KWX137" s="547"/>
      <c r="KWY137" s="547"/>
      <c r="KWZ137" s="547"/>
      <c r="KXA137" s="547"/>
      <c r="KXB137" s="548"/>
      <c r="KXC137" s="547"/>
      <c r="KXD137" s="547"/>
      <c r="KXE137" s="547"/>
      <c r="KXF137" s="547"/>
      <c r="KXG137" s="548"/>
      <c r="KXH137" s="547"/>
      <c r="KXI137" s="547"/>
      <c r="KXJ137" s="547"/>
      <c r="KXK137" s="547"/>
      <c r="KXL137" s="548"/>
      <c r="KXM137" s="547"/>
      <c r="KXN137" s="547"/>
      <c r="KXO137" s="547"/>
      <c r="KXP137" s="552"/>
      <c r="KXQ137" s="548"/>
      <c r="KXR137" s="552"/>
      <c r="KXS137" s="552"/>
      <c r="KXT137" s="552"/>
      <c r="KXU137" s="552"/>
      <c r="KXV137" s="548"/>
      <c r="KXW137" s="553"/>
      <c r="KXX137" s="553"/>
      <c r="KXY137" s="553"/>
      <c r="KXZ137" s="8"/>
      <c r="KYA137" s="8"/>
      <c r="KYB137" s="458"/>
      <c r="KYC137" s="8"/>
      <c r="KYD137" s="8"/>
      <c r="KYE137" s="547"/>
      <c r="KYF137" s="547"/>
      <c r="KYG137" s="547"/>
      <c r="KYH137" s="547"/>
      <c r="KYI137" s="548"/>
      <c r="KYJ137" s="547"/>
      <c r="KYK137" s="547"/>
      <c r="KYL137" s="547"/>
      <c r="KYM137" s="547"/>
      <c r="KYN137" s="548"/>
      <c r="KYO137" s="547"/>
      <c r="KYP137" s="547"/>
      <c r="KYQ137" s="547"/>
      <c r="KYR137" s="547"/>
      <c r="KYS137" s="548"/>
      <c r="KYT137" s="547"/>
      <c r="KYU137" s="547"/>
      <c r="KYV137" s="547"/>
      <c r="KYW137" s="552"/>
      <c r="KYX137" s="548"/>
      <c r="KYY137" s="552"/>
      <c r="KYZ137" s="552"/>
      <c r="KZA137" s="552"/>
      <c r="KZB137" s="552"/>
      <c r="KZC137" s="548"/>
      <c r="KZD137" s="553"/>
      <c r="KZE137" s="553"/>
      <c r="KZF137" s="553"/>
      <c r="KZG137" s="8"/>
      <c r="KZH137" s="8"/>
      <c r="KZI137" s="458"/>
      <c r="KZJ137" s="8"/>
      <c r="KZK137" s="8"/>
      <c r="KZL137" s="547"/>
      <c r="KZM137" s="547"/>
      <c r="KZN137" s="547"/>
      <c r="KZO137" s="547"/>
      <c r="KZP137" s="548"/>
      <c r="KZQ137" s="547"/>
      <c r="KZR137" s="547"/>
      <c r="KZS137" s="547"/>
      <c r="KZT137" s="547"/>
      <c r="KZU137" s="548"/>
      <c r="KZV137" s="547"/>
      <c r="KZW137" s="547"/>
      <c r="KZX137" s="547"/>
      <c r="KZY137" s="547"/>
      <c r="KZZ137" s="548"/>
      <c r="LAA137" s="547"/>
      <c r="LAB137" s="547"/>
      <c r="LAC137" s="547"/>
      <c r="LAD137" s="552"/>
      <c r="LAE137" s="548"/>
      <c r="LAF137" s="552"/>
      <c r="LAG137" s="552"/>
      <c r="LAH137" s="552"/>
      <c r="LAI137" s="552"/>
      <c r="LAJ137" s="548"/>
      <c r="LAK137" s="553"/>
      <c r="LAL137" s="553"/>
      <c r="LAM137" s="553"/>
      <c r="LAN137" s="8"/>
      <c r="LAO137" s="8"/>
      <c r="LAP137" s="458"/>
      <c r="LAQ137" s="8"/>
      <c r="LAR137" s="8"/>
      <c r="LAS137" s="547"/>
      <c r="LAT137" s="547"/>
      <c r="LAU137" s="547"/>
      <c r="LAV137" s="547"/>
      <c r="LAW137" s="548"/>
      <c r="LAX137" s="547"/>
      <c r="LAY137" s="547"/>
      <c r="LAZ137" s="547"/>
      <c r="LBA137" s="547"/>
      <c r="LBB137" s="548"/>
      <c r="LBC137" s="547"/>
      <c r="LBD137" s="547"/>
      <c r="LBE137" s="547"/>
      <c r="LBF137" s="547"/>
      <c r="LBG137" s="548"/>
      <c r="LBH137" s="547"/>
      <c r="LBI137" s="547"/>
      <c r="LBJ137" s="547"/>
      <c r="LBK137" s="552"/>
      <c r="LBL137" s="548"/>
      <c r="LBM137" s="552"/>
      <c r="LBN137" s="552"/>
      <c r="LBO137" s="552"/>
      <c r="LBP137" s="552"/>
      <c r="LBQ137" s="548"/>
      <c r="LBR137" s="553"/>
      <c r="LBS137" s="553"/>
      <c r="LBT137" s="553"/>
      <c r="LBU137" s="8"/>
      <c r="LBV137" s="8"/>
      <c r="LBW137" s="458"/>
      <c r="LBX137" s="8"/>
      <c r="LBY137" s="8"/>
      <c r="LBZ137" s="547"/>
      <c r="LCA137" s="547"/>
      <c r="LCB137" s="547"/>
      <c r="LCC137" s="547"/>
      <c r="LCD137" s="548"/>
      <c r="LCE137" s="547"/>
      <c r="LCF137" s="547"/>
      <c r="LCG137" s="547"/>
      <c r="LCH137" s="547"/>
      <c r="LCI137" s="548"/>
      <c r="LCJ137" s="547"/>
      <c r="LCK137" s="547"/>
      <c r="LCL137" s="547"/>
      <c r="LCM137" s="547"/>
      <c r="LCN137" s="548"/>
      <c r="LCO137" s="547"/>
      <c r="LCP137" s="547"/>
      <c r="LCQ137" s="547"/>
      <c r="LCR137" s="552"/>
      <c r="LCS137" s="548"/>
      <c r="LCT137" s="552"/>
      <c r="LCU137" s="552"/>
      <c r="LCV137" s="552"/>
      <c r="LCW137" s="552"/>
      <c r="LCX137" s="548"/>
      <c r="LCY137" s="553"/>
      <c r="LCZ137" s="553"/>
      <c r="LDA137" s="553"/>
      <c r="LDB137" s="8"/>
      <c r="LDC137" s="8"/>
      <c r="LDD137" s="458"/>
      <c r="LDE137" s="8"/>
      <c r="LDF137" s="8"/>
      <c r="LDG137" s="547"/>
      <c r="LDH137" s="547"/>
      <c r="LDI137" s="547"/>
      <c r="LDJ137" s="547"/>
      <c r="LDK137" s="548"/>
      <c r="LDL137" s="547"/>
      <c r="LDM137" s="547"/>
      <c r="LDN137" s="547"/>
      <c r="LDO137" s="547"/>
      <c r="LDP137" s="548"/>
      <c r="LDQ137" s="547"/>
      <c r="LDR137" s="547"/>
      <c r="LDS137" s="547"/>
      <c r="LDT137" s="547"/>
      <c r="LDU137" s="548"/>
      <c r="LDV137" s="547"/>
      <c r="LDW137" s="547"/>
      <c r="LDX137" s="547"/>
      <c r="LDY137" s="552"/>
      <c r="LDZ137" s="548"/>
      <c r="LEA137" s="552"/>
      <c r="LEB137" s="552"/>
      <c r="LEC137" s="552"/>
      <c r="LED137" s="552"/>
      <c r="LEE137" s="548"/>
      <c r="LEF137" s="553"/>
      <c r="LEG137" s="553"/>
      <c r="LEH137" s="553"/>
      <c r="LEI137" s="8"/>
      <c r="LEJ137" s="8"/>
      <c r="LEK137" s="458"/>
      <c r="LEL137" s="8"/>
      <c r="LEM137" s="8"/>
      <c r="LEN137" s="547"/>
      <c r="LEO137" s="547"/>
      <c r="LEP137" s="547"/>
      <c r="LEQ137" s="547"/>
      <c r="LER137" s="548"/>
      <c r="LES137" s="547"/>
      <c r="LET137" s="547"/>
      <c r="LEU137" s="547"/>
      <c r="LEV137" s="547"/>
      <c r="LEW137" s="548"/>
      <c r="LEX137" s="547"/>
      <c r="LEY137" s="547"/>
      <c r="LEZ137" s="547"/>
      <c r="LFA137" s="547"/>
      <c r="LFB137" s="548"/>
      <c r="LFC137" s="547"/>
      <c r="LFD137" s="547"/>
      <c r="LFE137" s="547"/>
      <c r="LFF137" s="552"/>
      <c r="LFG137" s="548"/>
      <c r="LFH137" s="552"/>
      <c r="LFI137" s="552"/>
      <c r="LFJ137" s="552"/>
      <c r="LFK137" s="552"/>
      <c r="LFL137" s="548"/>
      <c r="LFM137" s="553"/>
      <c r="LFN137" s="553"/>
      <c r="LFO137" s="553"/>
      <c r="LFP137" s="8"/>
      <c r="LFQ137" s="8"/>
      <c r="LFR137" s="458"/>
      <c r="LFS137" s="8"/>
      <c r="LFT137" s="8"/>
      <c r="LFU137" s="547"/>
      <c r="LFV137" s="547"/>
      <c r="LFW137" s="547"/>
      <c r="LFX137" s="547"/>
      <c r="LFY137" s="548"/>
      <c r="LFZ137" s="547"/>
      <c r="LGA137" s="547"/>
      <c r="LGB137" s="547"/>
      <c r="LGC137" s="547"/>
      <c r="LGD137" s="548"/>
      <c r="LGE137" s="547"/>
      <c r="LGF137" s="547"/>
      <c r="LGG137" s="547"/>
      <c r="LGH137" s="547"/>
      <c r="LGI137" s="548"/>
      <c r="LGJ137" s="547"/>
      <c r="LGK137" s="547"/>
      <c r="LGL137" s="547"/>
      <c r="LGM137" s="552"/>
      <c r="LGN137" s="548"/>
      <c r="LGO137" s="552"/>
      <c r="LGP137" s="552"/>
      <c r="LGQ137" s="552"/>
      <c r="LGR137" s="552"/>
      <c r="LGS137" s="548"/>
      <c r="LGT137" s="553"/>
      <c r="LGU137" s="553"/>
      <c r="LGV137" s="553"/>
      <c r="LGW137" s="8"/>
      <c r="LGX137" s="8"/>
      <c r="LGY137" s="458"/>
      <c r="LGZ137" s="8"/>
      <c r="LHA137" s="8"/>
      <c r="LHB137" s="547"/>
      <c r="LHC137" s="547"/>
      <c r="LHD137" s="547"/>
      <c r="LHE137" s="547"/>
      <c r="LHF137" s="548"/>
      <c r="LHG137" s="547"/>
      <c r="LHH137" s="547"/>
      <c r="LHI137" s="547"/>
      <c r="LHJ137" s="547"/>
      <c r="LHK137" s="548"/>
      <c r="LHL137" s="547"/>
      <c r="LHM137" s="547"/>
      <c r="LHN137" s="547"/>
      <c r="LHO137" s="547"/>
      <c r="LHP137" s="548"/>
      <c r="LHQ137" s="547"/>
      <c r="LHR137" s="547"/>
      <c r="LHS137" s="547"/>
      <c r="LHT137" s="552"/>
      <c r="LHU137" s="548"/>
      <c r="LHV137" s="552"/>
      <c r="LHW137" s="552"/>
      <c r="LHX137" s="552"/>
      <c r="LHY137" s="552"/>
      <c r="LHZ137" s="548"/>
      <c r="LIA137" s="553"/>
      <c r="LIB137" s="553"/>
      <c r="LIC137" s="553"/>
      <c r="LID137" s="8"/>
      <c r="LIE137" s="8"/>
      <c r="LIF137" s="458"/>
      <c r="LIG137" s="8"/>
      <c r="LIH137" s="8"/>
      <c r="LII137" s="547"/>
      <c r="LIJ137" s="547"/>
      <c r="LIK137" s="547"/>
      <c r="LIL137" s="547"/>
      <c r="LIM137" s="548"/>
      <c r="LIN137" s="547"/>
      <c r="LIO137" s="547"/>
      <c r="LIP137" s="547"/>
      <c r="LIQ137" s="547"/>
      <c r="LIR137" s="548"/>
      <c r="LIS137" s="547"/>
      <c r="LIT137" s="547"/>
      <c r="LIU137" s="547"/>
      <c r="LIV137" s="547"/>
      <c r="LIW137" s="548"/>
      <c r="LIX137" s="547"/>
      <c r="LIY137" s="547"/>
      <c r="LIZ137" s="547"/>
      <c r="LJA137" s="552"/>
      <c r="LJB137" s="548"/>
      <c r="LJC137" s="552"/>
      <c r="LJD137" s="552"/>
      <c r="LJE137" s="552"/>
      <c r="LJF137" s="552"/>
      <c r="LJG137" s="548"/>
      <c r="LJH137" s="553"/>
      <c r="LJI137" s="553"/>
      <c r="LJJ137" s="553"/>
      <c r="LJK137" s="8"/>
      <c r="LJL137" s="8"/>
      <c r="LJM137" s="458"/>
      <c r="LJN137" s="8"/>
      <c r="LJO137" s="8"/>
      <c r="LJP137" s="547"/>
      <c r="LJQ137" s="547"/>
      <c r="LJR137" s="547"/>
      <c r="LJS137" s="547"/>
      <c r="LJT137" s="548"/>
      <c r="LJU137" s="547"/>
      <c r="LJV137" s="547"/>
      <c r="LJW137" s="547"/>
      <c r="LJX137" s="547"/>
      <c r="LJY137" s="548"/>
      <c r="LJZ137" s="547"/>
      <c r="LKA137" s="547"/>
      <c r="LKB137" s="547"/>
      <c r="LKC137" s="547"/>
      <c r="LKD137" s="548"/>
      <c r="LKE137" s="547"/>
      <c r="LKF137" s="547"/>
      <c r="LKG137" s="547"/>
      <c r="LKH137" s="552"/>
      <c r="LKI137" s="548"/>
      <c r="LKJ137" s="552"/>
      <c r="LKK137" s="552"/>
      <c r="LKL137" s="552"/>
      <c r="LKM137" s="552"/>
      <c r="LKN137" s="548"/>
      <c r="LKO137" s="553"/>
      <c r="LKP137" s="553"/>
      <c r="LKQ137" s="553"/>
      <c r="LKR137" s="8"/>
      <c r="LKS137" s="8"/>
      <c r="LKT137" s="458"/>
      <c r="LKU137" s="8"/>
      <c r="LKV137" s="8"/>
      <c r="LKW137" s="547"/>
      <c r="LKX137" s="547"/>
      <c r="LKY137" s="547"/>
      <c r="LKZ137" s="547"/>
      <c r="LLA137" s="548"/>
      <c r="LLB137" s="547"/>
      <c r="LLC137" s="547"/>
      <c r="LLD137" s="547"/>
      <c r="LLE137" s="547"/>
      <c r="LLF137" s="548"/>
      <c r="LLG137" s="547"/>
      <c r="LLH137" s="547"/>
      <c r="LLI137" s="547"/>
      <c r="LLJ137" s="547"/>
      <c r="LLK137" s="548"/>
      <c r="LLL137" s="547"/>
      <c r="LLM137" s="547"/>
      <c r="LLN137" s="547"/>
      <c r="LLO137" s="552"/>
      <c r="LLP137" s="548"/>
      <c r="LLQ137" s="552"/>
      <c r="LLR137" s="552"/>
      <c r="LLS137" s="552"/>
      <c r="LLT137" s="552"/>
      <c r="LLU137" s="548"/>
      <c r="LLV137" s="553"/>
      <c r="LLW137" s="553"/>
      <c r="LLX137" s="553"/>
      <c r="LLY137" s="8"/>
      <c r="LLZ137" s="8"/>
      <c r="LMA137" s="458"/>
      <c r="LMB137" s="8"/>
      <c r="LMC137" s="8"/>
      <c r="LMD137" s="547"/>
      <c r="LME137" s="547"/>
      <c r="LMF137" s="547"/>
      <c r="LMG137" s="547"/>
      <c r="LMH137" s="548"/>
      <c r="LMI137" s="547"/>
      <c r="LMJ137" s="547"/>
      <c r="LMK137" s="547"/>
      <c r="LML137" s="547"/>
      <c r="LMM137" s="548"/>
      <c r="LMN137" s="547"/>
      <c r="LMO137" s="547"/>
      <c r="LMP137" s="547"/>
      <c r="LMQ137" s="547"/>
      <c r="LMR137" s="548"/>
      <c r="LMS137" s="547"/>
      <c r="LMT137" s="547"/>
      <c r="LMU137" s="547"/>
      <c r="LMV137" s="552"/>
      <c r="LMW137" s="548"/>
      <c r="LMX137" s="552"/>
      <c r="LMY137" s="552"/>
      <c r="LMZ137" s="552"/>
      <c r="LNA137" s="552"/>
      <c r="LNB137" s="548"/>
      <c r="LNC137" s="553"/>
      <c r="LND137" s="553"/>
      <c r="LNE137" s="553"/>
      <c r="LNF137" s="8"/>
      <c r="LNG137" s="8"/>
      <c r="LNH137" s="458"/>
      <c r="LNI137" s="8"/>
      <c r="LNJ137" s="8"/>
      <c r="LNK137" s="547"/>
      <c r="LNL137" s="547"/>
      <c r="LNM137" s="547"/>
      <c r="LNN137" s="547"/>
      <c r="LNO137" s="548"/>
      <c r="LNP137" s="547"/>
      <c r="LNQ137" s="547"/>
      <c r="LNR137" s="547"/>
      <c r="LNS137" s="547"/>
      <c r="LNT137" s="548"/>
      <c r="LNU137" s="547"/>
      <c r="LNV137" s="547"/>
      <c r="LNW137" s="547"/>
      <c r="LNX137" s="547"/>
      <c r="LNY137" s="548"/>
      <c r="LNZ137" s="547"/>
      <c r="LOA137" s="547"/>
      <c r="LOB137" s="547"/>
      <c r="LOC137" s="552"/>
      <c r="LOD137" s="548"/>
      <c r="LOE137" s="552"/>
      <c r="LOF137" s="552"/>
      <c r="LOG137" s="552"/>
      <c r="LOH137" s="552"/>
      <c r="LOI137" s="548"/>
      <c r="LOJ137" s="553"/>
      <c r="LOK137" s="553"/>
      <c r="LOL137" s="553"/>
      <c r="LOM137" s="8"/>
      <c r="LON137" s="8"/>
      <c r="LOO137" s="458"/>
      <c r="LOP137" s="8"/>
      <c r="LOQ137" s="8"/>
      <c r="LOR137" s="547"/>
      <c r="LOS137" s="547"/>
      <c r="LOT137" s="547"/>
      <c r="LOU137" s="547"/>
      <c r="LOV137" s="548"/>
      <c r="LOW137" s="547"/>
      <c r="LOX137" s="547"/>
      <c r="LOY137" s="547"/>
      <c r="LOZ137" s="547"/>
      <c r="LPA137" s="548"/>
      <c r="LPB137" s="547"/>
      <c r="LPC137" s="547"/>
      <c r="LPD137" s="547"/>
      <c r="LPE137" s="547"/>
      <c r="LPF137" s="548"/>
      <c r="LPG137" s="547"/>
      <c r="LPH137" s="547"/>
      <c r="LPI137" s="547"/>
      <c r="LPJ137" s="552"/>
      <c r="LPK137" s="548"/>
      <c r="LPL137" s="552"/>
      <c r="LPM137" s="552"/>
      <c r="LPN137" s="552"/>
      <c r="LPO137" s="552"/>
      <c r="LPP137" s="548"/>
      <c r="LPQ137" s="553"/>
      <c r="LPR137" s="553"/>
      <c r="LPS137" s="553"/>
      <c r="LPT137" s="8"/>
      <c r="LPU137" s="8"/>
      <c r="LPV137" s="458"/>
      <c r="LPW137" s="8"/>
      <c r="LPX137" s="8"/>
      <c r="LPY137" s="547"/>
      <c r="LPZ137" s="547"/>
      <c r="LQA137" s="547"/>
      <c r="LQB137" s="547"/>
      <c r="LQC137" s="548"/>
      <c r="LQD137" s="547"/>
      <c r="LQE137" s="547"/>
      <c r="LQF137" s="547"/>
      <c r="LQG137" s="547"/>
      <c r="LQH137" s="548"/>
      <c r="LQI137" s="547"/>
      <c r="LQJ137" s="547"/>
      <c r="LQK137" s="547"/>
      <c r="LQL137" s="547"/>
      <c r="LQM137" s="548"/>
      <c r="LQN137" s="547"/>
      <c r="LQO137" s="547"/>
      <c r="LQP137" s="547"/>
      <c r="LQQ137" s="552"/>
      <c r="LQR137" s="548"/>
      <c r="LQS137" s="552"/>
      <c r="LQT137" s="552"/>
      <c r="LQU137" s="552"/>
      <c r="LQV137" s="552"/>
      <c r="LQW137" s="548"/>
      <c r="LQX137" s="553"/>
      <c r="LQY137" s="553"/>
      <c r="LQZ137" s="553"/>
      <c r="LRA137" s="8"/>
      <c r="LRB137" s="8"/>
      <c r="LRC137" s="458"/>
      <c r="LRD137" s="8"/>
      <c r="LRE137" s="8"/>
      <c r="LRF137" s="547"/>
      <c r="LRG137" s="547"/>
      <c r="LRH137" s="547"/>
      <c r="LRI137" s="547"/>
      <c r="LRJ137" s="548"/>
      <c r="LRK137" s="547"/>
      <c r="LRL137" s="547"/>
      <c r="LRM137" s="547"/>
      <c r="LRN137" s="547"/>
      <c r="LRO137" s="548"/>
      <c r="LRP137" s="547"/>
      <c r="LRQ137" s="547"/>
      <c r="LRR137" s="547"/>
      <c r="LRS137" s="547"/>
      <c r="LRT137" s="548"/>
      <c r="LRU137" s="547"/>
      <c r="LRV137" s="547"/>
      <c r="LRW137" s="547"/>
      <c r="LRX137" s="552"/>
      <c r="LRY137" s="548"/>
      <c r="LRZ137" s="552"/>
      <c r="LSA137" s="552"/>
      <c r="LSB137" s="552"/>
      <c r="LSC137" s="552"/>
      <c r="LSD137" s="548"/>
      <c r="LSE137" s="553"/>
      <c r="LSF137" s="553"/>
      <c r="LSG137" s="553"/>
      <c r="LSH137" s="8"/>
      <c r="LSI137" s="8"/>
      <c r="LSJ137" s="458"/>
      <c r="LSK137" s="8"/>
      <c r="LSL137" s="8"/>
      <c r="LSM137" s="547"/>
      <c r="LSN137" s="547"/>
      <c r="LSO137" s="547"/>
      <c r="LSP137" s="547"/>
      <c r="LSQ137" s="548"/>
      <c r="LSR137" s="547"/>
      <c r="LSS137" s="547"/>
      <c r="LST137" s="547"/>
      <c r="LSU137" s="547"/>
      <c r="LSV137" s="548"/>
      <c r="LSW137" s="547"/>
      <c r="LSX137" s="547"/>
      <c r="LSY137" s="547"/>
      <c r="LSZ137" s="547"/>
      <c r="LTA137" s="548"/>
      <c r="LTB137" s="547"/>
      <c r="LTC137" s="547"/>
      <c r="LTD137" s="547"/>
      <c r="LTE137" s="552"/>
      <c r="LTF137" s="548"/>
      <c r="LTG137" s="552"/>
      <c r="LTH137" s="552"/>
      <c r="LTI137" s="552"/>
      <c r="LTJ137" s="552"/>
      <c r="LTK137" s="548"/>
      <c r="LTL137" s="553"/>
      <c r="LTM137" s="553"/>
      <c r="LTN137" s="553"/>
      <c r="LTO137" s="8"/>
      <c r="LTP137" s="8"/>
      <c r="LTQ137" s="458"/>
      <c r="LTR137" s="8"/>
      <c r="LTS137" s="8"/>
      <c r="LTT137" s="547"/>
      <c r="LTU137" s="547"/>
      <c r="LTV137" s="547"/>
      <c r="LTW137" s="547"/>
      <c r="LTX137" s="548"/>
      <c r="LTY137" s="547"/>
      <c r="LTZ137" s="547"/>
      <c r="LUA137" s="547"/>
      <c r="LUB137" s="547"/>
      <c r="LUC137" s="548"/>
      <c r="LUD137" s="547"/>
      <c r="LUE137" s="547"/>
      <c r="LUF137" s="547"/>
      <c r="LUG137" s="547"/>
      <c r="LUH137" s="548"/>
      <c r="LUI137" s="547"/>
      <c r="LUJ137" s="547"/>
      <c r="LUK137" s="547"/>
      <c r="LUL137" s="552"/>
      <c r="LUM137" s="548"/>
      <c r="LUN137" s="552"/>
      <c r="LUO137" s="552"/>
      <c r="LUP137" s="552"/>
      <c r="LUQ137" s="552"/>
      <c r="LUR137" s="548"/>
      <c r="LUS137" s="553"/>
      <c r="LUT137" s="553"/>
      <c r="LUU137" s="553"/>
      <c r="LUV137" s="8"/>
      <c r="LUW137" s="8"/>
      <c r="LUX137" s="458"/>
      <c r="LUY137" s="8"/>
      <c r="LUZ137" s="8"/>
      <c r="LVA137" s="547"/>
      <c r="LVB137" s="547"/>
      <c r="LVC137" s="547"/>
      <c r="LVD137" s="547"/>
      <c r="LVE137" s="548"/>
      <c r="LVF137" s="547"/>
      <c r="LVG137" s="547"/>
      <c r="LVH137" s="547"/>
      <c r="LVI137" s="547"/>
      <c r="LVJ137" s="548"/>
      <c r="LVK137" s="547"/>
      <c r="LVL137" s="547"/>
      <c r="LVM137" s="547"/>
      <c r="LVN137" s="547"/>
      <c r="LVO137" s="548"/>
      <c r="LVP137" s="547"/>
      <c r="LVQ137" s="547"/>
      <c r="LVR137" s="547"/>
      <c r="LVS137" s="552"/>
      <c r="LVT137" s="548"/>
      <c r="LVU137" s="552"/>
      <c r="LVV137" s="552"/>
      <c r="LVW137" s="552"/>
      <c r="LVX137" s="552"/>
      <c r="LVY137" s="548"/>
      <c r="LVZ137" s="553"/>
      <c r="LWA137" s="553"/>
      <c r="LWB137" s="553"/>
      <c r="LWC137" s="8"/>
      <c r="LWD137" s="8"/>
      <c r="LWE137" s="458"/>
      <c r="LWF137" s="8"/>
      <c r="LWG137" s="8"/>
      <c r="LWH137" s="547"/>
      <c r="LWI137" s="547"/>
      <c r="LWJ137" s="547"/>
      <c r="LWK137" s="547"/>
      <c r="LWL137" s="548"/>
      <c r="LWM137" s="547"/>
      <c r="LWN137" s="547"/>
      <c r="LWO137" s="547"/>
      <c r="LWP137" s="547"/>
      <c r="LWQ137" s="548"/>
      <c r="LWR137" s="547"/>
      <c r="LWS137" s="547"/>
      <c r="LWT137" s="547"/>
      <c r="LWU137" s="547"/>
      <c r="LWV137" s="548"/>
      <c r="LWW137" s="547"/>
      <c r="LWX137" s="547"/>
      <c r="LWY137" s="547"/>
      <c r="LWZ137" s="552"/>
      <c r="LXA137" s="548"/>
      <c r="LXB137" s="552"/>
      <c r="LXC137" s="552"/>
      <c r="LXD137" s="552"/>
      <c r="LXE137" s="552"/>
      <c r="LXF137" s="548"/>
      <c r="LXG137" s="553"/>
      <c r="LXH137" s="553"/>
      <c r="LXI137" s="553"/>
      <c r="LXJ137" s="8"/>
      <c r="LXK137" s="8"/>
      <c r="LXL137" s="458"/>
      <c r="LXM137" s="8"/>
      <c r="LXN137" s="8"/>
      <c r="LXO137" s="547"/>
      <c r="LXP137" s="547"/>
      <c r="LXQ137" s="547"/>
      <c r="LXR137" s="547"/>
      <c r="LXS137" s="548"/>
      <c r="LXT137" s="547"/>
      <c r="LXU137" s="547"/>
      <c r="LXV137" s="547"/>
      <c r="LXW137" s="547"/>
      <c r="LXX137" s="548"/>
      <c r="LXY137" s="547"/>
      <c r="LXZ137" s="547"/>
      <c r="LYA137" s="547"/>
      <c r="LYB137" s="547"/>
      <c r="LYC137" s="548"/>
      <c r="LYD137" s="547"/>
      <c r="LYE137" s="547"/>
      <c r="LYF137" s="547"/>
      <c r="LYG137" s="552"/>
      <c r="LYH137" s="548"/>
      <c r="LYI137" s="552"/>
      <c r="LYJ137" s="552"/>
      <c r="LYK137" s="552"/>
      <c r="LYL137" s="552"/>
      <c r="LYM137" s="548"/>
      <c r="LYN137" s="553"/>
      <c r="LYO137" s="553"/>
      <c r="LYP137" s="553"/>
      <c r="LYQ137" s="8"/>
      <c r="LYR137" s="8"/>
      <c r="LYS137" s="458"/>
      <c r="LYT137" s="8"/>
      <c r="LYU137" s="8"/>
      <c r="LYV137" s="547"/>
      <c r="LYW137" s="547"/>
      <c r="LYX137" s="547"/>
      <c r="LYY137" s="547"/>
      <c r="LYZ137" s="548"/>
      <c r="LZA137" s="547"/>
      <c r="LZB137" s="547"/>
      <c r="LZC137" s="547"/>
      <c r="LZD137" s="547"/>
      <c r="LZE137" s="548"/>
      <c r="LZF137" s="547"/>
      <c r="LZG137" s="547"/>
      <c r="LZH137" s="547"/>
      <c r="LZI137" s="547"/>
      <c r="LZJ137" s="548"/>
      <c r="LZK137" s="547"/>
      <c r="LZL137" s="547"/>
      <c r="LZM137" s="547"/>
      <c r="LZN137" s="552"/>
      <c r="LZO137" s="548"/>
      <c r="LZP137" s="552"/>
      <c r="LZQ137" s="552"/>
      <c r="LZR137" s="552"/>
      <c r="LZS137" s="552"/>
      <c r="LZT137" s="548"/>
      <c r="LZU137" s="553"/>
      <c r="LZV137" s="553"/>
      <c r="LZW137" s="553"/>
      <c r="LZX137" s="8"/>
      <c r="LZY137" s="8"/>
      <c r="LZZ137" s="458"/>
      <c r="MAA137" s="8"/>
      <c r="MAB137" s="8"/>
      <c r="MAC137" s="547"/>
      <c r="MAD137" s="547"/>
      <c r="MAE137" s="547"/>
      <c r="MAF137" s="547"/>
      <c r="MAG137" s="548"/>
      <c r="MAH137" s="547"/>
      <c r="MAI137" s="547"/>
      <c r="MAJ137" s="547"/>
      <c r="MAK137" s="547"/>
      <c r="MAL137" s="548"/>
      <c r="MAM137" s="547"/>
      <c r="MAN137" s="547"/>
      <c r="MAO137" s="547"/>
      <c r="MAP137" s="547"/>
      <c r="MAQ137" s="548"/>
      <c r="MAR137" s="547"/>
      <c r="MAS137" s="547"/>
      <c r="MAT137" s="547"/>
      <c r="MAU137" s="552"/>
      <c r="MAV137" s="548"/>
      <c r="MAW137" s="552"/>
      <c r="MAX137" s="552"/>
      <c r="MAY137" s="552"/>
      <c r="MAZ137" s="552"/>
      <c r="MBA137" s="548"/>
      <c r="MBB137" s="553"/>
      <c r="MBC137" s="553"/>
      <c r="MBD137" s="553"/>
      <c r="MBE137" s="8"/>
      <c r="MBF137" s="8"/>
      <c r="MBG137" s="458"/>
      <c r="MBH137" s="8"/>
      <c r="MBI137" s="8"/>
      <c r="MBJ137" s="547"/>
      <c r="MBK137" s="547"/>
      <c r="MBL137" s="547"/>
      <c r="MBM137" s="547"/>
      <c r="MBN137" s="548"/>
      <c r="MBO137" s="547"/>
      <c r="MBP137" s="547"/>
      <c r="MBQ137" s="547"/>
      <c r="MBR137" s="547"/>
      <c r="MBS137" s="548"/>
      <c r="MBT137" s="547"/>
      <c r="MBU137" s="547"/>
      <c r="MBV137" s="547"/>
      <c r="MBW137" s="547"/>
      <c r="MBX137" s="548"/>
      <c r="MBY137" s="547"/>
      <c r="MBZ137" s="547"/>
      <c r="MCA137" s="547"/>
      <c r="MCB137" s="552"/>
      <c r="MCC137" s="548"/>
      <c r="MCD137" s="552"/>
      <c r="MCE137" s="552"/>
      <c r="MCF137" s="552"/>
      <c r="MCG137" s="552"/>
      <c r="MCH137" s="548"/>
      <c r="MCI137" s="553"/>
      <c r="MCJ137" s="553"/>
      <c r="MCK137" s="553"/>
      <c r="MCL137" s="8"/>
      <c r="MCM137" s="8"/>
      <c r="MCN137" s="458"/>
      <c r="MCO137" s="8"/>
      <c r="MCP137" s="8"/>
      <c r="MCQ137" s="547"/>
      <c r="MCR137" s="547"/>
      <c r="MCS137" s="547"/>
      <c r="MCT137" s="547"/>
      <c r="MCU137" s="548"/>
      <c r="MCV137" s="547"/>
      <c r="MCW137" s="547"/>
      <c r="MCX137" s="547"/>
      <c r="MCY137" s="547"/>
      <c r="MCZ137" s="548"/>
      <c r="MDA137" s="547"/>
      <c r="MDB137" s="547"/>
      <c r="MDC137" s="547"/>
      <c r="MDD137" s="547"/>
      <c r="MDE137" s="548"/>
      <c r="MDF137" s="547"/>
      <c r="MDG137" s="547"/>
      <c r="MDH137" s="547"/>
      <c r="MDI137" s="552"/>
      <c r="MDJ137" s="548"/>
      <c r="MDK137" s="552"/>
      <c r="MDL137" s="552"/>
      <c r="MDM137" s="552"/>
      <c r="MDN137" s="552"/>
      <c r="MDO137" s="548"/>
      <c r="MDP137" s="553"/>
      <c r="MDQ137" s="553"/>
      <c r="MDR137" s="553"/>
      <c r="MDS137" s="8"/>
      <c r="MDT137" s="8"/>
      <c r="MDU137" s="458"/>
      <c r="MDV137" s="8"/>
      <c r="MDW137" s="8"/>
      <c r="MDX137" s="547"/>
      <c r="MDY137" s="547"/>
      <c r="MDZ137" s="547"/>
      <c r="MEA137" s="547"/>
      <c r="MEB137" s="548"/>
      <c r="MEC137" s="547"/>
      <c r="MED137" s="547"/>
      <c r="MEE137" s="547"/>
      <c r="MEF137" s="547"/>
      <c r="MEG137" s="548"/>
      <c r="MEH137" s="547"/>
      <c r="MEI137" s="547"/>
      <c r="MEJ137" s="547"/>
      <c r="MEK137" s="547"/>
      <c r="MEL137" s="548"/>
      <c r="MEM137" s="547"/>
      <c r="MEN137" s="547"/>
      <c r="MEO137" s="547"/>
      <c r="MEP137" s="552"/>
      <c r="MEQ137" s="548"/>
      <c r="MER137" s="552"/>
      <c r="MES137" s="552"/>
      <c r="MET137" s="552"/>
      <c r="MEU137" s="552"/>
      <c r="MEV137" s="548"/>
      <c r="MEW137" s="553"/>
      <c r="MEX137" s="553"/>
      <c r="MEY137" s="553"/>
      <c r="MEZ137" s="8"/>
      <c r="MFA137" s="8"/>
      <c r="MFB137" s="458"/>
      <c r="MFC137" s="8"/>
      <c r="MFD137" s="8"/>
      <c r="MFE137" s="547"/>
      <c r="MFF137" s="547"/>
      <c r="MFG137" s="547"/>
      <c r="MFH137" s="547"/>
      <c r="MFI137" s="548"/>
      <c r="MFJ137" s="547"/>
      <c r="MFK137" s="547"/>
      <c r="MFL137" s="547"/>
      <c r="MFM137" s="547"/>
      <c r="MFN137" s="548"/>
      <c r="MFO137" s="547"/>
      <c r="MFP137" s="547"/>
      <c r="MFQ137" s="547"/>
      <c r="MFR137" s="547"/>
      <c r="MFS137" s="548"/>
      <c r="MFT137" s="547"/>
      <c r="MFU137" s="547"/>
      <c r="MFV137" s="547"/>
      <c r="MFW137" s="552"/>
      <c r="MFX137" s="548"/>
      <c r="MFY137" s="552"/>
      <c r="MFZ137" s="552"/>
      <c r="MGA137" s="552"/>
      <c r="MGB137" s="552"/>
      <c r="MGC137" s="548"/>
      <c r="MGD137" s="553"/>
      <c r="MGE137" s="553"/>
      <c r="MGF137" s="553"/>
      <c r="MGG137" s="8"/>
      <c r="MGH137" s="8"/>
      <c r="MGI137" s="458"/>
      <c r="MGJ137" s="8"/>
      <c r="MGK137" s="8"/>
      <c r="MGL137" s="547"/>
      <c r="MGM137" s="547"/>
      <c r="MGN137" s="547"/>
      <c r="MGO137" s="547"/>
      <c r="MGP137" s="548"/>
      <c r="MGQ137" s="547"/>
      <c r="MGR137" s="547"/>
      <c r="MGS137" s="547"/>
      <c r="MGT137" s="547"/>
      <c r="MGU137" s="548"/>
      <c r="MGV137" s="547"/>
      <c r="MGW137" s="547"/>
      <c r="MGX137" s="547"/>
      <c r="MGY137" s="547"/>
      <c r="MGZ137" s="548"/>
      <c r="MHA137" s="547"/>
      <c r="MHB137" s="547"/>
      <c r="MHC137" s="547"/>
      <c r="MHD137" s="552"/>
      <c r="MHE137" s="548"/>
      <c r="MHF137" s="552"/>
      <c r="MHG137" s="552"/>
      <c r="MHH137" s="552"/>
      <c r="MHI137" s="552"/>
      <c r="MHJ137" s="548"/>
      <c r="MHK137" s="553"/>
      <c r="MHL137" s="553"/>
      <c r="MHM137" s="553"/>
      <c r="MHN137" s="8"/>
      <c r="MHO137" s="8"/>
      <c r="MHP137" s="458"/>
      <c r="MHQ137" s="8"/>
      <c r="MHR137" s="8"/>
      <c r="MHS137" s="547"/>
      <c r="MHT137" s="547"/>
      <c r="MHU137" s="547"/>
      <c r="MHV137" s="547"/>
      <c r="MHW137" s="548"/>
      <c r="MHX137" s="547"/>
      <c r="MHY137" s="547"/>
      <c r="MHZ137" s="547"/>
      <c r="MIA137" s="547"/>
      <c r="MIB137" s="548"/>
      <c r="MIC137" s="547"/>
      <c r="MID137" s="547"/>
      <c r="MIE137" s="547"/>
      <c r="MIF137" s="547"/>
      <c r="MIG137" s="548"/>
      <c r="MIH137" s="547"/>
      <c r="MII137" s="547"/>
      <c r="MIJ137" s="547"/>
      <c r="MIK137" s="552"/>
      <c r="MIL137" s="548"/>
      <c r="MIM137" s="552"/>
      <c r="MIN137" s="552"/>
      <c r="MIO137" s="552"/>
      <c r="MIP137" s="552"/>
      <c r="MIQ137" s="548"/>
      <c r="MIR137" s="553"/>
      <c r="MIS137" s="553"/>
      <c r="MIT137" s="553"/>
      <c r="MIU137" s="8"/>
      <c r="MIV137" s="8"/>
      <c r="MIW137" s="458"/>
      <c r="MIX137" s="8"/>
      <c r="MIY137" s="8"/>
      <c r="MIZ137" s="547"/>
      <c r="MJA137" s="547"/>
      <c r="MJB137" s="547"/>
      <c r="MJC137" s="547"/>
      <c r="MJD137" s="548"/>
      <c r="MJE137" s="547"/>
      <c r="MJF137" s="547"/>
      <c r="MJG137" s="547"/>
      <c r="MJH137" s="547"/>
      <c r="MJI137" s="548"/>
      <c r="MJJ137" s="547"/>
      <c r="MJK137" s="547"/>
      <c r="MJL137" s="547"/>
      <c r="MJM137" s="547"/>
      <c r="MJN137" s="548"/>
      <c r="MJO137" s="547"/>
      <c r="MJP137" s="547"/>
      <c r="MJQ137" s="547"/>
      <c r="MJR137" s="552"/>
      <c r="MJS137" s="548"/>
      <c r="MJT137" s="552"/>
      <c r="MJU137" s="552"/>
      <c r="MJV137" s="552"/>
      <c r="MJW137" s="552"/>
      <c r="MJX137" s="548"/>
      <c r="MJY137" s="553"/>
      <c r="MJZ137" s="553"/>
      <c r="MKA137" s="553"/>
      <c r="MKB137" s="8"/>
      <c r="MKC137" s="8"/>
      <c r="MKD137" s="458"/>
      <c r="MKE137" s="8"/>
      <c r="MKF137" s="8"/>
      <c r="MKG137" s="547"/>
      <c r="MKH137" s="547"/>
      <c r="MKI137" s="547"/>
      <c r="MKJ137" s="547"/>
      <c r="MKK137" s="548"/>
      <c r="MKL137" s="547"/>
      <c r="MKM137" s="547"/>
      <c r="MKN137" s="547"/>
      <c r="MKO137" s="547"/>
      <c r="MKP137" s="548"/>
      <c r="MKQ137" s="547"/>
      <c r="MKR137" s="547"/>
      <c r="MKS137" s="547"/>
      <c r="MKT137" s="547"/>
      <c r="MKU137" s="548"/>
      <c r="MKV137" s="547"/>
      <c r="MKW137" s="547"/>
      <c r="MKX137" s="547"/>
      <c r="MKY137" s="552"/>
      <c r="MKZ137" s="548"/>
      <c r="MLA137" s="552"/>
      <c r="MLB137" s="552"/>
      <c r="MLC137" s="552"/>
      <c r="MLD137" s="552"/>
      <c r="MLE137" s="548"/>
      <c r="MLF137" s="553"/>
      <c r="MLG137" s="553"/>
      <c r="MLH137" s="553"/>
      <c r="MLI137" s="8"/>
      <c r="MLJ137" s="8"/>
      <c r="MLK137" s="458"/>
      <c r="MLL137" s="8"/>
      <c r="MLM137" s="8"/>
      <c r="MLN137" s="547"/>
      <c r="MLO137" s="547"/>
      <c r="MLP137" s="547"/>
      <c r="MLQ137" s="547"/>
      <c r="MLR137" s="548"/>
      <c r="MLS137" s="547"/>
      <c r="MLT137" s="547"/>
      <c r="MLU137" s="547"/>
      <c r="MLV137" s="547"/>
      <c r="MLW137" s="548"/>
      <c r="MLX137" s="547"/>
      <c r="MLY137" s="547"/>
      <c r="MLZ137" s="547"/>
      <c r="MMA137" s="547"/>
      <c r="MMB137" s="548"/>
      <c r="MMC137" s="547"/>
      <c r="MMD137" s="547"/>
      <c r="MME137" s="547"/>
      <c r="MMF137" s="552"/>
      <c r="MMG137" s="548"/>
      <c r="MMH137" s="552"/>
      <c r="MMI137" s="552"/>
      <c r="MMJ137" s="552"/>
      <c r="MMK137" s="552"/>
      <c r="MML137" s="548"/>
      <c r="MMM137" s="553"/>
      <c r="MMN137" s="553"/>
      <c r="MMO137" s="553"/>
      <c r="MMP137" s="8"/>
      <c r="MMQ137" s="8"/>
      <c r="MMR137" s="458"/>
      <c r="MMS137" s="8"/>
      <c r="MMT137" s="8"/>
      <c r="MMU137" s="547"/>
      <c r="MMV137" s="547"/>
      <c r="MMW137" s="547"/>
      <c r="MMX137" s="547"/>
      <c r="MMY137" s="548"/>
      <c r="MMZ137" s="547"/>
      <c r="MNA137" s="547"/>
      <c r="MNB137" s="547"/>
      <c r="MNC137" s="547"/>
      <c r="MND137" s="548"/>
      <c r="MNE137" s="547"/>
      <c r="MNF137" s="547"/>
      <c r="MNG137" s="547"/>
      <c r="MNH137" s="547"/>
      <c r="MNI137" s="548"/>
      <c r="MNJ137" s="547"/>
      <c r="MNK137" s="547"/>
      <c r="MNL137" s="547"/>
      <c r="MNM137" s="552"/>
      <c r="MNN137" s="548"/>
      <c r="MNO137" s="552"/>
      <c r="MNP137" s="552"/>
      <c r="MNQ137" s="552"/>
      <c r="MNR137" s="552"/>
      <c r="MNS137" s="548"/>
      <c r="MNT137" s="553"/>
      <c r="MNU137" s="553"/>
      <c r="MNV137" s="553"/>
      <c r="MNW137" s="8"/>
      <c r="MNX137" s="8"/>
      <c r="MNY137" s="458"/>
      <c r="MNZ137" s="8"/>
      <c r="MOA137" s="8"/>
      <c r="MOB137" s="547"/>
      <c r="MOC137" s="547"/>
      <c r="MOD137" s="547"/>
      <c r="MOE137" s="547"/>
      <c r="MOF137" s="548"/>
      <c r="MOG137" s="547"/>
      <c r="MOH137" s="547"/>
      <c r="MOI137" s="547"/>
      <c r="MOJ137" s="547"/>
      <c r="MOK137" s="548"/>
      <c r="MOL137" s="547"/>
      <c r="MOM137" s="547"/>
      <c r="MON137" s="547"/>
      <c r="MOO137" s="547"/>
      <c r="MOP137" s="548"/>
      <c r="MOQ137" s="547"/>
      <c r="MOR137" s="547"/>
      <c r="MOS137" s="547"/>
      <c r="MOT137" s="552"/>
      <c r="MOU137" s="548"/>
      <c r="MOV137" s="552"/>
      <c r="MOW137" s="552"/>
      <c r="MOX137" s="552"/>
      <c r="MOY137" s="552"/>
      <c r="MOZ137" s="548"/>
      <c r="MPA137" s="553"/>
      <c r="MPB137" s="553"/>
      <c r="MPC137" s="553"/>
      <c r="MPD137" s="8"/>
      <c r="MPE137" s="8"/>
      <c r="MPF137" s="458"/>
      <c r="MPG137" s="8"/>
      <c r="MPH137" s="8"/>
      <c r="MPI137" s="547"/>
      <c r="MPJ137" s="547"/>
      <c r="MPK137" s="547"/>
      <c r="MPL137" s="547"/>
      <c r="MPM137" s="548"/>
      <c r="MPN137" s="547"/>
      <c r="MPO137" s="547"/>
      <c r="MPP137" s="547"/>
      <c r="MPQ137" s="547"/>
      <c r="MPR137" s="548"/>
      <c r="MPS137" s="547"/>
      <c r="MPT137" s="547"/>
      <c r="MPU137" s="547"/>
      <c r="MPV137" s="547"/>
      <c r="MPW137" s="548"/>
      <c r="MPX137" s="547"/>
      <c r="MPY137" s="547"/>
      <c r="MPZ137" s="547"/>
      <c r="MQA137" s="552"/>
      <c r="MQB137" s="548"/>
      <c r="MQC137" s="552"/>
      <c r="MQD137" s="552"/>
      <c r="MQE137" s="552"/>
      <c r="MQF137" s="552"/>
      <c r="MQG137" s="548"/>
      <c r="MQH137" s="553"/>
      <c r="MQI137" s="553"/>
      <c r="MQJ137" s="553"/>
      <c r="MQK137" s="8"/>
      <c r="MQL137" s="8"/>
      <c r="MQM137" s="458"/>
      <c r="MQN137" s="8"/>
      <c r="MQO137" s="8"/>
      <c r="MQP137" s="547"/>
      <c r="MQQ137" s="547"/>
      <c r="MQR137" s="547"/>
      <c r="MQS137" s="547"/>
      <c r="MQT137" s="548"/>
      <c r="MQU137" s="547"/>
      <c r="MQV137" s="547"/>
      <c r="MQW137" s="547"/>
      <c r="MQX137" s="547"/>
      <c r="MQY137" s="548"/>
      <c r="MQZ137" s="547"/>
      <c r="MRA137" s="547"/>
      <c r="MRB137" s="547"/>
      <c r="MRC137" s="547"/>
      <c r="MRD137" s="548"/>
      <c r="MRE137" s="547"/>
      <c r="MRF137" s="547"/>
      <c r="MRG137" s="547"/>
      <c r="MRH137" s="552"/>
      <c r="MRI137" s="548"/>
      <c r="MRJ137" s="552"/>
      <c r="MRK137" s="552"/>
      <c r="MRL137" s="552"/>
      <c r="MRM137" s="552"/>
      <c r="MRN137" s="548"/>
      <c r="MRO137" s="553"/>
      <c r="MRP137" s="553"/>
      <c r="MRQ137" s="553"/>
      <c r="MRR137" s="8"/>
      <c r="MRS137" s="8"/>
      <c r="MRT137" s="458"/>
      <c r="MRU137" s="8"/>
      <c r="MRV137" s="8"/>
      <c r="MRW137" s="547"/>
      <c r="MRX137" s="547"/>
      <c r="MRY137" s="547"/>
      <c r="MRZ137" s="547"/>
      <c r="MSA137" s="548"/>
      <c r="MSB137" s="547"/>
      <c r="MSC137" s="547"/>
      <c r="MSD137" s="547"/>
      <c r="MSE137" s="547"/>
      <c r="MSF137" s="548"/>
      <c r="MSG137" s="547"/>
      <c r="MSH137" s="547"/>
      <c r="MSI137" s="547"/>
      <c r="MSJ137" s="547"/>
      <c r="MSK137" s="548"/>
      <c r="MSL137" s="547"/>
      <c r="MSM137" s="547"/>
      <c r="MSN137" s="547"/>
      <c r="MSO137" s="552"/>
      <c r="MSP137" s="548"/>
      <c r="MSQ137" s="552"/>
      <c r="MSR137" s="552"/>
      <c r="MSS137" s="552"/>
      <c r="MST137" s="552"/>
      <c r="MSU137" s="548"/>
      <c r="MSV137" s="553"/>
      <c r="MSW137" s="553"/>
      <c r="MSX137" s="553"/>
      <c r="MSY137" s="8"/>
      <c r="MSZ137" s="8"/>
      <c r="MTA137" s="458"/>
      <c r="MTB137" s="8"/>
      <c r="MTC137" s="8"/>
      <c r="MTD137" s="547"/>
      <c r="MTE137" s="547"/>
      <c r="MTF137" s="547"/>
      <c r="MTG137" s="547"/>
      <c r="MTH137" s="548"/>
      <c r="MTI137" s="547"/>
      <c r="MTJ137" s="547"/>
      <c r="MTK137" s="547"/>
      <c r="MTL137" s="547"/>
      <c r="MTM137" s="548"/>
      <c r="MTN137" s="547"/>
      <c r="MTO137" s="547"/>
      <c r="MTP137" s="547"/>
      <c r="MTQ137" s="547"/>
      <c r="MTR137" s="548"/>
      <c r="MTS137" s="547"/>
      <c r="MTT137" s="547"/>
      <c r="MTU137" s="547"/>
      <c r="MTV137" s="552"/>
      <c r="MTW137" s="548"/>
      <c r="MTX137" s="552"/>
      <c r="MTY137" s="552"/>
      <c r="MTZ137" s="552"/>
      <c r="MUA137" s="552"/>
      <c r="MUB137" s="548"/>
      <c r="MUC137" s="553"/>
      <c r="MUD137" s="553"/>
      <c r="MUE137" s="553"/>
      <c r="MUF137" s="8"/>
      <c r="MUG137" s="8"/>
      <c r="MUH137" s="458"/>
      <c r="MUI137" s="8"/>
      <c r="MUJ137" s="8"/>
      <c r="MUK137" s="547"/>
      <c r="MUL137" s="547"/>
      <c r="MUM137" s="547"/>
      <c r="MUN137" s="547"/>
      <c r="MUO137" s="548"/>
      <c r="MUP137" s="547"/>
      <c r="MUQ137" s="547"/>
      <c r="MUR137" s="547"/>
      <c r="MUS137" s="547"/>
      <c r="MUT137" s="548"/>
      <c r="MUU137" s="547"/>
      <c r="MUV137" s="547"/>
      <c r="MUW137" s="547"/>
      <c r="MUX137" s="547"/>
      <c r="MUY137" s="548"/>
      <c r="MUZ137" s="547"/>
      <c r="MVA137" s="547"/>
      <c r="MVB137" s="547"/>
      <c r="MVC137" s="552"/>
      <c r="MVD137" s="548"/>
      <c r="MVE137" s="552"/>
      <c r="MVF137" s="552"/>
      <c r="MVG137" s="552"/>
      <c r="MVH137" s="552"/>
      <c r="MVI137" s="548"/>
      <c r="MVJ137" s="553"/>
      <c r="MVK137" s="553"/>
      <c r="MVL137" s="553"/>
      <c r="MVM137" s="8"/>
      <c r="MVN137" s="8"/>
      <c r="MVO137" s="458"/>
      <c r="MVP137" s="8"/>
      <c r="MVQ137" s="8"/>
      <c r="MVR137" s="547"/>
      <c r="MVS137" s="547"/>
      <c r="MVT137" s="547"/>
      <c r="MVU137" s="547"/>
      <c r="MVV137" s="548"/>
      <c r="MVW137" s="547"/>
      <c r="MVX137" s="547"/>
      <c r="MVY137" s="547"/>
      <c r="MVZ137" s="547"/>
      <c r="MWA137" s="548"/>
      <c r="MWB137" s="547"/>
      <c r="MWC137" s="547"/>
      <c r="MWD137" s="547"/>
      <c r="MWE137" s="547"/>
      <c r="MWF137" s="548"/>
      <c r="MWG137" s="547"/>
      <c r="MWH137" s="547"/>
      <c r="MWI137" s="547"/>
      <c r="MWJ137" s="552"/>
      <c r="MWK137" s="548"/>
      <c r="MWL137" s="552"/>
      <c r="MWM137" s="552"/>
      <c r="MWN137" s="552"/>
      <c r="MWO137" s="552"/>
      <c r="MWP137" s="548"/>
      <c r="MWQ137" s="553"/>
      <c r="MWR137" s="553"/>
      <c r="MWS137" s="553"/>
      <c r="MWT137" s="8"/>
      <c r="MWU137" s="8"/>
      <c r="MWV137" s="458"/>
      <c r="MWW137" s="8"/>
      <c r="MWX137" s="8"/>
      <c r="MWY137" s="547"/>
      <c r="MWZ137" s="547"/>
      <c r="MXA137" s="547"/>
      <c r="MXB137" s="547"/>
      <c r="MXC137" s="548"/>
      <c r="MXD137" s="547"/>
      <c r="MXE137" s="547"/>
      <c r="MXF137" s="547"/>
      <c r="MXG137" s="547"/>
      <c r="MXH137" s="548"/>
      <c r="MXI137" s="547"/>
      <c r="MXJ137" s="547"/>
      <c r="MXK137" s="547"/>
      <c r="MXL137" s="547"/>
      <c r="MXM137" s="548"/>
      <c r="MXN137" s="547"/>
      <c r="MXO137" s="547"/>
      <c r="MXP137" s="547"/>
      <c r="MXQ137" s="552"/>
      <c r="MXR137" s="548"/>
      <c r="MXS137" s="552"/>
      <c r="MXT137" s="552"/>
      <c r="MXU137" s="552"/>
      <c r="MXV137" s="552"/>
      <c r="MXW137" s="548"/>
      <c r="MXX137" s="553"/>
      <c r="MXY137" s="553"/>
      <c r="MXZ137" s="553"/>
      <c r="MYA137" s="8"/>
      <c r="MYB137" s="8"/>
      <c r="MYC137" s="458"/>
      <c r="MYD137" s="8"/>
      <c r="MYE137" s="8"/>
      <c r="MYF137" s="547"/>
      <c r="MYG137" s="547"/>
      <c r="MYH137" s="547"/>
      <c r="MYI137" s="547"/>
      <c r="MYJ137" s="548"/>
      <c r="MYK137" s="547"/>
      <c r="MYL137" s="547"/>
      <c r="MYM137" s="547"/>
      <c r="MYN137" s="547"/>
      <c r="MYO137" s="548"/>
      <c r="MYP137" s="547"/>
      <c r="MYQ137" s="547"/>
      <c r="MYR137" s="547"/>
      <c r="MYS137" s="547"/>
      <c r="MYT137" s="548"/>
      <c r="MYU137" s="547"/>
      <c r="MYV137" s="547"/>
      <c r="MYW137" s="547"/>
      <c r="MYX137" s="552"/>
      <c r="MYY137" s="548"/>
      <c r="MYZ137" s="552"/>
      <c r="MZA137" s="552"/>
      <c r="MZB137" s="552"/>
      <c r="MZC137" s="552"/>
      <c r="MZD137" s="548"/>
      <c r="MZE137" s="553"/>
      <c r="MZF137" s="553"/>
      <c r="MZG137" s="553"/>
      <c r="MZH137" s="8"/>
      <c r="MZI137" s="8"/>
      <c r="MZJ137" s="458"/>
      <c r="MZK137" s="8"/>
      <c r="MZL137" s="8"/>
      <c r="MZM137" s="547"/>
      <c r="MZN137" s="547"/>
      <c r="MZO137" s="547"/>
      <c r="MZP137" s="547"/>
      <c r="MZQ137" s="548"/>
      <c r="MZR137" s="547"/>
      <c r="MZS137" s="547"/>
      <c r="MZT137" s="547"/>
      <c r="MZU137" s="547"/>
      <c r="MZV137" s="548"/>
      <c r="MZW137" s="547"/>
      <c r="MZX137" s="547"/>
      <c r="MZY137" s="547"/>
      <c r="MZZ137" s="547"/>
      <c r="NAA137" s="548"/>
      <c r="NAB137" s="547"/>
      <c r="NAC137" s="547"/>
      <c r="NAD137" s="547"/>
      <c r="NAE137" s="552"/>
      <c r="NAF137" s="548"/>
      <c r="NAG137" s="552"/>
      <c r="NAH137" s="552"/>
      <c r="NAI137" s="552"/>
      <c r="NAJ137" s="552"/>
      <c r="NAK137" s="548"/>
      <c r="NAL137" s="553"/>
      <c r="NAM137" s="553"/>
      <c r="NAN137" s="553"/>
      <c r="NAO137" s="8"/>
      <c r="NAP137" s="8"/>
      <c r="NAQ137" s="458"/>
      <c r="NAR137" s="8"/>
      <c r="NAS137" s="8"/>
      <c r="NAT137" s="547"/>
      <c r="NAU137" s="547"/>
      <c r="NAV137" s="547"/>
      <c r="NAW137" s="547"/>
      <c r="NAX137" s="548"/>
      <c r="NAY137" s="547"/>
      <c r="NAZ137" s="547"/>
      <c r="NBA137" s="547"/>
      <c r="NBB137" s="547"/>
      <c r="NBC137" s="548"/>
      <c r="NBD137" s="547"/>
      <c r="NBE137" s="547"/>
      <c r="NBF137" s="547"/>
      <c r="NBG137" s="547"/>
      <c r="NBH137" s="548"/>
      <c r="NBI137" s="547"/>
      <c r="NBJ137" s="547"/>
      <c r="NBK137" s="547"/>
      <c r="NBL137" s="552"/>
      <c r="NBM137" s="548"/>
      <c r="NBN137" s="552"/>
      <c r="NBO137" s="552"/>
      <c r="NBP137" s="552"/>
      <c r="NBQ137" s="552"/>
      <c r="NBR137" s="548"/>
      <c r="NBS137" s="553"/>
      <c r="NBT137" s="553"/>
      <c r="NBU137" s="553"/>
      <c r="NBV137" s="8"/>
      <c r="NBW137" s="8"/>
      <c r="NBX137" s="458"/>
      <c r="NBY137" s="8"/>
      <c r="NBZ137" s="8"/>
      <c r="NCA137" s="547"/>
      <c r="NCB137" s="547"/>
      <c r="NCC137" s="547"/>
      <c r="NCD137" s="547"/>
      <c r="NCE137" s="548"/>
      <c r="NCF137" s="547"/>
      <c r="NCG137" s="547"/>
      <c r="NCH137" s="547"/>
      <c r="NCI137" s="547"/>
      <c r="NCJ137" s="548"/>
      <c r="NCK137" s="547"/>
      <c r="NCL137" s="547"/>
      <c r="NCM137" s="547"/>
      <c r="NCN137" s="547"/>
      <c r="NCO137" s="548"/>
      <c r="NCP137" s="547"/>
      <c r="NCQ137" s="547"/>
      <c r="NCR137" s="547"/>
      <c r="NCS137" s="552"/>
      <c r="NCT137" s="548"/>
      <c r="NCU137" s="552"/>
      <c r="NCV137" s="552"/>
      <c r="NCW137" s="552"/>
      <c r="NCX137" s="552"/>
      <c r="NCY137" s="548"/>
      <c r="NCZ137" s="553"/>
      <c r="NDA137" s="553"/>
      <c r="NDB137" s="553"/>
      <c r="NDC137" s="8"/>
      <c r="NDD137" s="8"/>
      <c r="NDE137" s="458"/>
      <c r="NDF137" s="8"/>
      <c r="NDG137" s="8"/>
      <c r="NDH137" s="547"/>
      <c r="NDI137" s="547"/>
      <c r="NDJ137" s="547"/>
      <c r="NDK137" s="547"/>
      <c r="NDL137" s="548"/>
      <c r="NDM137" s="547"/>
      <c r="NDN137" s="547"/>
      <c r="NDO137" s="547"/>
      <c r="NDP137" s="547"/>
      <c r="NDQ137" s="548"/>
      <c r="NDR137" s="547"/>
      <c r="NDS137" s="547"/>
      <c r="NDT137" s="547"/>
      <c r="NDU137" s="547"/>
      <c r="NDV137" s="548"/>
      <c r="NDW137" s="547"/>
      <c r="NDX137" s="547"/>
      <c r="NDY137" s="547"/>
      <c r="NDZ137" s="552"/>
      <c r="NEA137" s="548"/>
      <c r="NEB137" s="552"/>
      <c r="NEC137" s="552"/>
      <c r="NED137" s="552"/>
      <c r="NEE137" s="552"/>
      <c r="NEF137" s="548"/>
      <c r="NEG137" s="553"/>
      <c r="NEH137" s="553"/>
      <c r="NEI137" s="553"/>
      <c r="NEJ137" s="8"/>
      <c r="NEK137" s="8"/>
      <c r="NEL137" s="458"/>
      <c r="NEM137" s="8"/>
      <c r="NEN137" s="8"/>
      <c r="NEO137" s="547"/>
      <c r="NEP137" s="547"/>
      <c r="NEQ137" s="547"/>
      <c r="NER137" s="547"/>
      <c r="NES137" s="548"/>
      <c r="NET137" s="547"/>
      <c r="NEU137" s="547"/>
      <c r="NEV137" s="547"/>
      <c r="NEW137" s="547"/>
      <c r="NEX137" s="548"/>
      <c r="NEY137" s="547"/>
      <c r="NEZ137" s="547"/>
      <c r="NFA137" s="547"/>
      <c r="NFB137" s="547"/>
      <c r="NFC137" s="548"/>
      <c r="NFD137" s="547"/>
      <c r="NFE137" s="547"/>
      <c r="NFF137" s="547"/>
      <c r="NFG137" s="552"/>
      <c r="NFH137" s="548"/>
      <c r="NFI137" s="552"/>
      <c r="NFJ137" s="552"/>
      <c r="NFK137" s="552"/>
      <c r="NFL137" s="552"/>
      <c r="NFM137" s="548"/>
      <c r="NFN137" s="553"/>
      <c r="NFO137" s="553"/>
      <c r="NFP137" s="553"/>
      <c r="NFQ137" s="8"/>
      <c r="NFR137" s="8"/>
      <c r="NFS137" s="458"/>
      <c r="NFT137" s="8"/>
      <c r="NFU137" s="8"/>
      <c r="NFV137" s="547"/>
      <c r="NFW137" s="547"/>
      <c r="NFX137" s="547"/>
      <c r="NFY137" s="547"/>
      <c r="NFZ137" s="548"/>
      <c r="NGA137" s="547"/>
      <c r="NGB137" s="547"/>
      <c r="NGC137" s="547"/>
      <c r="NGD137" s="547"/>
      <c r="NGE137" s="548"/>
      <c r="NGF137" s="547"/>
      <c r="NGG137" s="547"/>
      <c r="NGH137" s="547"/>
      <c r="NGI137" s="547"/>
      <c r="NGJ137" s="548"/>
      <c r="NGK137" s="547"/>
      <c r="NGL137" s="547"/>
      <c r="NGM137" s="547"/>
      <c r="NGN137" s="552"/>
      <c r="NGO137" s="548"/>
      <c r="NGP137" s="552"/>
      <c r="NGQ137" s="552"/>
      <c r="NGR137" s="552"/>
      <c r="NGS137" s="552"/>
      <c r="NGT137" s="548"/>
      <c r="NGU137" s="553"/>
      <c r="NGV137" s="553"/>
      <c r="NGW137" s="553"/>
      <c r="NGX137" s="8"/>
      <c r="NGY137" s="8"/>
      <c r="NGZ137" s="458"/>
      <c r="NHA137" s="8"/>
      <c r="NHB137" s="8"/>
      <c r="NHC137" s="547"/>
      <c r="NHD137" s="547"/>
      <c r="NHE137" s="547"/>
      <c r="NHF137" s="547"/>
      <c r="NHG137" s="548"/>
      <c r="NHH137" s="547"/>
      <c r="NHI137" s="547"/>
      <c r="NHJ137" s="547"/>
      <c r="NHK137" s="547"/>
      <c r="NHL137" s="548"/>
      <c r="NHM137" s="547"/>
      <c r="NHN137" s="547"/>
      <c r="NHO137" s="547"/>
      <c r="NHP137" s="547"/>
      <c r="NHQ137" s="548"/>
      <c r="NHR137" s="547"/>
      <c r="NHS137" s="547"/>
      <c r="NHT137" s="547"/>
      <c r="NHU137" s="552"/>
      <c r="NHV137" s="548"/>
      <c r="NHW137" s="552"/>
      <c r="NHX137" s="552"/>
      <c r="NHY137" s="552"/>
      <c r="NHZ137" s="552"/>
      <c r="NIA137" s="548"/>
      <c r="NIB137" s="553"/>
      <c r="NIC137" s="553"/>
      <c r="NID137" s="553"/>
      <c r="NIE137" s="8"/>
      <c r="NIF137" s="8"/>
      <c r="NIG137" s="458"/>
      <c r="NIH137" s="8"/>
      <c r="NII137" s="8"/>
      <c r="NIJ137" s="547"/>
      <c r="NIK137" s="547"/>
      <c r="NIL137" s="547"/>
      <c r="NIM137" s="547"/>
      <c r="NIN137" s="548"/>
      <c r="NIO137" s="547"/>
      <c r="NIP137" s="547"/>
      <c r="NIQ137" s="547"/>
      <c r="NIR137" s="547"/>
      <c r="NIS137" s="548"/>
      <c r="NIT137" s="547"/>
      <c r="NIU137" s="547"/>
      <c r="NIV137" s="547"/>
      <c r="NIW137" s="547"/>
      <c r="NIX137" s="548"/>
      <c r="NIY137" s="547"/>
      <c r="NIZ137" s="547"/>
      <c r="NJA137" s="547"/>
      <c r="NJB137" s="552"/>
      <c r="NJC137" s="548"/>
      <c r="NJD137" s="552"/>
      <c r="NJE137" s="552"/>
      <c r="NJF137" s="552"/>
      <c r="NJG137" s="552"/>
      <c r="NJH137" s="548"/>
      <c r="NJI137" s="553"/>
      <c r="NJJ137" s="553"/>
      <c r="NJK137" s="553"/>
      <c r="NJL137" s="8"/>
      <c r="NJM137" s="8"/>
      <c r="NJN137" s="458"/>
      <c r="NJO137" s="8"/>
      <c r="NJP137" s="8"/>
      <c r="NJQ137" s="547"/>
      <c r="NJR137" s="547"/>
      <c r="NJS137" s="547"/>
      <c r="NJT137" s="547"/>
      <c r="NJU137" s="548"/>
      <c r="NJV137" s="547"/>
      <c r="NJW137" s="547"/>
      <c r="NJX137" s="547"/>
      <c r="NJY137" s="547"/>
      <c r="NJZ137" s="548"/>
      <c r="NKA137" s="547"/>
      <c r="NKB137" s="547"/>
      <c r="NKC137" s="547"/>
      <c r="NKD137" s="547"/>
      <c r="NKE137" s="548"/>
      <c r="NKF137" s="547"/>
      <c r="NKG137" s="547"/>
      <c r="NKH137" s="547"/>
      <c r="NKI137" s="552"/>
      <c r="NKJ137" s="548"/>
      <c r="NKK137" s="552"/>
      <c r="NKL137" s="552"/>
      <c r="NKM137" s="552"/>
      <c r="NKN137" s="552"/>
      <c r="NKO137" s="548"/>
      <c r="NKP137" s="553"/>
      <c r="NKQ137" s="553"/>
      <c r="NKR137" s="553"/>
      <c r="NKS137" s="8"/>
      <c r="NKT137" s="8"/>
      <c r="NKU137" s="458"/>
      <c r="NKV137" s="8"/>
      <c r="NKW137" s="8"/>
      <c r="NKX137" s="547"/>
      <c r="NKY137" s="547"/>
      <c r="NKZ137" s="547"/>
      <c r="NLA137" s="547"/>
      <c r="NLB137" s="548"/>
      <c r="NLC137" s="547"/>
      <c r="NLD137" s="547"/>
      <c r="NLE137" s="547"/>
      <c r="NLF137" s="547"/>
      <c r="NLG137" s="548"/>
      <c r="NLH137" s="547"/>
      <c r="NLI137" s="547"/>
      <c r="NLJ137" s="547"/>
      <c r="NLK137" s="547"/>
      <c r="NLL137" s="548"/>
      <c r="NLM137" s="547"/>
      <c r="NLN137" s="547"/>
      <c r="NLO137" s="547"/>
      <c r="NLP137" s="552"/>
      <c r="NLQ137" s="548"/>
      <c r="NLR137" s="552"/>
      <c r="NLS137" s="552"/>
      <c r="NLT137" s="552"/>
      <c r="NLU137" s="552"/>
      <c r="NLV137" s="548"/>
      <c r="NLW137" s="553"/>
      <c r="NLX137" s="553"/>
      <c r="NLY137" s="553"/>
      <c r="NLZ137" s="8"/>
      <c r="NMA137" s="8"/>
      <c r="NMB137" s="458"/>
      <c r="NMC137" s="8"/>
      <c r="NMD137" s="8"/>
      <c r="NME137" s="547"/>
      <c r="NMF137" s="547"/>
      <c r="NMG137" s="547"/>
      <c r="NMH137" s="547"/>
      <c r="NMI137" s="548"/>
      <c r="NMJ137" s="547"/>
      <c r="NMK137" s="547"/>
      <c r="NML137" s="547"/>
      <c r="NMM137" s="547"/>
      <c r="NMN137" s="548"/>
      <c r="NMO137" s="547"/>
      <c r="NMP137" s="547"/>
      <c r="NMQ137" s="547"/>
      <c r="NMR137" s="547"/>
      <c r="NMS137" s="548"/>
      <c r="NMT137" s="547"/>
      <c r="NMU137" s="547"/>
      <c r="NMV137" s="547"/>
      <c r="NMW137" s="552"/>
      <c r="NMX137" s="548"/>
      <c r="NMY137" s="552"/>
      <c r="NMZ137" s="552"/>
      <c r="NNA137" s="552"/>
      <c r="NNB137" s="552"/>
      <c r="NNC137" s="548"/>
      <c r="NND137" s="553"/>
      <c r="NNE137" s="553"/>
      <c r="NNF137" s="553"/>
      <c r="NNG137" s="8"/>
      <c r="NNH137" s="8"/>
      <c r="NNI137" s="458"/>
      <c r="NNJ137" s="8"/>
      <c r="NNK137" s="8"/>
      <c r="NNL137" s="547"/>
      <c r="NNM137" s="547"/>
      <c r="NNN137" s="547"/>
      <c r="NNO137" s="547"/>
      <c r="NNP137" s="548"/>
      <c r="NNQ137" s="547"/>
      <c r="NNR137" s="547"/>
      <c r="NNS137" s="547"/>
      <c r="NNT137" s="547"/>
      <c r="NNU137" s="548"/>
      <c r="NNV137" s="547"/>
      <c r="NNW137" s="547"/>
      <c r="NNX137" s="547"/>
      <c r="NNY137" s="547"/>
      <c r="NNZ137" s="548"/>
      <c r="NOA137" s="547"/>
      <c r="NOB137" s="547"/>
      <c r="NOC137" s="547"/>
      <c r="NOD137" s="552"/>
      <c r="NOE137" s="548"/>
      <c r="NOF137" s="552"/>
      <c r="NOG137" s="552"/>
      <c r="NOH137" s="552"/>
      <c r="NOI137" s="552"/>
      <c r="NOJ137" s="548"/>
      <c r="NOK137" s="553"/>
      <c r="NOL137" s="553"/>
      <c r="NOM137" s="553"/>
      <c r="NON137" s="8"/>
      <c r="NOO137" s="8"/>
      <c r="NOP137" s="458"/>
      <c r="NOQ137" s="8"/>
      <c r="NOR137" s="8"/>
      <c r="NOS137" s="547"/>
      <c r="NOT137" s="547"/>
      <c r="NOU137" s="547"/>
      <c r="NOV137" s="547"/>
      <c r="NOW137" s="548"/>
      <c r="NOX137" s="547"/>
      <c r="NOY137" s="547"/>
      <c r="NOZ137" s="547"/>
      <c r="NPA137" s="547"/>
      <c r="NPB137" s="548"/>
      <c r="NPC137" s="547"/>
      <c r="NPD137" s="547"/>
      <c r="NPE137" s="547"/>
      <c r="NPF137" s="547"/>
      <c r="NPG137" s="548"/>
      <c r="NPH137" s="547"/>
      <c r="NPI137" s="547"/>
      <c r="NPJ137" s="547"/>
      <c r="NPK137" s="552"/>
      <c r="NPL137" s="548"/>
      <c r="NPM137" s="552"/>
      <c r="NPN137" s="552"/>
      <c r="NPO137" s="552"/>
      <c r="NPP137" s="552"/>
      <c r="NPQ137" s="548"/>
      <c r="NPR137" s="553"/>
      <c r="NPS137" s="553"/>
      <c r="NPT137" s="553"/>
      <c r="NPU137" s="8"/>
      <c r="NPV137" s="8"/>
      <c r="NPW137" s="458"/>
      <c r="NPX137" s="8"/>
      <c r="NPY137" s="8"/>
      <c r="NPZ137" s="547"/>
      <c r="NQA137" s="547"/>
      <c r="NQB137" s="547"/>
      <c r="NQC137" s="547"/>
      <c r="NQD137" s="548"/>
      <c r="NQE137" s="547"/>
      <c r="NQF137" s="547"/>
      <c r="NQG137" s="547"/>
      <c r="NQH137" s="547"/>
      <c r="NQI137" s="548"/>
      <c r="NQJ137" s="547"/>
      <c r="NQK137" s="547"/>
      <c r="NQL137" s="547"/>
      <c r="NQM137" s="547"/>
      <c r="NQN137" s="548"/>
      <c r="NQO137" s="547"/>
      <c r="NQP137" s="547"/>
      <c r="NQQ137" s="547"/>
      <c r="NQR137" s="552"/>
      <c r="NQS137" s="548"/>
      <c r="NQT137" s="552"/>
      <c r="NQU137" s="552"/>
      <c r="NQV137" s="552"/>
      <c r="NQW137" s="552"/>
      <c r="NQX137" s="548"/>
      <c r="NQY137" s="553"/>
      <c r="NQZ137" s="553"/>
      <c r="NRA137" s="553"/>
      <c r="NRB137" s="8"/>
      <c r="NRC137" s="8"/>
      <c r="NRD137" s="458"/>
      <c r="NRE137" s="8"/>
      <c r="NRF137" s="8"/>
      <c r="NRG137" s="547"/>
      <c r="NRH137" s="547"/>
      <c r="NRI137" s="547"/>
      <c r="NRJ137" s="547"/>
      <c r="NRK137" s="548"/>
      <c r="NRL137" s="547"/>
      <c r="NRM137" s="547"/>
      <c r="NRN137" s="547"/>
      <c r="NRO137" s="547"/>
      <c r="NRP137" s="548"/>
      <c r="NRQ137" s="547"/>
      <c r="NRR137" s="547"/>
      <c r="NRS137" s="547"/>
      <c r="NRT137" s="547"/>
      <c r="NRU137" s="548"/>
      <c r="NRV137" s="547"/>
      <c r="NRW137" s="547"/>
      <c r="NRX137" s="547"/>
      <c r="NRY137" s="552"/>
      <c r="NRZ137" s="548"/>
      <c r="NSA137" s="552"/>
      <c r="NSB137" s="552"/>
      <c r="NSC137" s="552"/>
      <c r="NSD137" s="552"/>
      <c r="NSE137" s="548"/>
      <c r="NSF137" s="553"/>
      <c r="NSG137" s="553"/>
      <c r="NSH137" s="553"/>
      <c r="NSI137" s="8"/>
      <c r="NSJ137" s="8"/>
      <c r="NSK137" s="458"/>
      <c r="NSL137" s="8"/>
      <c r="NSM137" s="8"/>
      <c r="NSN137" s="547"/>
      <c r="NSO137" s="547"/>
      <c r="NSP137" s="547"/>
      <c r="NSQ137" s="547"/>
      <c r="NSR137" s="548"/>
      <c r="NSS137" s="547"/>
      <c r="NST137" s="547"/>
      <c r="NSU137" s="547"/>
      <c r="NSV137" s="547"/>
      <c r="NSW137" s="548"/>
      <c r="NSX137" s="547"/>
      <c r="NSY137" s="547"/>
      <c r="NSZ137" s="547"/>
      <c r="NTA137" s="547"/>
      <c r="NTB137" s="548"/>
      <c r="NTC137" s="547"/>
      <c r="NTD137" s="547"/>
      <c r="NTE137" s="547"/>
      <c r="NTF137" s="552"/>
      <c r="NTG137" s="548"/>
      <c r="NTH137" s="552"/>
      <c r="NTI137" s="552"/>
      <c r="NTJ137" s="552"/>
      <c r="NTK137" s="552"/>
      <c r="NTL137" s="548"/>
      <c r="NTM137" s="553"/>
      <c r="NTN137" s="553"/>
      <c r="NTO137" s="553"/>
      <c r="NTP137" s="8"/>
      <c r="NTQ137" s="8"/>
      <c r="NTR137" s="458"/>
      <c r="NTS137" s="8"/>
      <c r="NTT137" s="8"/>
      <c r="NTU137" s="547"/>
      <c r="NTV137" s="547"/>
      <c r="NTW137" s="547"/>
      <c r="NTX137" s="547"/>
      <c r="NTY137" s="548"/>
      <c r="NTZ137" s="547"/>
      <c r="NUA137" s="547"/>
      <c r="NUB137" s="547"/>
      <c r="NUC137" s="547"/>
      <c r="NUD137" s="548"/>
      <c r="NUE137" s="547"/>
      <c r="NUF137" s="547"/>
      <c r="NUG137" s="547"/>
      <c r="NUH137" s="547"/>
      <c r="NUI137" s="548"/>
      <c r="NUJ137" s="547"/>
      <c r="NUK137" s="547"/>
      <c r="NUL137" s="547"/>
      <c r="NUM137" s="552"/>
      <c r="NUN137" s="548"/>
      <c r="NUO137" s="552"/>
      <c r="NUP137" s="552"/>
      <c r="NUQ137" s="552"/>
      <c r="NUR137" s="552"/>
      <c r="NUS137" s="548"/>
      <c r="NUT137" s="553"/>
      <c r="NUU137" s="553"/>
      <c r="NUV137" s="553"/>
      <c r="NUW137" s="8"/>
      <c r="NUX137" s="8"/>
      <c r="NUY137" s="458"/>
      <c r="NUZ137" s="8"/>
      <c r="NVA137" s="8"/>
      <c r="NVB137" s="547"/>
      <c r="NVC137" s="547"/>
      <c r="NVD137" s="547"/>
      <c r="NVE137" s="547"/>
      <c r="NVF137" s="548"/>
      <c r="NVG137" s="547"/>
      <c r="NVH137" s="547"/>
      <c r="NVI137" s="547"/>
      <c r="NVJ137" s="547"/>
      <c r="NVK137" s="548"/>
      <c r="NVL137" s="547"/>
      <c r="NVM137" s="547"/>
      <c r="NVN137" s="547"/>
      <c r="NVO137" s="547"/>
      <c r="NVP137" s="548"/>
      <c r="NVQ137" s="547"/>
      <c r="NVR137" s="547"/>
      <c r="NVS137" s="547"/>
      <c r="NVT137" s="552"/>
      <c r="NVU137" s="548"/>
      <c r="NVV137" s="552"/>
      <c r="NVW137" s="552"/>
      <c r="NVX137" s="552"/>
      <c r="NVY137" s="552"/>
      <c r="NVZ137" s="548"/>
      <c r="NWA137" s="553"/>
      <c r="NWB137" s="553"/>
      <c r="NWC137" s="553"/>
      <c r="NWD137" s="8"/>
      <c r="NWE137" s="8"/>
      <c r="NWF137" s="458"/>
      <c r="NWG137" s="8"/>
      <c r="NWH137" s="8"/>
      <c r="NWI137" s="547"/>
      <c r="NWJ137" s="547"/>
      <c r="NWK137" s="547"/>
      <c r="NWL137" s="547"/>
      <c r="NWM137" s="548"/>
      <c r="NWN137" s="547"/>
      <c r="NWO137" s="547"/>
      <c r="NWP137" s="547"/>
      <c r="NWQ137" s="547"/>
      <c r="NWR137" s="548"/>
      <c r="NWS137" s="547"/>
      <c r="NWT137" s="547"/>
      <c r="NWU137" s="547"/>
      <c r="NWV137" s="547"/>
      <c r="NWW137" s="548"/>
      <c r="NWX137" s="547"/>
      <c r="NWY137" s="547"/>
      <c r="NWZ137" s="547"/>
      <c r="NXA137" s="552"/>
      <c r="NXB137" s="548"/>
      <c r="NXC137" s="552"/>
      <c r="NXD137" s="552"/>
      <c r="NXE137" s="552"/>
      <c r="NXF137" s="552"/>
      <c r="NXG137" s="548"/>
      <c r="NXH137" s="553"/>
      <c r="NXI137" s="553"/>
      <c r="NXJ137" s="553"/>
      <c r="NXK137" s="8"/>
      <c r="NXL137" s="8"/>
      <c r="NXM137" s="458"/>
      <c r="NXN137" s="8"/>
      <c r="NXO137" s="8"/>
      <c r="NXP137" s="547"/>
      <c r="NXQ137" s="547"/>
      <c r="NXR137" s="547"/>
      <c r="NXS137" s="547"/>
      <c r="NXT137" s="548"/>
      <c r="NXU137" s="547"/>
      <c r="NXV137" s="547"/>
      <c r="NXW137" s="547"/>
      <c r="NXX137" s="547"/>
      <c r="NXY137" s="548"/>
      <c r="NXZ137" s="547"/>
      <c r="NYA137" s="547"/>
      <c r="NYB137" s="547"/>
      <c r="NYC137" s="547"/>
      <c r="NYD137" s="548"/>
      <c r="NYE137" s="547"/>
      <c r="NYF137" s="547"/>
      <c r="NYG137" s="547"/>
      <c r="NYH137" s="552"/>
      <c r="NYI137" s="548"/>
      <c r="NYJ137" s="552"/>
      <c r="NYK137" s="552"/>
      <c r="NYL137" s="552"/>
      <c r="NYM137" s="552"/>
      <c r="NYN137" s="548"/>
      <c r="NYO137" s="553"/>
      <c r="NYP137" s="553"/>
      <c r="NYQ137" s="553"/>
      <c r="NYR137" s="8"/>
      <c r="NYS137" s="8"/>
      <c r="NYT137" s="458"/>
      <c r="NYU137" s="8"/>
      <c r="NYV137" s="8"/>
      <c r="NYW137" s="547"/>
      <c r="NYX137" s="547"/>
      <c r="NYY137" s="547"/>
      <c r="NYZ137" s="547"/>
      <c r="NZA137" s="548"/>
      <c r="NZB137" s="547"/>
      <c r="NZC137" s="547"/>
      <c r="NZD137" s="547"/>
      <c r="NZE137" s="547"/>
      <c r="NZF137" s="548"/>
      <c r="NZG137" s="547"/>
      <c r="NZH137" s="547"/>
      <c r="NZI137" s="547"/>
      <c r="NZJ137" s="547"/>
      <c r="NZK137" s="548"/>
      <c r="NZL137" s="547"/>
      <c r="NZM137" s="547"/>
      <c r="NZN137" s="547"/>
      <c r="NZO137" s="552"/>
      <c r="NZP137" s="548"/>
      <c r="NZQ137" s="552"/>
      <c r="NZR137" s="552"/>
      <c r="NZS137" s="552"/>
      <c r="NZT137" s="552"/>
      <c r="NZU137" s="548"/>
      <c r="NZV137" s="553"/>
      <c r="NZW137" s="553"/>
      <c r="NZX137" s="553"/>
      <c r="NZY137" s="8"/>
      <c r="NZZ137" s="8"/>
      <c r="OAA137" s="458"/>
      <c r="OAB137" s="8"/>
      <c r="OAC137" s="8"/>
      <c r="OAD137" s="547"/>
      <c r="OAE137" s="547"/>
      <c r="OAF137" s="547"/>
      <c r="OAG137" s="547"/>
      <c r="OAH137" s="548"/>
      <c r="OAI137" s="547"/>
      <c r="OAJ137" s="547"/>
      <c r="OAK137" s="547"/>
      <c r="OAL137" s="547"/>
      <c r="OAM137" s="548"/>
      <c r="OAN137" s="547"/>
      <c r="OAO137" s="547"/>
      <c r="OAP137" s="547"/>
      <c r="OAQ137" s="547"/>
      <c r="OAR137" s="548"/>
      <c r="OAS137" s="547"/>
      <c r="OAT137" s="547"/>
      <c r="OAU137" s="547"/>
      <c r="OAV137" s="552"/>
      <c r="OAW137" s="548"/>
      <c r="OAX137" s="552"/>
      <c r="OAY137" s="552"/>
      <c r="OAZ137" s="552"/>
      <c r="OBA137" s="552"/>
      <c r="OBB137" s="548"/>
      <c r="OBC137" s="553"/>
      <c r="OBD137" s="553"/>
      <c r="OBE137" s="553"/>
      <c r="OBF137" s="8"/>
      <c r="OBG137" s="8"/>
      <c r="OBH137" s="458"/>
      <c r="OBI137" s="8"/>
      <c r="OBJ137" s="8"/>
      <c r="OBK137" s="547"/>
      <c r="OBL137" s="547"/>
      <c r="OBM137" s="547"/>
      <c r="OBN137" s="547"/>
      <c r="OBO137" s="548"/>
      <c r="OBP137" s="547"/>
      <c r="OBQ137" s="547"/>
      <c r="OBR137" s="547"/>
      <c r="OBS137" s="547"/>
      <c r="OBT137" s="548"/>
      <c r="OBU137" s="547"/>
      <c r="OBV137" s="547"/>
      <c r="OBW137" s="547"/>
      <c r="OBX137" s="547"/>
      <c r="OBY137" s="548"/>
      <c r="OBZ137" s="547"/>
      <c r="OCA137" s="547"/>
      <c r="OCB137" s="547"/>
      <c r="OCC137" s="552"/>
      <c r="OCD137" s="548"/>
      <c r="OCE137" s="552"/>
      <c r="OCF137" s="552"/>
      <c r="OCG137" s="552"/>
      <c r="OCH137" s="552"/>
      <c r="OCI137" s="548"/>
      <c r="OCJ137" s="553"/>
      <c r="OCK137" s="553"/>
      <c r="OCL137" s="553"/>
      <c r="OCM137" s="8"/>
      <c r="OCN137" s="8"/>
      <c r="OCO137" s="458"/>
      <c r="OCP137" s="8"/>
      <c r="OCQ137" s="8"/>
      <c r="OCR137" s="547"/>
      <c r="OCS137" s="547"/>
      <c r="OCT137" s="547"/>
      <c r="OCU137" s="547"/>
      <c r="OCV137" s="548"/>
      <c r="OCW137" s="547"/>
      <c r="OCX137" s="547"/>
      <c r="OCY137" s="547"/>
      <c r="OCZ137" s="547"/>
      <c r="ODA137" s="548"/>
      <c r="ODB137" s="547"/>
      <c r="ODC137" s="547"/>
      <c r="ODD137" s="547"/>
      <c r="ODE137" s="547"/>
      <c r="ODF137" s="548"/>
      <c r="ODG137" s="547"/>
      <c r="ODH137" s="547"/>
      <c r="ODI137" s="547"/>
      <c r="ODJ137" s="552"/>
      <c r="ODK137" s="548"/>
      <c r="ODL137" s="552"/>
      <c r="ODM137" s="552"/>
      <c r="ODN137" s="552"/>
      <c r="ODO137" s="552"/>
      <c r="ODP137" s="548"/>
      <c r="ODQ137" s="553"/>
      <c r="ODR137" s="553"/>
      <c r="ODS137" s="553"/>
      <c r="ODT137" s="8"/>
      <c r="ODU137" s="8"/>
      <c r="ODV137" s="458"/>
      <c r="ODW137" s="8"/>
      <c r="ODX137" s="8"/>
      <c r="ODY137" s="547"/>
      <c r="ODZ137" s="547"/>
      <c r="OEA137" s="547"/>
      <c r="OEB137" s="547"/>
      <c r="OEC137" s="548"/>
      <c r="OED137" s="547"/>
      <c r="OEE137" s="547"/>
      <c r="OEF137" s="547"/>
      <c r="OEG137" s="547"/>
      <c r="OEH137" s="548"/>
      <c r="OEI137" s="547"/>
      <c r="OEJ137" s="547"/>
      <c r="OEK137" s="547"/>
      <c r="OEL137" s="547"/>
      <c r="OEM137" s="548"/>
      <c r="OEN137" s="547"/>
      <c r="OEO137" s="547"/>
      <c r="OEP137" s="547"/>
      <c r="OEQ137" s="552"/>
      <c r="OER137" s="548"/>
      <c r="OES137" s="552"/>
      <c r="OET137" s="552"/>
      <c r="OEU137" s="552"/>
      <c r="OEV137" s="552"/>
      <c r="OEW137" s="548"/>
      <c r="OEX137" s="553"/>
      <c r="OEY137" s="553"/>
      <c r="OEZ137" s="553"/>
      <c r="OFA137" s="8"/>
      <c r="OFB137" s="8"/>
      <c r="OFC137" s="458"/>
      <c r="OFD137" s="8"/>
      <c r="OFE137" s="8"/>
      <c r="OFF137" s="547"/>
      <c r="OFG137" s="547"/>
      <c r="OFH137" s="547"/>
      <c r="OFI137" s="547"/>
      <c r="OFJ137" s="548"/>
      <c r="OFK137" s="547"/>
      <c r="OFL137" s="547"/>
      <c r="OFM137" s="547"/>
      <c r="OFN137" s="547"/>
      <c r="OFO137" s="548"/>
      <c r="OFP137" s="547"/>
      <c r="OFQ137" s="547"/>
      <c r="OFR137" s="547"/>
      <c r="OFS137" s="547"/>
      <c r="OFT137" s="548"/>
      <c r="OFU137" s="547"/>
      <c r="OFV137" s="547"/>
      <c r="OFW137" s="547"/>
      <c r="OFX137" s="552"/>
      <c r="OFY137" s="548"/>
      <c r="OFZ137" s="552"/>
      <c r="OGA137" s="552"/>
      <c r="OGB137" s="552"/>
      <c r="OGC137" s="552"/>
      <c r="OGD137" s="548"/>
      <c r="OGE137" s="553"/>
      <c r="OGF137" s="553"/>
      <c r="OGG137" s="553"/>
      <c r="OGH137" s="8"/>
      <c r="OGI137" s="8"/>
      <c r="OGJ137" s="458"/>
      <c r="OGK137" s="8"/>
      <c r="OGL137" s="8"/>
      <c r="OGM137" s="547"/>
      <c r="OGN137" s="547"/>
      <c r="OGO137" s="547"/>
      <c r="OGP137" s="547"/>
      <c r="OGQ137" s="548"/>
      <c r="OGR137" s="547"/>
      <c r="OGS137" s="547"/>
      <c r="OGT137" s="547"/>
      <c r="OGU137" s="547"/>
      <c r="OGV137" s="548"/>
      <c r="OGW137" s="547"/>
      <c r="OGX137" s="547"/>
      <c r="OGY137" s="547"/>
      <c r="OGZ137" s="547"/>
      <c r="OHA137" s="548"/>
      <c r="OHB137" s="547"/>
      <c r="OHC137" s="547"/>
      <c r="OHD137" s="547"/>
      <c r="OHE137" s="552"/>
      <c r="OHF137" s="548"/>
      <c r="OHG137" s="552"/>
      <c r="OHH137" s="552"/>
      <c r="OHI137" s="552"/>
      <c r="OHJ137" s="552"/>
      <c r="OHK137" s="548"/>
      <c r="OHL137" s="553"/>
      <c r="OHM137" s="553"/>
      <c r="OHN137" s="553"/>
      <c r="OHO137" s="8"/>
      <c r="OHP137" s="8"/>
      <c r="OHQ137" s="458"/>
      <c r="OHR137" s="8"/>
      <c r="OHS137" s="8"/>
      <c r="OHT137" s="547"/>
      <c r="OHU137" s="547"/>
      <c r="OHV137" s="547"/>
      <c r="OHW137" s="547"/>
      <c r="OHX137" s="548"/>
      <c r="OHY137" s="547"/>
      <c r="OHZ137" s="547"/>
      <c r="OIA137" s="547"/>
      <c r="OIB137" s="547"/>
      <c r="OIC137" s="548"/>
      <c r="OID137" s="547"/>
      <c r="OIE137" s="547"/>
      <c r="OIF137" s="547"/>
      <c r="OIG137" s="547"/>
      <c r="OIH137" s="548"/>
      <c r="OII137" s="547"/>
      <c r="OIJ137" s="547"/>
      <c r="OIK137" s="547"/>
      <c r="OIL137" s="552"/>
      <c r="OIM137" s="548"/>
      <c r="OIN137" s="552"/>
      <c r="OIO137" s="552"/>
      <c r="OIP137" s="552"/>
      <c r="OIQ137" s="552"/>
      <c r="OIR137" s="548"/>
      <c r="OIS137" s="553"/>
      <c r="OIT137" s="553"/>
      <c r="OIU137" s="553"/>
      <c r="OIV137" s="8"/>
      <c r="OIW137" s="8"/>
      <c r="OIX137" s="458"/>
      <c r="OIY137" s="8"/>
      <c r="OIZ137" s="8"/>
      <c r="OJA137" s="547"/>
      <c r="OJB137" s="547"/>
      <c r="OJC137" s="547"/>
      <c r="OJD137" s="547"/>
      <c r="OJE137" s="548"/>
      <c r="OJF137" s="547"/>
      <c r="OJG137" s="547"/>
      <c r="OJH137" s="547"/>
      <c r="OJI137" s="547"/>
      <c r="OJJ137" s="548"/>
      <c r="OJK137" s="547"/>
      <c r="OJL137" s="547"/>
      <c r="OJM137" s="547"/>
      <c r="OJN137" s="547"/>
      <c r="OJO137" s="548"/>
      <c r="OJP137" s="547"/>
      <c r="OJQ137" s="547"/>
      <c r="OJR137" s="547"/>
      <c r="OJS137" s="552"/>
      <c r="OJT137" s="548"/>
      <c r="OJU137" s="552"/>
      <c r="OJV137" s="552"/>
      <c r="OJW137" s="552"/>
      <c r="OJX137" s="552"/>
      <c r="OJY137" s="548"/>
      <c r="OJZ137" s="553"/>
      <c r="OKA137" s="553"/>
      <c r="OKB137" s="553"/>
      <c r="OKC137" s="8"/>
      <c r="OKD137" s="8"/>
      <c r="OKE137" s="458"/>
      <c r="OKF137" s="8"/>
      <c r="OKG137" s="8"/>
      <c r="OKH137" s="547"/>
      <c r="OKI137" s="547"/>
      <c r="OKJ137" s="547"/>
      <c r="OKK137" s="547"/>
      <c r="OKL137" s="548"/>
      <c r="OKM137" s="547"/>
      <c r="OKN137" s="547"/>
      <c r="OKO137" s="547"/>
      <c r="OKP137" s="547"/>
      <c r="OKQ137" s="548"/>
      <c r="OKR137" s="547"/>
      <c r="OKS137" s="547"/>
      <c r="OKT137" s="547"/>
      <c r="OKU137" s="547"/>
      <c r="OKV137" s="548"/>
      <c r="OKW137" s="547"/>
      <c r="OKX137" s="547"/>
      <c r="OKY137" s="547"/>
      <c r="OKZ137" s="552"/>
      <c r="OLA137" s="548"/>
      <c r="OLB137" s="552"/>
      <c r="OLC137" s="552"/>
      <c r="OLD137" s="552"/>
      <c r="OLE137" s="552"/>
      <c r="OLF137" s="548"/>
      <c r="OLG137" s="553"/>
      <c r="OLH137" s="553"/>
      <c r="OLI137" s="553"/>
      <c r="OLJ137" s="8"/>
      <c r="OLK137" s="8"/>
      <c r="OLL137" s="458"/>
      <c r="OLM137" s="8"/>
      <c r="OLN137" s="8"/>
      <c r="OLO137" s="547"/>
      <c r="OLP137" s="547"/>
      <c r="OLQ137" s="547"/>
      <c r="OLR137" s="547"/>
      <c r="OLS137" s="548"/>
      <c r="OLT137" s="547"/>
      <c r="OLU137" s="547"/>
      <c r="OLV137" s="547"/>
      <c r="OLW137" s="547"/>
      <c r="OLX137" s="548"/>
      <c r="OLY137" s="547"/>
      <c r="OLZ137" s="547"/>
      <c r="OMA137" s="547"/>
      <c r="OMB137" s="547"/>
      <c r="OMC137" s="548"/>
      <c r="OMD137" s="547"/>
      <c r="OME137" s="547"/>
      <c r="OMF137" s="547"/>
      <c r="OMG137" s="552"/>
      <c r="OMH137" s="548"/>
      <c r="OMI137" s="552"/>
      <c r="OMJ137" s="552"/>
      <c r="OMK137" s="552"/>
      <c r="OML137" s="552"/>
      <c r="OMM137" s="548"/>
      <c r="OMN137" s="553"/>
      <c r="OMO137" s="553"/>
      <c r="OMP137" s="553"/>
      <c r="OMQ137" s="8"/>
      <c r="OMR137" s="8"/>
      <c r="OMS137" s="458"/>
      <c r="OMT137" s="8"/>
      <c r="OMU137" s="8"/>
      <c r="OMV137" s="547"/>
      <c r="OMW137" s="547"/>
      <c r="OMX137" s="547"/>
      <c r="OMY137" s="547"/>
      <c r="OMZ137" s="548"/>
      <c r="ONA137" s="547"/>
      <c r="ONB137" s="547"/>
      <c r="ONC137" s="547"/>
      <c r="OND137" s="547"/>
      <c r="ONE137" s="548"/>
      <c r="ONF137" s="547"/>
      <c r="ONG137" s="547"/>
      <c r="ONH137" s="547"/>
      <c r="ONI137" s="547"/>
      <c r="ONJ137" s="548"/>
      <c r="ONK137" s="547"/>
      <c r="ONL137" s="547"/>
      <c r="ONM137" s="547"/>
      <c r="ONN137" s="552"/>
      <c r="ONO137" s="548"/>
      <c r="ONP137" s="552"/>
      <c r="ONQ137" s="552"/>
      <c r="ONR137" s="552"/>
      <c r="ONS137" s="552"/>
      <c r="ONT137" s="548"/>
      <c r="ONU137" s="553"/>
      <c r="ONV137" s="553"/>
      <c r="ONW137" s="553"/>
      <c r="ONX137" s="8"/>
      <c r="ONY137" s="8"/>
      <c r="ONZ137" s="458"/>
      <c r="OOA137" s="8"/>
      <c r="OOB137" s="8"/>
      <c r="OOC137" s="547"/>
      <c r="OOD137" s="547"/>
      <c r="OOE137" s="547"/>
      <c r="OOF137" s="547"/>
      <c r="OOG137" s="548"/>
      <c r="OOH137" s="547"/>
      <c r="OOI137" s="547"/>
      <c r="OOJ137" s="547"/>
      <c r="OOK137" s="547"/>
      <c r="OOL137" s="548"/>
      <c r="OOM137" s="547"/>
      <c r="OON137" s="547"/>
      <c r="OOO137" s="547"/>
      <c r="OOP137" s="547"/>
      <c r="OOQ137" s="548"/>
      <c r="OOR137" s="547"/>
      <c r="OOS137" s="547"/>
      <c r="OOT137" s="547"/>
      <c r="OOU137" s="552"/>
      <c r="OOV137" s="548"/>
      <c r="OOW137" s="552"/>
      <c r="OOX137" s="552"/>
      <c r="OOY137" s="552"/>
      <c r="OOZ137" s="552"/>
      <c r="OPA137" s="548"/>
      <c r="OPB137" s="553"/>
      <c r="OPC137" s="553"/>
      <c r="OPD137" s="553"/>
      <c r="OPE137" s="8"/>
      <c r="OPF137" s="8"/>
      <c r="OPG137" s="458"/>
      <c r="OPH137" s="8"/>
      <c r="OPI137" s="8"/>
      <c r="OPJ137" s="547"/>
      <c r="OPK137" s="547"/>
      <c r="OPL137" s="547"/>
      <c r="OPM137" s="547"/>
      <c r="OPN137" s="548"/>
      <c r="OPO137" s="547"/>
      <c r="OPP137" s="547"/>
      <c r="OPQ137" s="547"/>
      <c r="OPR137" s="547"/>
      <c r="OPS137" s="548"/>
      <c r="OPT137" s="547"/>
      <c r="OPU137" s="547"/>
      <c r="OPV137" s="547"/>
      <c r="OPW137" s="547"/>
      <c r="OPX137" s="548"/>
      <c r="OPY137" s="547"/>
      <c r="OPZ137" s="547"/>
      <c r="OQA137" s="547"/>
      <c r="OQB137" s="552"/>
      <c r="OQC137" s="548"/>
      <c r="OQD137" s="552"/>
      <c r="OQE137" s="552"/>
      <c r="OQF137" s="552"/>
      <c r="OQG137" s="552"/>
      <c r="OQH137" s="548"/>
      <c r="OQI137" s="553"/>
      <c r="OQJ137" s="553"/>
      <c r="OQK137" s="553"/>
      <c r="OQL137" s="8"/>
      <c r="OQM137" s="8"/>
      <c r="OQN137" s="458"/>
      <c r="OQO137" s="8"/>
      <c r="OQP137" s="8"/>
      <c r="OQQ137" s="547"/>
      <c r="OQR137" s="547"/>
      <c r="OQS137" s="547"/>
      <c r="OQT137" s="547"/>
      <c r="OQU137" s="548"/>
      <c r="OQV137" s="547"/>
      <c r="OQW137" s="547"/>
      <c r="OQX137" s="547"/>
      <c r="OQY137" s="547"/>
      <c r="OQZ137" s="548"/>
      <c r="ORA137" s="547"/>
      <c r="ORB137" s="547"/>
      <c r="ORC137" s="547"/>
      <c r="ORD137" s="547"/>
      <c r="ORE137" s="548"/>
      <c r="ORF137" s="547"/>
      <c r="ORG137" s="547"/>
      <c r="ORH137" s="547"/>
      <c r="ORI137" s="552"/>
      <c r="ORJ137" s="548"/>
      <c r="ORK137" s="552"/>
      <c r="ORL137" s="552"/>
      <c r="ORM137" s="552"/>
      <c r="ORN137" s="552"/>
      <c r="ORO137" s="548"/>
      <c r="ORP137" s="553"/>
      <c r="ORQ137" s="553"/>
      <c r="ORR137" s="553"/>
      <c r="ORS137" s="8"/>
      <c r="ORT137" s="8"/>
      <c r="ORU137" s="458"/>
      <c r="ORV137" s="8"/>
      <c r="ORW137" s="8"/>
      <c r="ORX137" s="547"/>
      <c r="ORY137" s="547"/>
      <c r="ORZ137" s="547"/>
      <c r="OSA137" s="547"/>
      <c r="OSB137" s="548"/>
      <c r="OSC137" s="547"/>
      <c r="OSD137" s="547"/>
      <c r="OSE137" s="547"/>
      <c r="OSF137" s="547"/>
      <c r="OSG137" s="548"/>
      <c r="OSH137" s="547"/>
      <c r="OSI137" s="547"/>
      <c r="OSJ137" s="547"/>
      <c r="OSK137" s="547"/>
      <c r="OSL137" s="548"/>
      <c r="OSM137" s="547"/>
      <c r="OSN137" s="547"/>
      <c r="OSO137" s="547"/>
      <c r="OSP137" s="552"/>
      <c r="OSQ137" s="548"/>
      <c r="OSR137" s="552"/>
      <c r="OSS137" s="552"/>
      <c r="OST137" s="552"/>
      <c r="OSU137" s="552"/>
      <c r="OSV137" s="548"/>
      <c r="OSW137" s="553"/>
      <c r="OSX137" s="553"/>
      <c r="OSY137" s="553"/>
      <c r="OSZ137" s="8"/>
      <c r="OTA137" s="8"/>
      <c r="OTB137" s="458"/>
      <c r="OTC137" s="8"/>
      <c r="OTD137" s="8"/>
      <c r="OTE137" s="547"/>
      <c r="OTF137" s="547"/>
      <c r="OTG137" s="547"/>
      <c r="OTH137" s="547"/>
      <c r="OTI137" s="548"/>
      <c r="OTJ137" s="547"/>
      <c r="OTK137" s="547"/>
      <c r="OTL137" s="547"/>
      <c r="OTM137" s="547"/>
      <c r="OTN137" s="548"/>
      <c r="OTO137" s="547"/>
      <c r="OTP137" s="547"/>
      <c r="OTQ137" s="547"/>
      <c r="OTR137" s="547"/>
      <c r="OTS137" s="548"/>
      <c r="OTT137" s="547"/>
      <c r="OTU137" s="547"/>
      <c r="OTV137" s="547"/>
      <c r="OTW137" s="552"/>
      <c r="OTX137" s="548"/>
      <c r="OTY137" s="552"/>
      <c r="OTZ137" s="552"/>
      <c r="OUA137" s="552"/>
      <c r="OUB137" s="552"/>
      <c r="OUC137" s="548"/>
      <c r="OUD137" s="553"/>
      <c r="OUE137" s="553"/>
      <c r="OUF137" s="553"/>
      <c r="OUG137" s="8"/>
      <c r="OUH137" s="8"/>
      <c r="OUI137" s="458"/>
      <c r="OUJ137" s="8"/>
      <c r="OUK137" s="8"/>
      <c r="OUL137" s="547"/>
      <c r="OUM137" s="547"/>
      <c r="OUN137" s="547"/>
      <c r="OUO137" s="547"/>
      <c r="OUP137" s="548"/>
      <c r="OUQ137" s="547"/>
      <c r="OUR137" s="547"/>
      <c r="OUS137" s="547"/>
      <c r="OUT137" s="547"/>
      <c r="OUU137" s="548"/>
      <c r="OUV137" s="547"/>
      <c r="OUW137" s="547"/>
      <c r="OUX137" s="547"/>
      <c r="OUY137" s="547"/>
      <c r="OUZ137" s="548"/>
      <c r="OVA137" s="547"/>
      <c r="OVB137" s="547"/>
      <c r="OVC137" s="547"/>
      <c r="OVD137" s="552"/>
      <c r="OVE137" s="548"/>
      <c r="OVF137" s="552"/>
      <c r="OVG137" s="552"/>
      <c r="OVH137" s="552"/>
      <c r="OVI137" s="552"/>
      <c r="OVJ137" s="548"/>
      <c r="OVK137" s="553"/>
      <c r="OVL137" s="553"/>
      <c r="OVM137" s="553"/>
      <c r="OVN137" s="8"/>
      <c r="OVO137" s="8"/>
      <c r="OVP137" s="458"/>
      <c r="OVQ137" s="8"/>
      <c r="OVR137" s="8"/>
      <c r="OVS137" s="547"/>
      <c r="OVT137" s="547"/>
      <c r="OVU137" s="547"/>
      <c r="OVV137" s="547"/>
      <c r="OVW137" s="548"/>
      <c r="OVX137" s="547"/>
      <c r="OVY137" s="547"/>
      <c r="OVZ137" s="547"/>
      <c r="OWA137" s="547"/>
      <c r="OWB137" s="548"/>
      <c r="OWC137" s="547"/>
      <c r="OWD137" s="547"/>
      <c r="OWE137" s="547"/>
      <c r="OWF137" s="547"/>
      <c r="OWG137" s="548"/>
      <c r="OWH137" s="547"/>
      <c r="OWI137" s="547"/>
      <c r="OWJ137" s="547"/>
      <c r="OWK137" s="552"/>
      <c r="OWL137" s="548"/>
      <c r="OWM137" s="552"/>
      <c r="OWN137" s="552"/>
      <c r="OWO137" s="552"/>
      <c r="OWP137" s="552"/>
      <c r="OWQ137" s="548"/>
      <c r="OWR137" s="553"/>
      <c r="OWS137" s="553"/>
      <c r="OWT137" s="553"/>
      <c r="OWU137" s="8"/>
      <c r="OWV137" s="8"/>
      <c r="OWW137" s="458"/>
      <c r="OWX137" s="8"/>
      <c r="OWY137" s="8"/>
      <c r="OWZ137" s="547"/>
      <c r="OXA137" s="547"/>
      <c r="OXB137" s="547"/>
      <c r="OXC137" s="547"/>
      <c r="OXD137" s="548"/>
      <c r="OXE137" s="547"/>
      <c r="OXF137" s="547"/>
      <c r="OXG137" s="547"/>
      <c r="OXH137" s="547"/>
      <c r="OXI137" s="548"/>
      <c r="OXJ137" s="547"/>
      <c r="OXK137" s="547"/>
      <c r="OXL137" s="547"/>
      <c r="OXM137" s="547"/>
      <c r="OXN137" s="548"/>
      <c r="OXO137" s="547"/>
      <c r="OXP137" s="547"/>
      <c r="OXQ137" s="547"/>
      <c r="OXR137" s="552"/>
      <c r="OXS137" s="548"/>
      <c r="OXT137" s="552"/>
      <c r="OXU137" s="552"/>
      <c r="OXV137" s="552"/>
      <c r="OXW137" s="552"/>
      <c r="OXX137" s="548"/>
      <c r="OXY137" s="553"/>
      <c r="OXZ137" s="553"/>
      <c r="OYA137" s="553"/>
      <c r="OYB137" s="8"/>
      <c r="OYC137" s="8"/>
      <c r="OYD137" s="458"/>
      <c r="OYE137" s="8"/>
      <c r="OYF137" s="8"/>
      <c r="OYG137" s="547"/>
      <c r="OYH137" s="547"/>
      <c r="OYI137" s="547"/>
      <c r="OYJ137" s="547"/>
      <c r="OYK137" s="548"/>
      <c r="OYL137" s="547"/>
      <c r="OYM137" s="547"/>
      <c r="OYN137" s="547"/>
      <c r="OYO137" s="547"/>
      <c r="OYP137" s="548"/>
      <c r="OYQ137" s="547"/>
      <c r="OYR137" s="547"/>
      <c r="OYS137" s="547"/>
      <c r="OYT137" s="547"/>
      <c r="OYU137" s="548"/>
      <c r="OYV137" s="547"/>
      <c r="OYW137" s="547"/>
      <c r="OYX137" s="547"/>
      <c r="OYY137" s="552"/>
      <c r="OYZ137" s="548"/>
      <c r="OZA137" s="552"/>
      <c r="OZB137" s="552"/>
      <c r="OZC137" s="552"/>
      <c r="OZD137" s="552"/>
      <c r="OZE137" s="548"/>
      <c r="OZF137" s="553"/>
      <c r="OZG137" s="553"/>
      <c r="OZH137" s="553"/>
      <c r="OZI137" s="8"/>
      <c r="OZJ137" s="8"/>
      <c r="OZK137" s="458"/>
      <c r="OZL137" s="8"/>
      <c r="OZM137" s="8"/>
      <c r="OZN137" s="547"/>
      <c r="OZO137" s="547"/>
      <c r="OZP137" s="547"/>
      <c r="OZQ137" s="547"/>
      <c r="OZR137" s="548"/>
      <c r="OZS137" s="547"/>
      <c r="OZT137" s="547"/>
      <c r="OZU137" s="547"/>
      <c r="OZV137" s="547"/>
      <c r="OZW137" s="548"/>
      <c r="OZX137" s="547"/>
      <c r="OZY137" s="547"/>
      <c r="OZZ137" s="547"/>
      <c r="PAA137" s="547"/>
      <c r="PAB137" s="548"/>
      <c r="PAC137" s="547"/>
      <c r="PAD137" s="547"/>
      <c r="PAE137" s="547"/>
      <c r="PAF137" s="552"/>
      <c r="PAG137" s="548"/>
      <c r="PAH137" s="552"/>
      <c r="PAI137" s="552"/>
      <c r="PAJ137" s="552"/>
      <c r="PAK137" s="552"/>
      <c r="PAL137" s="548"/>
      <c r="PAM137" s="553"/>
      <c r="PAN137" s="553"/>
      <c r="PAO137" s="553"/>
      <c r="PAP137" s="8"/>
      <c r="PAQ137" s="8"/>
      <c r="PAR137" s="458"/>
      <c r="PAS137" s="8"/>
      <c r="PAT137" s="8"/>
      <c r="PAU137" s="547"/>
      <c r="PAV137" s="547"/>
      <c r="PAW137" s="547"/>
      <c r="PAX137" s="547"/>
      <c r="PAY137" s="548"/>
      <c r="PAZ137" s="547"/>
      <c r="PBA137" s="547"/>
      <c r="PBB137" s="547"/>
      <c r="PBC137" s="547"/>
      <c r="PBD137" s="548"/>
      <c r="PBE137" s="547"/>
      <c r="PBF137" s="547"/>
      <c r="PBG137" s="547"/>
      <c r="PBH137" s="547"/>
      <c r="PBI137" s="548"/>
      <c r="PBJ137" s="547"/>
      <c r="PBK137" s="547"/>
      <c r="PBL137" s="547"/>
      <c r="PBM137" s="552"/>
      <c r="PBN137" s="548"/>
      <c r="PBO137" s="552"/>
      <c r="PBP137" s="552"/>
      <c r="PBQ137" s="552"/>
      <c r="PBR137" s="552"/>
      <c r="PBS137" s="548"/>
      <c r="PBT137" s="553"/>
      <c r="PBU137" s="553"/>
      <c r="PBV137" s="553"/>
      <c r="PBW137" s="8"/>
      <c r="PBX137" s="8"/>
      <c r="PBY137" s="458"/>
      <c r="PBZ137" s="8"/>
      <c r="PCA137" s="8"/>
      <c r="PCB137" s="547"/>
      <c r="PCC137" s="547"/>
      <c r="PCD137" s="547"/>
      <c r="PCE137" s="547"/>
      <c r="PCF137" s="548"/>
      <c r="PCG137" s="547"/>
      <c r="PCH137" s="547"/>
      <c r="PCI137" s="547"/>
      <c r="PCJ137" s="547"/>
      <c r="PCK137" s="548"/>
      <c r="PCL137" s="547"/>
      <c r="PCM137" s="547"/>
      <c r="PCN137" s="547"/>
      <c r="PCO137" s="547"/>
      <c r="PCP137" s="548"/>
      <c r="PCQ137" s="547"/>
      <c r="PCR137" s="547"/>
      <c r="PCS137" s="547"/>
      <c r="PCT137" s="552"/>
      <c r="PCU137" s="548"/>
      <c r="PCV137" s="552"/>
      <c r="PCW137" s="552"/>
      <c r="PCX137" s="552"/>
      <c r="PCY137" s="552"/>
      <c r="PCZ137" s="548"/>
      <c r="PDA137" s="553"/>
      <c r="PDB137" s="553"/>
      <c r="PDC137" s="553"/>
      <c r="PDD137" s="8"/>
      <c r="PDE137" s="8"/>
      <c r="PDF137" s="458"/>
      <c r="PDG137" s="8"/>
      <c r="PDH137" s="8"/>
      <c r="PDI137" s="547"/>
      <c r="PDJ137" s="547"/>
      <c r="PDK137" s="547"/>
      <c r="PDL137" s="547"/>
      <c r="PDM137" s="548"/>
      <c r="PDN137" s="547"/>
      <c r="PDO137" s="547"/>
      <c r="PDP137" s="547"/>
      <c r="PDQ137" s="547"/>
      <c r="PDR137" s="548"/>
      <c r="PDS137" s="547"/>
      <c r="PDT137" s="547"/>
      <c r="PDU137" s="547"/>
      <c r="PDV137" s="547"/>
      <c r="PDW137" s="548"/>
      <c r="PDX137" s="547"/>
      <c r="PDY137" s="547"/>
      <c r="PDZ137" s="547"/>
      <c r="PEA137" s="552"/>
      <c r="PEB137" s="548"/>
      <c r="PEC137" s="552"/>
      <c r="PED137" s="552"/>
      <c r="PEE137" s="552"/>
      <c r="PEF137" s="552"/>
      <c r="PEG137" s="548"/>
      <c r="PEH137" s="553"/>
      <c r="PEI137" s="553"/>
      <c r="PEJ137" s="553"/>
      <c r="PEK137" s="8"/>
      <c r="PEL137" s="8"/>
      <c r="PEM137" s="458"/>
      <c r="PEN137" s="8"/>
      <c r="PEO137" s="8"/>
      <c r="PEP137" s="547"/>
      <c r="PEQ137" s="547"/>
      <c r="PER137" s="547"/>
      <c r="PES137" s="547"/>
      <c r="PET137" s="548"/>
      <c r="PEU137" s="547"/>
      <c r="PEV137" s="547"/>
      <c r="PEW137" s="547"/>
      <c r="PEX137" s="547"/>
      <c r="PEY137" s="548"/>
      <c r="PEZ137" s="547"/>
      <c r="PFA137" s="547"/>
      <c r="PFB137" s="547"/>
      <c r="PFC137" s="547"/>
      <c r="PFD137" s="548"/>
      <c r="PFE137" s="547"/>
      <c r="PFF137" s="547"/>
      <c r="PFG137" s="547"/>
      <c r="PFH137" s="552"/>
      <c r="PFI137" s="548"/>
      <c r="PFJ137" s="552"/>
      <c r="PFK137" s="552"/>
      <c r="PFL137" s="552"/>
      <c r="PFM137" s="552"/>
      <c r="PFN137" s="548"/>
      <c r="PFO137" s="553"/>
      <c r="PFP137" s="553"/>
      <c r="PFQ137" s="553"/>
      <c r="PFR137" s="8"/>
      <c r="PFS137" s="8"/>
      <c r="PFT137" s="458"/>
      <c r="PFU137" s="8"/>
      <c r="PFV137" s="8"/>
      <c r="PFW137" s="547"/>
      <c r="PFX137" s="547"/>
      <c r="PFY137" s="547"/>
      <c r="PFZ137" s="547"/>
      <c r="PGA137" s="548"/>
      <c r="PGB137" s="547"/>
      <c r="PGC137" s="547"/>
      <c r="PGD137" s="547"/>
      <c r="PGE137" s="547"/>
      <c r="PGF137" s="548"/>
      <c r="PGG137" s="547"/>
      <c r="PGH137" s="547"/>
      <c r="PGI137" s="547"/>
      <c r="PGJ137" s="547"/>
      <c r="PGK137" s="548"/>
      <c r="PGL137" s="547"/>
      <c r="PGM137" s="547"/>
      <c r="PGN137" s="547"/>
      <c r="PGO137" s="552"/>
      <c r="PGP137" s="548"/>
      <c r="PGQ137" s="552"/>
      <c r="PGR137" s="552"/>
      <c r="PGS137" s="552"/>
      <c r="PGT137" s="552"/>
      <c r="PGU137" s="548"/>
      <c r="PGV137" s="553"/>
      <c r="PGW137" s="553"/>
      <c r="PGX137" s="553"/>
      <c r="PGY137" s="8"/>
      <c r="PGZ137" s="8"/>
      <c r="PHA137" s="458"/>
      <c r="PHB137" s="8"/>
      <c r="PHC137" s="8"/>
      <c r="PHD137" s="547"/>
      <c r="PHE137" s="547"/>
      <c r="PHF137" s="547"/>
      <c r="PHG137" s="547"/>
      <c r="PHH137" s="548"/>
      <c r="PHI137" s="547"/>
      <c r="PHJ137" s="547"/>
      <c r="PHK137" s="547"/>
      <c r="PHL137" s="547"/>
      <c r="PHM137" s="548"/>
      <c r="PHN137" s="547"/>
      <c r="PHO137" s="547"/>
      <c r="PHP137" s="547"/>
      <c r="PHQ137" s="547"/>
      <c r="PHR137" s="548"/>
      <c r="PHS137" s="547"/>
      <c r="PHT137" s="547"/>
      <c r="PHU137" s="547"/>
      <c r="PHV137" s="552"/>
      <c r="PHW137" s="548"/>
      <c r="PHX137" s="552"/>
      <c r="PHY137" s="552"/>
      <c r="PHZ137" s="552"/>
      <c r="PIA137" s="552"/>
      <c r="PIB137" s="548"/>
      <c r="PIC137" s="553"/>
      <c r="PID137" s="553"/>
      <c r="PIE137" s="553"/>
      <c r="PIF137" s="8"/>
      <c r="PIG137" s="8"/>
      <c r="PIH137" s="458"/>
      <c r="PII137" s="8"/>
      <c r="PIJ137" s="8"/>
      <c r="PIK137" s="547"/>
      <c r="PIL137" s="547"/>
      <c r="PIM137" s="547"/>
      <c r="PIN137" s="547"/>
      <c r="PIO137" s="548"/>
      <c r="PIP137" s="547"/>
      <c r="PIQ137" s="547"/>
      <c r="PIR137" s="547"/>
      <c r="PIS137" s="547"/>
      <c r="PIT137" s="548"/>
      <c r="PIU137" s="547"/>
      <c r="PIV137" s="547"/>
      <c r="PIW137" s="547"/>
      <c r="PIX137" s="547"/>
      <c r="PIY137" s="548"/>
      <c r="PIZ137" s="547"/>
      <c r="PJA137" s="547"/>
      <c r="PJB137" s="547"/>
      <c r="PJC137" s="552"/>
      <c r="PJD137" s="548"/>
      <c r="PJE137" s="552"/>
      <c r="PJF137" s="552"/>
      <c r="PJG137" s="552"/>
      <c r="PJH137" s="552"/>
      <c r="PJI137" s="548"/>
      <c r="PJJ137" s="553"/>
      <c r="PJK137" s="553"/>
      <c r="PJL137" s="553"/>
      <c r="PJM137" s="8"/>
      <c r="PJN137" s="8"/>
      <c r="PJO137" s="458"/>
      <c r="PJP137" s="8"/>
      <c r="PJQ137" s="8"/>
      <c r="PJR137" s="547"/>
      <c r="PJS137" s="547"/>
      <c r="PJT137" s="547"/>
      <c r="PJU137" s="547"/>
      <c r="PJV137" s="548"/>
      <c r="PJW137" s="547"/>
      <c r="PJX137" s="547"/>
      <c r="PJY137" s="547"/>
      <c r="PJZ137" s="547"/>
      <c r="PKA137" s="548"/>
      <c r="PKB137" s="547"/>
      <c r="PKC137" s="547"/>
      <c r="PKD137" s="547"/>
      <c r="PKE137" s="547"/>
      <c r="PKF137" s="548"/>
      <c r="PKG137" s="547"/>
      <c r="PKH137" s="547"/>
      <c r="PKI137" s="547"/>
      <c r="PKJ137" s="552"/>
      <c r="PKK137" s="548"/>
      <c r="PKL137" s="552"/>
      <c r="PKM137" s="552"/>
      <c r="PKN137" s="552"/>
      <c r="PKO137" s="552"/>
      <c r="PKP137" s="548"/>
      <c r="PKQ137" s="553"/>
      <c r="PKR137" s="553"/>
      <c r="PKS137" s="553"/>
      <c r="PKT137" s="8"/>
      <c r="PKU137" s="8"/>
      <c r="PKV137" s="458"/>
      <c r="PKW137" s="8"/>
      <c r="PKX137" s="8"/>
      <c r="PKY137" s="547"/>
      <c r="PKZ137" s="547"/>
      <c r="PLA137" s="547"/>
      <c r="PLB137" s="547"/>
      <c r="PLC137" s="548"/>
      <c r="PLD137" s="547"/>
      <c r="PLE137" s="547"/>
      <c r="PLF137" s="547"/>
      <c r="PLG137" s="547"/>
      <c r="PLH137" s="548"/>
      <c r="PLI137" s="547"/>
      <c r="PLJ137" s="547"/>
      <c r="PLK137" s="547"/>
      <c r="PLL137" s="547"/>
      <c r="PLM137" s="548"/>
      <c r="PLN137" s="547"/>
      <c r="PLO137" s="547"/>
      <c r="PLP137" s="547"/>
      <c r="PLQ137" s="552"/>
      <c r="PLR137" s="548"/>
      <c r="PLS137" s="552"/>
      <c r="PLT137" s="552"/>
      <c r="PLU137" s="552"/>
      <c r="PLV137" s="552"/>
      <c r="PLW137" s="548"/>
      <c r="PLX137" s="553"/>
      <c r="PLY137" s="553"/>
      <c r="PLZ137" s="553"/>
      <c r="PMA137" s="8"/>
      <c r="PMB137" s="8"/>
      <c r="PMC137" s="458"/>
      <c r="PMD137" s="8"/>
      <c r="PME137" s="8"/>
      <c r="PMF137" s="547"/>
      <c r="PMG137" s="547"/>
      <c r="PMH137" s="547"/>
      <c r="PMI137" s="547"/>
      <c r="PMJ137" s="548"/>
      <c r="PMK137" s="547"/>
      <c r="PML137" s="547"/>
      <c r="PMM137" s="547"/>
      <c r="PMN137" s="547"/>
      <c r="PMO137" s="548"/>
      <c r="PMP137" s="547"/>
      <c r="PMQ137" s="547"/>
      <c r="PMR137" s="547"/>
      <c r="PMS137" s="547"/>
      <c r="PMT137" s="548"/>
      <c r="PMU137" s="547"/>
      <c r="PMV137" s="547"/>
      <c r="PMW137" s="547"/>
      <c r="PMX137" s="552"/>
      <c r="PMY137" s="548"/>
      <c r="PMZ137" s="552"/>
      <c r="PNA137" s="552"/>
      <c r="PNB137" s="552"/>
      <c r="PNC137" s="552"/>
      <c r="PND137" s="548"/>
      <c r="PNE137" s="553"/>
      <c r="PNF137" s="553"/>
      <c r="PNG137" s="553"/>
      <c r="PNH137" s="8"/>
      <c r="PNI137" s="8"/>
      <c r="PNJ137" s="458"/>
      <c r="PNK137" s="8"/>
      <c r="PNL137" s="8"/>
      <c r="PNM137" s="547"/>
      <c r="PNN137" s="547"/>
      <c r="PNO137" s="547"/>
      <c r="PNP137" s="547"/>
      <c r="PNQ137" s="548"/>
      <c r="PNR137" s="547"/>
      <c r="PNS137" s="547"/>
      <c r="PNT137" s="547"/>
      <c r="PNU137" s="547"/>
      <c r="PNV137" s="548"/>
      <c r="PNW137" s="547"/>
      <c r="PNX137" s="547"/>
      <c r="PNY137" s="547"/>
      <c r="PNZ137" s="547"/>
      <c r="POA137" s="548"/>
      <c r="POB137" s="547"/>
      <c r="POC137" s="547"/>
      <c r="POD137" s="547"/>
      <c r="POE137" s="552"/>
      <c r="POF137" s="548"/>
      <c r="POG137" s="552"/>
      <c r="POH137" s="552"/>
      <c r="POI137" s="552"/>
      <c r="POJ137" s="552"/>
      <c r="POK137" s="548"/>
      <c r="POL137" s="553"/>
      <c r="POM137" s="553"/>
      <c r="PON137" s="553"/>
      <c r="POO137" s="8"/>
      <c r="POP137" s="8"/>
      <c r="POQ137" s="458"/>
      <c r="POR137" s="8"/>
      <c r="POS137" s="8"/>
      <c r="POT137" s="547"/>
      <c r="POU137" s="547"/>
      <c r="POV137" s="547"/>
      <c r="POW137" s="547"/>
      <c r="POX137" s="548"/>
      <c r="POY137" s="547"/>
      <c r="POZ137" s="547"/>
      <c r="PPA137" s="547"/>
      <c r="PPB137" s="547"/>
      <c r="PPC137" s="548"/>
      <c r="PPD137" s="547"/>
      <c r="PPE137" s="547"/>
      <c r="PPF137" s="547"/>
      <c r="PPG137" s="547"/>
      <c r="PPH137" s="548"/>
      <c r="PPI137" s="547"/>
      <c r="PPJ137" s="547"/>
      <c r="PPK137" s="547"/>
      <c r="PPL137" s="552"/>
      <c r="PPM137" s="548"/>
      <c r="PPN137" s="552"/>
      <c r="PPO137" s="552"/>
      <c r="PPP137" s="552"/>
      <c r="PPQ137" s="552"/>
      <c r="PPR137" s="548"/>
      <c r="PPS137" s="553"/>
      <c r="PPT137" s="553"/>
      <c r="PPU137" s="553"/>
      <c r="PPV137" s="8"/>
      <c r="PPW137" s="8"/>
      <c r="PPX137" s="458"/>
      <c r="PPY137" s="8"/>
      <c r="PPZ137" s="8"/>
      <c r="PQA137" s="547"/>
      <c r="PQB137" s="547"/>
      <c r="PQC137" s="547"/>
      <c r="PQD137" s="547"/>
      <c r="PQE137" s="548"/>
      <c r="PQF137" s="547"/>
      <c r="PQG137" s="547"/>
      <c r="PQH137" s="547"/>
      <c r="PQI137" s="547"/>
      <c r="PQJ137" s="548"/>
      <c r="PQK137" s="547"/>
      <c r="PQL137" s="547"/>
      <c r="PQM137" s="547"/>
      <c r="PQN137" s="547"/>
      <c r="PQO137" s="548"/>
      <c r="PQP137" s="547"/>
      <c r="PQQ137" s="547"/>
      <c r="PQR137" s="547"/>
      <c r="PQS137" s="552"/>
      <c r="PQT137" s="548"/>
      <c r="PQU137" s="552"/>
      <c r="PQV137" s="552"/>
      <c r="PQW137" s="552"/>
      <c r="PQX137" s="552"/>
      <c r="PQY137" s="548"/>
      <c r="PQZ137" s="553"/>
      <c r="PRA137" s="553"/>
      <c r="PRB137" s="553"/>
      <c r="PRC137" s="8"/>
      <c r="PRD137" s="8"/>
      <c r="PRE137" s="458"/>
      <c r="PRF137" s="8"/>
      <c r="PRG137" s="8"/>
      <c r="PRH137" s="547"/>
      <c r="PRI137" s="547"/>
      <c r="PRJ137" s="547"/>
      <c r="PRK137" s="547"/>
      <c r="PRL137" s="548"/>
      <c r="PRM137" s="547"/>
      <c r="PRN137" s="547"/>
      <c r="PRO137" s="547"/>
      <c r="PRP137" s="547"/>
      <c r="PRQ137" s="548"/>
      <c r="PRR137" s="547"/>
      <c r="PRS137" s="547"/>
      <c r="PRT137" s="547"/>
      <c r="PRU137" s="547"/>
      <c r="PRV137" s="548"/>
      <c r="PRW137" s="547"/>
      <c r="PRX137" s="547"/>
      <c r="PRY137" s="547"/>
      <c r="PRZ137" s="552"/>
      <c r="PSA137" s="548"/>
      <c r="PSB137" s="552"/>
      <c r="PSC137" s="552"/>
      <c r="PSD137" s="552"/>
      <c r="PSE137" s="552"/>
      <c r="PSF137" s="548"/>
      <c r="PSG137" s="553"/>
      <c r="PSH137" s="553"/>
      <c r="PSI137" s="553"/>
      <c r="PSJ137" s="8"/>
      <c r="PSK137" s="8"/>
      <c r="PSL137" s="458"/>
      <c r="PSM137" s="8"/>
      <c r="PSN137" s="8"/>
      <c r="PSO137" s="547"/>
      <c r="PSP137" s="547"/>
      <c r="PSQ137" s="547"/>
      <c r="PSR137" s="547"/>
      <c r="PSS137" s="548"/>
      <c r="PST137" s="547"/>
      <c r="PSU137" s="547"/>
      <c r="PSV137" s="547"/>
      <c r="PSW137" s="547"/>
      <c r="PSX137" s="548"/>
      <c r="PSY137" s="547"/>
      <c r="PSZ137" s="547"/>
      <c r="PTA137" s="547"/>
      <c r="PTB137" s="547"/>
      <c r="PTC137" s="548"/>
      <c r="PTD137" s="547"/>
      <c r="PTE137" s="547"/>
      <c r="PTF137" s="547"/>
      <c r="PTG137" s="552"/>
      <c r="PTH137" s="548"/>
      <c r="PTI137" s="552"/>
      <c r="PTJ137" s="552"/>
      <c r="PTK137" s="552"/>
      <c r="PTL137" s="552"/>
      <c r="PTM137" s="548"/>
      <c r="PTN137" s="553"/>
      <c r="PTO137" s="553"/>
      <c r="PTP137" s="553"/>
      <c r="PTQ137" s="8"/>
      <c r="PTR137" s="8"/>
      <c r="PTS137" s="458"/>
      <c r="PTT137" s="8"/>
      <c r="PTU137" s="8"/>
      <c r="PTV137" s="547"/>
      <c r="PTW137" s="547"/>
      <c r="PTX137" s="547"/>
      <c r="PTY137" s="547"/>
      <c r="PTZ137" s="548"/>
      <c r="PUA137" s="547"/>
      <c r="PUB137" s="547"/>
      <c r="PUC137" s="547"/>
      <c r="PUD137" s="547"/>
      <c r="PUE137" s="548"/>
      <c r="PUF137" s="547"/>
      <c r="PUG137" s="547"/>
      <c r="PUH137" s="547"/>
      <c r="PUI137" s="547"/>
      <c r="PUJ137" s="548"/>
      <c r="PUK137" s="547"/>
      <c r="PUL137" s="547"/>
      <c r="PUM137" s="547"/>
      <c r="PUN137" s="552"/>
      <c r="PUO137" s="548"/>
      <c r="PUP137" s="552"/>
      <c r="PUQ137" s="552"/>
      <c r="PUR137" s="552"/>
      <c r="PUS137" s="552"/>
      <c r="PUT137" s="548"/>
      <c r="PUU137" s="553"/>
      <c r="PUV137" s="553"/>
      <c r="PUW137" s="553"/>
      <c r="PUX137" s="8"/>
      <c r="PUY137" s="8"/>
      <c r="PUZ137" s="458"/>
      <c r="PVA137" s="8"/>
      <c r="PVB137" s="8"/>
      <c r="PVC137" s="547"/>
      <c r="PVD137" s="547"/>
      <c r="PVE137" s="547"/>
      <c r="PVF137" s="547"/>
      <c r="PVG137" s="548"/>
      <c r="PVH137" s="547"/>
      <c r="PVI137" s="547"/>
      <c r="PVJ137" s="547"/>
      <c r="PVK137" s="547"/>
      <c r="PVL137" s="548"/>
      <c r="PVM137" s="547"/>
      <c r="PVN137" s="547"/>
      <c r="PVO137" s="547"/>
      <c r="PVP137" s="547"/>
      <c r="PVQ137" s="548"/>
      <c r="PVR137" s="547"/>
      <c r="PVS137" s="547"/>
      <c r="PVT137" s="547"/>
      <c r="PVU137" s="552"/>
      <c r="PVV137" s="548"/>
      <c r="PVW137" s="552"/>
      <c r="PVX137" s="552"/>
      <c r="PVY137" s="552"/>
      <c r="PVZ137" s="552"/>
      <c r="PWA137" s="548"/>
      <c r="PWB137" s="553"/>
      <c r="PWC137" s="553"/>
      <c r="PWD137" s="553"/>
      <c r="PWE137" s="8"/>
      <c r="PWF137" s="8"/>
      <c r="PWG137" s="458"/>
      <c r="PWH137" s="8"/>
      <c r="PWI137" s="8"/>
      <c r="PWJ137" s="547"/>
      <c r="PWK137" s="547"/>
      <c r="PWL137" s="547"/>
      <c r="PWM137" s="547"/>
      <c r="PWN137" s="548"/>
      <c r="PWO137" s="547"/>
      <c r="PWP137" s="547"/>
      <c r="PWQ137" s="547"/>
      <c r="PWR137" s="547"/>
      <c r="PWS137" s="548"/>
      <c r="PWT137" s="547"/>
      <c r="PWU137" s="547"/>
      <c r="PWV137" s="547"/>
      <c r="PWW137" s="547"/>
      <c r="PWX137" s="548"/>
      <c r="PWY137" s="547"/>
      <c r="PWZ137" s="547"/>
      <c r="PXA137" s="547"/>
      <c r="PXB137" s="552"/>
      <c r="PXC137" s="548"/>
      <c r="PXD137" s="552"/>
      <c r="PXE137" s="552"/>
      <c r="PXF137" s="552"/>
      <c r="PXG137" s="552"/>
      <c r="PXH137" s="548"/>
      <c r="PXI137" s="553"/>
      <c r="PXJ137" s="553"/>
      <c r="PXK137" s="553"/>
      <c r="PXL137" s="8"/>
      <c r="PXM137" s="8"/>
      <c r="PXN137" s="458"/>
      <c r="PXO137" s="8"/>
      <c r="PXP137" s="8"/>
      <c r="PXQ137" s="547"/>
      <c r="PXR137" s="547"/>
      <c r="PXS137" s="547"/>
      <c r="PXT137" s="547"/>
      <c r="PXU137" s="548"/>
      <c r="PXV137" s="547"/>
      <c r="PXW137" s="547"/>
      <c r="PXX137" s="547"/>
      <c r="PXY137" s="547"/>
      <c r="PXZ137" s="548"/>
      <c r="PYA137" s="547"/>
      <c r="PYB137" s="547"/>
      <c r="PYC137" s="547"/>
      <c r="PYD137" s="547"/>
      <c r="PYE137" s="548"/>
      <c r="PYF137" s="547"/>
      <c r="PYG137" s="547"/>
      <c r="PYH137" s="547"/>
      <c r="PYI137" s="552"/>
      <c r="PYJ137" s="548"/>
      <c r="PYK137" s="552"/>
      <c r="PYL137" s="552"/>
      <c r="PYM137" s="552"/>
      <c r="PYN137" s="552"/>
      <c r="PYO137" s="548"/>
      <c r="PYP137" s="553"/>
      <c r="PYQ137" s="553"/>
      <c r="PYR137" s="553"/>
      <c r="PYS137" s="8"/>
      <c r="PYT137" s="8"/>
      <c r="PYU137" s="458"/>
      <c r="PYV137" s="8"/>
      <c r="PYW137" s="8"/>
      <c r="PYX137" s="547"/>
      <c r="PYY137" s="547"/>
      <c r="PYZ137" s="547"/>
      <c r="PZA137" s="547"/>
      <c r="PZB137" s="548"/>
      <c r="PZC137" s="547"/>
      <c r="PZD137" s="547"/>
      <c r="PZE137" s="547"/>
      <c r="PZF137" s="547"/>
      <c r="PZG137" s="548"/>
      <c r="PZH137" s="547"/>
      <c r="PZI137" s="547"/>
      <c r="PZJ137" s="547"/>
      <c r="PZK137" s="547"/>
      <c r="PZL137" s="548"/>
      <c r="PZM137" s="547"/>
      <c r="PZN137" s="547"/>
      <c r="PZO137" s="547"/>
      <c r="PZP137" s="552"/>
      <c r="PZQ137" s="548"/>
      <c r="PZR137" s="552"/>
      <c r="PZS137" s="552"/>
      <c r="PZT137" s="552"/>
      <c r="PZU137" s="552"/>
      <c r="PZV137" s="548"/>
      <c r="PZW137" s="553"/>
      <c r="PZX137" s="553"/>
      <c r="PZY137" s="553"/>
      <c r="PZZ137" s="8"/>
      <c r="QAA137" s="8"/>
      <c r="QAB137" s="458"/>
      <c r="QAC137" s="8"/>
      <c r="QAD137" s="8"/>
      <c r="QAE137" s="547"/>
      <c r="QAF137" s="547"/>
      <c r="QAG137" s="547"/>
      <c r="QAH137" s="547"/>
      <c r="QAI137" s="548"/>
      <c r="QAJ137" s="547"/>
      <c r="QAK137" s="547"/>
      <c r="QAL137" s="547"/>
      <c r="QAM137" s="547"/>
      <c r="QAN137" s="548"/>
      <c r="QAO137" s="547"/>
      <c r="QAP137" s="547"/>
      <c r="QAQ137" s="547"/>
      <c r="QAR137" s="547"/>
      <c r="QAS137" s="548"/>
      <c r="QAT137" s="547"/>
      <c r="QAU137" s="547"/>
      <c r="QAV137" s="547"/>
      <c r="QAW137" s="552"/>
      <c r="QAX137" s="548"/>
      <c r="QAY137" s="552"/>
      <c r="QAZ137" s="552"/>
      <c r="QBA137" s="552"/>
      <c r="QBB137" s="552"/>
      <c r="QBC137" s="548"/>
      <c r="QBD137" s="553"/>
      <c r="QBE137" s="553"/>
      <c r="QBF137" s="553"/>
      <c r="QBG137" s="8"/>
      <c r="QBH137" s="8"/>
      <c r="QBI137" s="458"/>
      <c r="QBJ137" s="8"/>
      <c r="QBK137" s="8"/>
      <c r="QBL137" s="547"/>
      <c r="QBM137" s="547"/>
      <c r="QBN137" s="547"/>
      <c r="QBO137" s="547"/>
      <c r="QBP137" s="548"/>
      <c r="QBQ137" s="547"/>
      <c r="QBR137" s="547"/>
      <c r="QBS137" s="547"/>
      <c r="QBT137" s="547"/>
      <c r="QBU137" s="548"/>
      <c r="QBV137" s="547"/>
      <c r="QBW137" s="547"/>
      <c r="QBX137" s="547"/>
      <c r="QBY137" s="547"/>
      <c r="QBZ137" s="548"/>
      <c r="QCA137" s="547"/>
      <c r="QCB137" s="547"/>
      <c r="QCC137" s="547"/>
      <c r="QCD137" s="552"/>
      <c r="QCE137" s="548"/>
      <c r="QCF137" s="552"/>
      <c r="QCG137" s="552"/>
      <c r="QCH137" s="552"/>
      <c r="QCI137" s="552"/>
      <c r="QCJ137" s="548"/>
      <c r="QCK137" s="553"/>
      <c r="QCL137" s="553"/>
      <c r="QCM137" s="553"/>
      <c r="QCN137" s="8"/>
      <c r="QCO137" s="8"/>
      <c r="QCP137" s="458"/>
      <c r="QCQ137" s="8"/>
      <c r="QCR137" s="8"/>
      <c r="QCS137" s="547"/>
      <c r="QCT137" s="547"/>
      <c r="QCU137" s="547"/>
      <c r="QCV137" s="547"/>
      <c r="QCW137" s="548"/>
      <c r="QCX137" s="547"/>
      <c r="QCY137" s="547"/>
      <c r="QCZ137" s="547"/>
      <c r="QDA137" s="547"/>
      <c r="QDB137" s="548"/>
      <c r="QDC137" s="547"/>
      <c r="QDD137" s="547"/>
      <c r="QDE137" s="547"/>
      <c r="QDF137" s="547"/>
      <c r="QDG137" s="548"/>
      <c r="QDH137" s="547"/>
      <c r="QDI137" s="547"/>
      <c r="QDJ137" s="547"/>
      <c r="QDK137" s="552"/>
      <c r="QDL137" s="548"/>
      <c r="QDM137" s="552"/>
      <c r="QDN137" s="552"/>
      <c r="QDO137" s="552"/>
      <c r="QDP137" s="552"/>
      <c r="QDQ137" s="548"/>
      <c r="QDR137" s="553"/>
      <c r="QDS137" s="553"/>
      <c r="QDT137" s="553"/>
      <c r="QDU137" s="8"/>
      <c r="QDV137" s="8"/>
      <c r="QDW137" s="458"/>
      <c r="QDX137" s="8"/>
      <c r="QDY137" s="8"/>
      <c r="QDZ137" s="547"/>
      <c r="QEA137" s="547"/>
      <c r="QEB137" s="547"/>
      <c r="QEC137" s="547"/>
      <c r="QED137" s="548"/>
      <c r="QEE137" s="547"/>
      <c r="QEF137" s="547"/>
      <c r="QEG137" s="547"/>
      <c r="QEH137" s="547"/>
      <c r="QEI137" s="548"/>
      <c r="QEJ137" s="547"/>
      <c r="QEK137" s="547"/>
      <c r="QEL137" s="547"/>
      <c r="QEM137" s="547"/>
      <c r="QEN137" s="548"/>
      <c r="QEO137" s="547"/>
      <c r="QEP137" s="547"/>
      <c r="QEQ137" s="547"/>
      <c r="QER137" s="552"/>
      <c r="QES137" s="548"/>
      <c r="QET137" s="552"/>
      <c r="QEU137" s="552"/>
      <c r="QEV137" s="552"/>
      <c r="QEW137" s="552"/>
      <c r="QEX137" s="548"/>
      <c r="QEY137" s="553"/>
      <c r="QEZ137" s="553"/>
      <c r="QFA137" s="553"/>
      <c r="QFB137" s="8"/>
      <c r="QFC137" s="8"/>
      <c r="QFD137" s="458"/>
      <c r="QFE137" s="8"/>
      <c r="QFF137" s="8"/>
      <c r="QFG137" s="547"/>
      <c r="QFH137" s="547"/>
      <c r="QFI137" s="547"/>
      <c r="QFJ137" s="547"/>
      <c r="QFK137" s="548"/>
      <c r="QFL137" s="547"/>
      <c r="QFM137" s="547"/>
      <c r="QFN137" s="547"/>
      <c r="QFO137" s="547"/>
      <c r="QFP137" s="548"/>
      <c r="QFQ137" s="547"/>
      <c r="QFR137" s="547"/>
      <c r="QFS137" s="547"/>
      <c r="QFT137" s="547"/>
      <c r="QFU137" s="548"/>
      <c r="QFV137" s="547"/>
      <c r="QFW137" s="547"/>
      <c r="QFX137" s="547"/>
      <c r="QFY137" s="552"/>
      <c r="QFZ137" s="548"/>
      <c r="QGA137" s="552"/>
      <c r="QGB137" s="552"/>
      <c r="QGC137" s="552"/>
      <c r="QGD137" s="552"/>
      <c r="QGE137" s="548"/>
      <c r="QGF137" s="553"/>
      <c r="QGG137" s="553"/>
      <c r="QGH137" s="553"/>
      <c r="QGI137" s="8"/>
      <c r="QGJ137" s="8"/>
      <c r="QGK137" s="458"/>
      <c r="QGL137" s="8"/>
      <c r="QGM137" s="8"/>
      <c r="QGN137" s="547"/>
      <c r="QGO137" s="547"/>
      <c r="QGP137" s="547"/>
      <c r="QGQ137" s="547"/>
      <c r="QGR137" s="548"/>
      <c r="QGS137" s="547"/>
      <c r="QGT137" s="547"/>
      <c r="QGU137" s="547"/>
      <c r="QGV137" s="547"/>
      <c r="QGW137" s="548"/>
      <c r="QGX137" s="547"/>
      <c r="QGY137" s="547"/>
      <c r="QGZ137" s="547"/>
      <c r="QHA137" s="547"/>
      <c r="QHB137" s="548"/>
      <c r="QHC137" s="547"/>
      <c r="QHD137" s="547"/>
      <c r="QHE137" s="547"/>
      <c r="QHF137" s="552"/>
      <c r="QHG137" s="548"/>
      <c r="QHH137" s="552"/>
      <c r="QHI137" s="552"/>
      <c r="QHJ137" s="552"/>
      <c r="QHK137" s="552"/>
      <c r="QHL137" s="548"/>
      <c r="QHM137" s="553"/>
      <c r="QHN137" s="553"/>
      <c r="QHO137" s="553"/>
      <c r="QHP137" s="8"/>
      <c r="QHQ137" s="8"/>
      <c r="QHR137" s="458"/>
      <c r="QHS137" s="8"/>
      <c r="QHT137" s="8"/>
      <c r="QHU137" s="547"/>
      <c r="QHV137" s="547"/>
      <c r="QHW137" s="547"/>
      <c r="QHX137" s="547"/>
      <c r="QHY137" s="548"/>
      <c r="QHZ137" s="547"/>
      <c r="QIA137" s="547"/>
      <c r="QIB137" s="547"/>
      <c r="QIC137" s="547"/>
      <c r="QID137" s="548"/>
      <c r="QIE137" s="547"/>
      <c r="QIF137" s="547"/>
      <c r="QIG137" s="547"/>
      <c r="QIH137" s="547"/>
      <c r="QII137" s="548"/>
      <c r="QIJ137" s="547"/>
      <c r="QIK137" s="547"/>
      <c r="QIL137" s="547"/>
      <c r="QIM137" s="552"/>
      <c r="QIN137" s="548"/>
      <c r="QIO137" s="552"/>
      <c r="QIP137" s="552"/>
      <c r="QIQ137" s="552"/>
      <c r="QIR137" s="552"/>
      <c r="QIS137" s="548"/>
      <c r="QIT137" s="553"/>
      <c r="QIU137" s="553"/>
      <c r="QIV137" s="553"/>
      <c r="QIW137" s="8"/>
      <c r="QIX137" s="8"/>
      <c r="QIY137" s="458"/>
      <c r="QIZ137" s="8"/>
      <c r="QJA137" s="8"/>
      <c r="QJB137" s="547"/>
      <c r="QJC137" s="547"/>
      <c r="QJD137" s="547"/>
      <c r="QJE137" s="547"/>
      <c r="QJF137" s="548"/>
      <c r="QJG137" s="547"/>
      <c r="QJH137" s="547"/>
      <c r="QJI137" s="547"/>
      <c r="QJJ137" s="547"/>
      <c r="QJK137" s="548"/>
      <c r="QJL137" s="547"/>
      <c r="QJM137" s="547"/>
      <c r="QJN137" s="547"/>
      <c r="QJO137" s="547"/>
      <c r="QJP137" s="548"/>
      <c r="QJQ137" s="547"/>
      <c r="QJR137" s="547"/>
      <c r="QJS137" s="547"/>
      <c r="QJT137" s="552"/>
      <c r="QJU137" s="548"/>
      <c r="QJV137" s="552"/>
      <c r="QJW137" s="552"/>
      <c r="QJX137" s="552"/>
      <c r="QJY137" s="552"/>
      <c r="QJZ137" s="548"/>
      <c r="QKA137" s="553"/>
      <c r="QKB137" s="553"/>
      <c r="QKC137" s="553"/>
      <c r="QKD137" s="8"/>
      <c r="QKE137" s="8"/>
      <c r="QKF137" s="458"/>
      <c r="QKG137" s="8"/>
      <c r="QKH137" s="8"/>
      <c r="QKI137" s="547"/>
      <c r="QKJ137" s="547"/>
      <c r="QKK137" s="547"/>
      <c r="QKL137" s="547"/>
      <c r="QKM137" s="548"/>
      <c r="QKN137" s="547"/>
      <c r="QKO137" s="547"/>
      <c r="QKP137" s="547"/>
      <c r="QKQ137" s="547"/>
      <c r="QKR137" s="548"/>
      <c r="QKS137" s="547"/>
      <c r="QKT137" s="547"/>
      <c r="QKU137" s="547"/>
      <c r="QKV137" s="547"/>
      <c r="QKW137" s="548"/>
      <c r="QKX137" s="547"/>
      <c r="QKY137" s="547"/>
      <c r="QKZ137" s="547"/>
      <c r="QLA137" s="552"/>
      <c r="QLB137" s="548"/>
      <c r="QLC137" s="552"/>
      <c r="QLD137" s="552"/>
      <c r="QLE137" s="552"/>
      <c r="QLF137" s="552"/>
      <c r="QLG137" s="548"/>
      <c r="QLH137" s="553"/>
      <c r="QLI137" s="553"/>
      <c r="QLJ137" s="553"/>
      <c r="QLK137" s="8"/>
      <c r="QLL137" s="8"/>
      <c r="QLM137" s="458"/>
      <c r="QLN137" s="8"/>
      <c r="QLO137" s="8"/>
      <c r="QLP137" s="547"/>
      <c r="QLQ137" s="547"/>
      <c r="QLR137" s="547"/>
      <c r="QLS137" s="547"/>
      <c r="QLT137" s="548"/>
      <c r="QLU137" s="547"/>
      <c r="QLV137" s="547"/>
      <c r="QLW137" s="547"/>
      <c r="QLX137" s="547"/>
      <c r="QLY137" s="548"/>
      <c r="QLZ137" s="547"/>
      <c r="QMA137" s="547"/>
      <c r="QMB137" s="547"/>
      <c r="QMC137" s="547"/>
      <c r="QMD137" s="548"/>
      <c r="QME137" s="547"/>
      <c r="QMF137" s="547"/>
      <c r="QMG137" s="547"/>
      <c r="QMH137" s="552"/>
      <c r="QMI137" s="548"/>
      <c r="QMJ137" s="552"/>
      <c r="QMK137" s="552"/>
      <c r="QML137" s="552"/>
      <c r="QMM137" s="552"/>
      <c r="QMN137" s="548"/>
      <c r="QMO137" s="553"/>
      <c r="QMP137" s="553"/>
      <c r="QMQ137" s="553"/>
      <c r="QMR137" s="8"/>
      <c r="QMS137" s="8"/>
      <c r="QMT137" s="458"/>
      <c r="QMU137" s="8"/>
      <c r="QMV137" s="8"/>
      <c r="QMW137" s="547"/>
      <c r="QMX137" s="547"/>
      <c r="QMY137" s="547"/>
      <c r="QMZ137" s="547"/>
      <c r="QNA137" s="548"/>
      <c r="QNB137" s="547"/>
      <c r="QNC137" s="547"/>
      <c r="QND137" s="547"/>
      <c r="QNE137" s="547"/>
      <c r="QNF137" s="548"/>
      <c r="QNG137" s="547"/>
      <c r="QNH137" s="547"/>
      <c r="QNI137" s="547"/>
      <c r="QNJ137" s="547"/>
      <c r="QNK137" s="548"/>
      <c r="QNL137" s="547"/>
      <c r="QNM137" s="547"/>
      <c r="QNN137" s="547"/>
      <c r="QNO137" s="552"/>
      <c r="QNP137" s="548"/>
      <c r="QNQ137" s="552"/>
      <c r="QNR137" s="552"/>
      <c r="QNS137" s="552"/>
      <c r="QNT137" s="552"/>
      <c r="QNU137" s="548"/>
      <c r="QNV137" s="553"/>
      <c r="QNW137" s="553"/>
      <c r="QNX137" s="553"/>
      <c r="QNY137" s="8"/>
      <c r="QNZ137" s="8"/>
      <c r="QOA137" s="458"/>
      <c r="QOB137" s="8"/>
      <c r="QOC137" s="8"/>
      <c r="QOD137" s="547"/>
      <c r="QOE137" s="547"/>
      <c r="QOF137" s="547"/>
      <c r="QOG137" s="547"/>
      <c r="QOH137" s="548"/>
      <c r="QOI137" s="547"/>
      <c r="QOJ137" s="547"/>
      <c r="QOK137" s="547"/>
      <c r="QOL137" s="547"/>
      <c r="QOM137" s="548"/>
      <c r="QON137" s="547"/>
      <c r="QOO137" s="547"/>
      <c r="QOP137" s="547"/>
      <c r="QOQ137" s="547"/>
      <c r="QOR137" s="548"/>
      <c r="QOS137" s="547"/>
      <c r="QOT137" s="547"/>
      <c r="QOU137" s="547"/>
      <c r="QOV137" s="552"/>
      <c r="QOW137" s="548"/>
      <c r="QOX137" s="552"/>
      <c r="QOY137" s="552"/>
      <c r="QOZ137" s="552"/>
      <c r="QPA137" s="552"/>
      <c r="QPB137" s="548"/>
      <c r="QPC137" s="553"/>
      <c r="QPD137" s="553"/>
      <c r="QPE137" s="553"/>
      <c r="QPF137" s="8"/>
      <c r="QPG137" s="8"/>
      <c r="QPH137" s="458"/>
      <c r="QPI137" s="8"/>
      <c r="QPJ137" s="8"/>
      <c r="QPK137" s="547"/>
      <c r="QPL137" s="547"/>
      <c r="QPM137" s="547"/>
      <c r="QPN137" s="547"/>
      <c r="QPO137" s="548"/>
      <c r="QPP137" s="547"/>
      <c r="QPQ137" s="547"/>
      <c r="QPR137" s="547"/>
      <c r="QPS137" s="547"/>
      <c r="QPT137" s="548"/>
      <c r="QPU137" s="547"/>
      <c r="QPV137" s="547"/>
      <c r="QPW137" s="547"/>
      <c r="QPX137" s="547"/>
      <c r="QPY137" s="548"/>
      <c r="QPZ137" s="547"/>
      <c r="QQA137" s="547"/>
      <c r="QQB137" s="547"/>
      <c r="QQC137" s="552"/>
      <c r="QQD137" s="548"/>
      <c r="QQE137" s="552"/>
      <c r="QQF137" s="552"/>
      <c r="QQG137" s="552"/>
      <c r="QQH137" s="552"/>
      <c r="QQI137" s="548"/>
      <c r="QQJ137" s="553"/>
      <c r="QQK137" s="553"/>
      <c r="QQL137" s="553"/>
      <c r="QQM137" s="8"/>
      <c r="QQN137" s="8"/>
      <c r="QQO137" s="458"/>
      <c r="QQP137" s="8"/>
      <c r="QQQ137" s="8"/>
      <c r="QQR137" s="547"/>
      <c r="QQS137" s="547"/>
      <c r="QQT137" s="547"/>
      <c r="QQU137" s="547"/>
      <c r="QQV137" s="548"/>
      <c r="QQW137" s="547"/>
      <c r="QQX137" s="547"/>
      <c r="QQY137" s="547"/>
      <c r="QQZ137" s="547"/>
      <c r="QRA137" s="548"/>
      <c r="QRB137" s="547"/>
      <c r="QRC137" s="547"/>
      <c r="QRD137" s="547"/>
      <c r="QRE137" s="547"/>
      <c r="QRF137" s="548"/>
      <c r="QRG137" s="547"/>
      <c r="QRH137" s="547"/>
      <c r="QRI137" s="547"/>
      <c r="QRJ137" s="552"/>
      <c r="QRK137" s="548"/>
      <c r="QRL137" s="552"/>
      <c r="QRM137" s="552"/>
      <c r="QRN137" s="552"/>
      <c r="QRO137" s="552"/>
      <c r="QRP137" s="548"/>
      <c r="QRQ137" s="553"/>
      <c r="QRR137" s="553"/>
      <c r="QRS137" s="553"/>
      <c r="QRT137" s="8"/>
      <c r="QRU137" s="8"/>
      <c r="QRV137" s="458"/>
      <c r="QRW137" s="8"/>
      <c r="QRX137" s="8"/>
      <c r="QRY137" s="547"/>
      <c r="QRZ137" s="547"/>
      <c r="QSA137" s="547"/>
      <c r="QSB137" s="547"/>
      <c r="QSC137" s="548"/>
      <c r="QSD137" s="547"/>
      <c r="QSE137" s="547"/>
      <c r="QSF137" s="547"/>
      <c r="QSG137" s="547"/>
      <c r="QSH137" s="548"/>
      <c r="QSI137" s="547"/>
      <c r="QSJ137" s="547"/>
      <c r="QSK137" s="547"/>
      <c r="QSL137" s="547"/>
      <c r="QSM137" s="548"/>
      <c r="QSN137" s="547"/>
      <c r="QSO137" s="547"/>
      <c r="QSP137" s="547"/>
      <c r="QSQ137" s="552"/>
      <c r="QSR137" s="548"/>
      <c r="QSS137" s="552"/>
      <c r="QST137" s="552"/>
      <c r="QSU137" s="552"/>
      <c r="QSV137" s="552"/>
      <c r="QSW137" s="548"/>
      <c r="QSX137" s="553"/>
      <c r="QSY137" s="553"/>
      <c r="QSZ137" s="553"/>
      <c r="QTA137" s="8"/>
      <c r="QTB137" s="8"/>
      <c r="QTC137" s="458"/>
      <c r="QTD137" s="8"/>
      <c r="QTE137" s="8"/>
      <c r="QTF137" s="547"/>
      <c r="QTG137" s="547"/>
      <c r="QTH137" s="547"/>
      <c r="QTI137" s="547"/>
      <c r="QTJ137" s="548"/>
      <c r="QTK137" s="547"/>
      <c r="QTL137" s="547"/>
      <c r="QTM137" s="547"/>
      <c r="QTN137" s="547"/>
      <c r="QTO137" s="548"/>
      <c r="QTP137" s="547"/>
      <c r="QTQ137" s="547"/>
      <c r="QTR137" s="547"/>
      <c r="QTS137" s="547"/>
      <c r="QTT137" s="548"/>
      <c r="QTU137" s="547"/>
      <c r="QTV137" s="547"/>
      <c r="QTW137" s="547"/>
      <c r="QTX137" s="552"/>
      <c r="QTY137" s="548"/>
      <c r="QTZ137" s="552"/>
      <c r="QUA137" s="552"/>
      <c r="QUB137" s="552"/>
      <c r="QUC137" s="552"/>
      <c r="QUD137" s="548"/>
      <c r="QUE137" s="553"/>
      <c r="QUF137" s="553"/>
      <c r="QUG137" s="553"/>
      <c r="QUH137" s="8"/>
      <c r="QUI137" s="8"/>
      <c r="QUJ137" s="458"/>
      <c r="QUK137" s="8"/>
      <c r="QUL137" s="8"/>
      <c r="QUM137" s="547"/>
      <c r="QUN137" s="547"/>
      <c r="QUO137" s="547"/>
      <c r="QUP137" s="547"/>
      <c r="QUQ137" s="548"/>
      <c r="QUR137" s="547"/>
      <c r="QUS137" s="547"/>
      <c r="QUT137" s="547"/>
      <c r="QUU137" s="547"/>
      <c r="QUV137" s="548"/>
      <c r="QUW137" s="547"/>
      <c r="QUX137" s="547"/>
      <c r="QUY137" s="547"/>
      <c r="QUZ137" s="547"/>
      <c r="QVA137" s="548"/>
      <c r="QVB137" s="547"/>
      <c r="QVC137" s="547"/>
      <c r="QVD137" s="547"/>
      <c r="QVE137" s="552"/>
      <c r="QVF137" s="548"/>
      <c r="QVG137" s="552"/>
      <c r="QVH137" s="552"/>
      <c r="QVI137" s="552"/>
      <c r="QVJ137" s="552"/>
      <c r="QVK137" s="548"/>
      <c r="QVL137" s="553"/>
      <c r="QVM137" s="553"/>
      <c r="QVN137" s="553"/>
      <c r="QVO137" s="8"/>
      <c r="QVP137" s="8"/>
      <c r="QVQ137" s="458"/>
      <c r="QVR137" s="8"/>
      <c r="QVS137" s="8"/>
      <c r="QVT137" s="547"/>
      <c r="QVU137" s="547"/>
      <c r="QVV137" s="547"/>
      <c r="QVW137" s="547"/>
      <c r="QVX137" s="548"/>
      <c r="QVY137" s="547"/>
      <c r="QVZ137" s="547"/>
      <c r="QWA137" s="547"/>
      <c r="QWB137" s="547"/>
      <c r="QWC137" s="548"/>
      <c r="QWD137" s="547"/>
      <c r="QWE137" s="547"/>
      <c r="QWF137" s="547"/>
      <c r="QWG137" s="547"/>
      <c r="QWH137" s="548"/>
      <c r="QWI137" s="547"/>
      <c r="QWJ137" s="547"/>
      <c r="QWK137" s="547"/>
      <c r="QWL137" s="552"/>
      <c r="QWM137" s="548"/>
      <c r="QWN137" s="552"/>
      <c r="QWO137" s="552"/>
      <c r="QWP137" s="552"/>
      <c r="QWQ137" s="552"/>
      <c r="QWR137" s="548"/>
      <c r="QWS137" s="553"/>
      <c r="QWT137" s="553"/>
      <c r="QWU137" s="553"/>
      <c r="QWV137" s="8"/>
      <c r="QWW137" s="8"/>
      <c r="QWX137" s="458"/>
      <c r="QWY137" s="8"/>
      <c r="QWZ137" s="8"/>
      <c r="QXA137" s="547"/>
      <c r="QXB137" s="547"/>
      <c r="QXC137" s="547"/>
      <c r="QXD137" s="547"/>
      <c r="QXE137" s="548"/>
      <c r="QXF137" s="547"/>
      <c r="QXG137" s="547"/>
      <c r="QXH137" s="547"/>
      <c r="QXI137" s="547"/>
      <c r="QXJ137" s="548"/>
      <c r="QXK137" s="547"/>
      <c r="QXL137" s="547"/>
      <c r="QXM137" s="547"/>
      <c r="QXN137" s="547"/>
      <c r="QXO137" s="548"/>
      <c r="QXP137" s="547"/>
      <c r="QXQ137" s="547"/>
      <c r="QXR137" s="547"/>
      <c r="QXS137" s="552"/>
      <c r="QXT137" s="548"/>
      <c r="QXU137" s="552"/>
      <c r="QXV137" s="552"/>
      <c r="QXW137" s="552"/>
      <c r="QXX137" s="552"/>
      <c r="QXY137" s="548"/>
      <c r="QXZ137" s="553"/>
      <c r="QYA137" s="553"/>
      <c r="QYB137" s="553"/>
      <c r="QYC137" s="8"/>
      <c r="QYD137" s="8"/>
      <c r="QYE137" s="458"/>
      <c r="QYF137" s="8"/>
      <c r="QYG137" s="8"/>
      <c r="QYH137" s="547"/>
      <c r="QYI137" s="547"/>
      <c r="QYJ137" s="547"/>
      <c r="QYK137" s="547"/>
      <c r="QYL137" s="548"/>
      <c r="QYM137" s="547"/>
      <c r="QYN137" s="547"/>
      <c r="QYO137" s="547"/>
      <c r="QYP137" s="547"/>
      <c r="QYQ137" s="548"/>
      <c r="QYR137" s="547"/>
      <c r="QYS137" s="547"/>
      <c r="QYT137" s="547"/>
      <c r="QYU137" s="547"/>
      <c r="QYV137" s="548"/>
      <c r="QYW137" s="547"/>
      <c r="QYX137" s="547"/>
      <c r="QYY137" s="547"/>
      <c r="QYZ137" s="552"/>
      <c r="QZA137" s="548"/>
      <c r="QZB137" s="552"/>
      <c r="QZC137" s="552"/>
      <c r="QZD137" s="552"/>
      <c r="QZE137" s="552"/>
      <c r="QZF137" s="548"/>
      <c r="QZG137" s="553"/>
      <c r="QZH137" s="553"/>
      <c r="QZI137" s="553"/>
      <c r="QZJ137" s="8"/>
      <c r="QZK137" s="8"/>
      <c r="QZL137" s="458"/>
      <c r="QZM137" s="8"/>
      <c r="QZN137" s="8"/>
      <c r="QZO137" s="547"/>
      <c r="QZP137" s="547"/>
      <c r="QZQ137" s="547"/>
      <c r="QZR137" s="547"/>
      <c r="QZS137" s="548"/>
      <c r="QZT137" s="547"/>
      <c r="QZU137" s="547"/>
      <c r="QZV137" s="547"/>
      <c r="QZW137" s="547"/>
      <c r="QZX137" s="548"/>
      <c r="QZY137" s="547"/>
      <c r="QZZ137" s="547"/>
      <c r="RAA137" s="547"/>
      <c r="RAB137" s="547"/>
      <c r="RAC137" s="548"/>
      <c r="RAD137" s="547"/>
      <c r="RAE137" s="547"/>
      <c r="RAF137" s="547"/>
      <c r="RAG137" s="552"/>
      <c r="RAH137" s="548"/>
      <c r="RAI137" s="552"/>
      <c r="RAJ137" s="552"/>
      <c r="RAK137" s="552"/>
      <c r="RAL137" s="552"/>
      <c r="RAM137" s="548"/>
      <c r="RAN137" s="553"/>
      <c r="RAO137" s="553"/>
      <c r="RAP137" s="553"/>
      <c r="RAQ137" s="8"/>
      <c r="RAR137" s="8"/>
      <c r="RAS137" s="458"/>
      <c r="RAT137" s="8"/>
      <c r="RAU137" s="8"/>
      <c r="RAV137" s="547"/>
      <c r="RAW137" s="547"/>
      <c r="RAX137" s="547"/>
      <c r="RAY137" s="547"/>
      <c r="RAZ137" s="548"/>
      <c r="RBA137" s="547"/>
      <c r="RBB137" s="547"/>
      <c r="RBC137" s="547"/>
      <c r="RBD137" s="547"/>
      <c r="RBE137" s="548"/>
      <c r="RBF137" s="547"/>
      <c r="RBG137" s="547"/>
      <c r="RBH137" s="547"/>
      <c r="RBI137" s="547"/>
      <c r="RBJ137" s="548"/>
      <c r="RBK137" s="547"/>
      <c r="RBL137" s="547"/>
      <c r="RBM137" s="547"/>
      <c r="RBN137" s="552"/>
      <c r="RBO137" s="548"/>
      <c r="RBP137" s="552"/>
      <c r="RBQ137" s="552"/>
      <c r="RBR137" s="552"/>
      <c r="RBS137" s="552"/>
      <c r="RBT137" s="548"/>
      <c r="RBU137" s="553"/>
      <c r="RBV137" s="553"/>
      <c r="RBW137" s="553"/>
      <c r="RBX137" s="8"/>
      <c r="RBY137" s="8"/>
      <c r="RBZ137" s="458"/>
      <c r="RCA137" s="8"/>
      <c r="RCB137" s="8"/>
      <c r="RCC137" s="547"/>
      <c r="RCD137" s="547"/>
      <c r="RCE137" s="547"/>
      <c r="RCF137" s="547"/>
      <c r="RCG137" s="548"/>
      <c r="RCH137" s="547"/>
      <c r="RCI137" s="547"/>
      <c r="RCJ137" s="547"/>
      <c r="RCK137" s="547"/>
      <c r="RCL137" s="548"/>
      <c r="RCM137" s="547"/>
      <c r="RCN137" s="547"/>
      <c r="RCO137" s="547"/>
      <c r="RCP137" s="547"/>
      <c r="RCQ137" s="548"/>
      <c r="RCR137" s="547"/>
      <c r="RCS137" s="547"/>
      <c r="RCT137" s="547"/>
      <c r="RCU137" s="552"/>
      <c r="RCV137" s="548"/>
      <c r="RCW137" s="552"/>
      <c r="RCX137" s="552"/>
      <c r="RCY137" s="552"/>
      <c r="RCZ137" s="552"/>
      <c r="RDA137" s="548"/>
      <c r="RDB137" s="553"/>
      <c r="RDC137" s="553"/>
      <c r="RDD137" s="553"/>
      <c r="RDE137" s="8"/>
      <c r="RDF137" s="8"/>
      <c r="RDG137" s="458"/>
      <c r="RDH137" s="8"/>
      <c r="RDI137" s="8"/>
      <c r="RDJ137" s="547"/>
      <c r="RDK137" s="547"/>
      <c r="RDL137" s="547"/>
      <c r="RDM137" s="547"/>
      <c r="RDN137" s="548"/>
      <c r="RDO137" s="547"/>
      <c r="RDP137" s="547"/>
      <c r="RDQ137" s="547"/>
      <c r="RDR137" s="547"/>
      <c r="RDS137" s="548"/>
      <c r="RDT137" s="547"/>
      <c r="RDU137" s="547"/>
      <c r="RDV137" s="547"/>
      <c r="RDW137" s="547"/>
      <c r="RDX137" s="548"/>
      <c r="RDY137" s="547"/>
      <c r="RDZ137" s="547"/>
      <c r="REA137" s="547"/>
      <c r="REB137" s="552"/>
      <c r="REC137" s="548"/>
      <c r="RED137" s="552"/>
      <c r="REE137" s="552"/>
      <c r="REF137" s="552"/>
      <c r="REG137" s="552"/>
      <c r="REH137" s="548"/>
      <c r="REI137" s="553"/>
      <c r="REJ137" s="553"/>
      <c r="REK137" s="553"/>
      <c r="REL137" s="8"/>
      <c r="REM137" s="8"/>
      <c r="REN137" s="458"/>
      <c r="REO137" s="8"/>
      <c r="REP137" s="8"/>
      <c r="REQ137" s="547"/>
      <c r="RER137" s="547"/>
      <c r="RES137" s="547"/>
      <c r="RET137" s="547"/>
      <c r="REU137" s="548"/>
      <c r="REV137" s="547"/>
      <c r="REW137" s="547"/>
      <c r="REX137" s="547"/>
      <c r="REY137" s="547"/>
      <c r="REZ137" s="548"/>
      <c r="RFA137" s="547"/>
      <c r="RFB137" s="547"/>
      <c r="RFC137" s="547"/>
      <c r="RFD137" s="547"/>
      <c r="RFE137" s="548"/>
      <c r="RFF137" s="547"/>
      <c r="RFG137" s="547"/>
      <c r="RFH137" s="547"/>
      <c r="RFI137" s="552"/>
      <c r="RFJ137" s="548"/>
      <c r="RFK137" s="552"/>
      <c r="RFL137" s="552"/>
      <c r="RFM137" s="552"/>
      <c r="RFN137" s="552"/>
      <c r="RFO137" s="548"/>
      <c r="RFP137" s="553"/>
      <c r="RFQ137" s="553"/>
      <c r="RFR137" s="553"/>
      <c r="RFS137" s="8"/>
      <c r="RFT137" s="8"/>
      <c r="RFU137" s="458"/>
      <c r="RFV137" s="8"/>
      <c r="RFW137" s="8"/>
      <c r="RFX137" s="547"/>
      <c r="RFY137" s="547"/>
      <c r="RFZ137" s="547"/>
      <c r="RGA137" s="547"/>
      <c r="RGB137" s="548"/>
      <c r="RGC137" s="547"/>
      <c r="RGD137" s="547"/>
      <c r="RGE137" s="547"/>
      <c r="RGF137" s="547"/>
      <c r="RGG137" s="548"/>
      <c r="RGH137" s="547"/>
      <c r="RGI137" s="547"/>
      <c r="RGJ137" s="547"/>
      <c r="RGK137" s="547"/>
      <c r="RGL137" s="548"/>
      <c r="RGM137" s="547"/>
      <c r="RGN137" s="547"/>
      <c r="RGO137" s="547"/>
      <c r="RGP137" s="552"/>
      <c r="RGQ137" s="548"/>
      <c r="RGR137" s="552"/>
      <c r="RGS137" s="552"/>
      <c r="RGT137" s="552"/>
      <c r="RGU137" s="552"/>
      <c r="RGV137" s="548"/>
      <c r="RGW137" s="553"/>
      <c r="RGX137" s="553"/>
      <c r="RGY137" s="553"/>
      <c r="RGZ137" s="8"/>
      <c r="RHA137" s="8"/>
      <c r="RHB137" s="458"/>
      <c r="RHC137" s="8"/>
      <c r="RHD137" s="8"/>
      <c r="RHE137" s="547"/>
      <c r="RHF137" s="547"/>
      <c r="RHG137" s="547"/>
      <c r="RHH137" s="547"/>
      <c r="RHI137" s="548"/>
      <c r="RHJ137" s="547"/>
      <c r="RHK137" s="547"/>
      <c r="RHL137" s="547"/>
      <c r="RHM137" s="547"/>
      <c r="RHN137" s="548"/>
      <c r="RHO137" s="547"/>
      <c r="RHP137" s="547"/>
      <c r="RHQ137" s="547"/>
      <c r="RHR137" s="547"/>
      <c r="RHS137" s="548"/>
      <c r="RHT137" s="547"/>
      <c r="RHU137" s="547"/>
      <c r="RHV137" s="547"/>
      <c r="RHW137" s="552"/>
      <c r="RHX137" s="548"/>
      <c r="RHY137" s="552"/>
      <c r="RHZ137" s="552"/>
      <c r="RIA137" s="552"/>
      <c r="RIB137" s="552"/>
      <c r="RIC137" s="548"/>
      <c r="RID137" s="553"/>
      <c r="RIE137" s="553"/>
      <c r="RIF137" s="553"/>
      <c r="RIG137" s="8"/>
      <c r="RIH137" s="8"/>
      <c r="RII137" s="458"/>
      <c r="RIJ137" s="8"/>
      <c r="RIK137" s="8"/>
      <c r="RIL137" s="547"/>
      <c r="RIM137" s="547"/>
      <c r="RIN137" s="547"/>
      <c r="RIO137" s="547"/>
      <c r="RIP137" s="548"/>
      <c r="RIQ137" s="547"/>
      <c r="RIR137" s="547"/>
      <c r="RIS137" s="547"/>
      <c r="RIT137" s="547"/>
      <c r="RIU137" s="548"/>
      <c r="RIV137" s="547"/>
      <c r="RIW137" s="547"/>
      <c r="RIX137" s="547"/>
      <c r="RIY137" s="547"/>
      <c r="RIZ137" s="548"/>
      <c r="RJA137" s="547"/>
      <c r="RJB137" s="547"/>
      <c r="RJC137" s="547"/>
      <c r="RJD137" s="552"/>
      <c r="RJE137" s="548"/>
      <c r="RJF137" s="552"/>
      <c r="RJG137" s="552"/>
      <c r="RJH137" s="552"/>
      <c r="RJI137" s="552"/>
      <c r="RJJ137" s="548"/>
      <c r="RJK137" s="553"/>
      <c r="RJL137" s="553"/>
      <c r="RJM137" s="553"/>
      <c r="RJN137" s="8"/>
      <c r="RJO137" s="8"/>
      <c r="RJP137" s="458"/>
      <c r="RJQ137" s="8"/>
      <c r="RJR137" s="8"/>
      <c r="RJS137" s="547"/>
      <c r="RJT137" s="547"/>
      <c r="RJU137" s="547"/>
      <c r="RJV137" s="547"/>
      <c r="RJW137" s="548"/>
      <c r="RJX137" s="547"/>
      <c r="RJY137" s="547"/>
      <c r="RJZ137" s="547"/>
      <c r="RKA137" s="547"/>
      <c r="RKB137" s="548"/>
      <c r="RKC137" s="547"/>
      <c r="RKD137" s="547"/>
      <c r="RKE137" s="547"/>
      <c r="RKF137" s="547"/>
      <c r="RKG137" s="548"/>
      <c r="RKH137" s="547"/>
      <c r="RKI137" s="547"/>
      <c r="RKJ137" s="547"/>
      <c r="RKK137" s="552"/>
      <c r="RKL137" s="548"/>
      <c r="RKM137" s="552"/>
      <c r="RKN137" s="552"/>
      <c r="RKO137" s="552"/>
      <c r="RKP137" s="552"/>
      <c r="RKQ137" s="548"/>
      <c r="RKR137" s="553"/>
      <c r="RKS137" s="553"/>
      <c r="RKT137" s="553"/>
      <c r="RKU137" s="8"/>
      <c r="RKV137" s="8"/>
      <c r="RKW137" s="458"/>
      <c r="RKX137" s="8"/>
      <c r="RKY137" s="8"/>
      <c r="RKZ137" s="547"/>
      <c r="RLA137" s="547"/>
      <c r="RLB137" s="547"/>
      <c r="RLC137" s="547"/>
      <c r="RLD137" s="548"/>
      <c r="RLE137" s="547"/>
      <c r="RLF137" s="547"/>
      <c r="RLG137" s="547"/>
      <c r="RLH137" s="547"/>
      <c r="RLI137" s="548"/>
      <c r="RLJ137" s="547"/>
      <c r="RLK137" s="547"/>
      <c r="RLL137" s="547"/>
      <c r="RLM137" s="547"/>
      <c r="RLN137" s="548"/>
      <c r="RLO137" s="547"/>
      <c r="RLP137" s="547"/>
      <c r="RLQ137" s="547"/>
      <c r="RLR137" s="552"/>
      <c r="RLS137" s="548"/>
      <c r="RLT137" s="552"/>
      <c r="RLU137" s="552"/>
      <c r="RLV137" s="552"/>
      <c r="RLW137" s="552"/>
      <c r="RLX137" s="548"/>
      <c r="RLY137" s="553"/>
      <c r="RLZ137" s="553"/>
      <c r="RMA137" s="553"/>
      <c r="RMB137" s="8"/>
      <c r="RMC137" s="8"/>
      <c r="RMD137" s="458"/>
      <c r="RME137" s="8"/>
      <c r="RMF137" s="8"/>
      <c r="RMG137" s="547"/>
      <c r="RMH137" s="547"/>
      <c r="RMI137" s="547"/>
      <c r="RMJ137" s="547"/>
      <c r="RMK137" s="548"/>
      <c r="RML137" s="547"/>
      <c r="RMM137" s="547"/>
      <c r="RMN137" s="547"/>
      <c r="RMO137" s="547"/>
      <c r="RMP137" s="548"/>
      <c r="RMQ137" s="547"/>
      <c r="RMR137" s="547"/>
      <c r="RMS137" s="547"/>
      <c r="RMT137" s="547"/>
      <c r="RMU137" s="548"/>
      <c r="RMV137" s="547"/>
      <c r="RMW137" s="547"/>
      <c r="RMX137" s="547"/>
      <c r="RMY137" s="552"/>
      <c r="RMZ137" s="548"/>
      <c r="RNA137" s="552"/>
      <c r="RNB137" s="552"/>
      <c r="RNC137" s="552"/>
      <c r="RND137" s="552"/>
      <c r="RNE137" s="548"/>
      <c r="RNF137" s="553"/>
      <c r="RNG137" s="553"/>
      <c r="RNH137" s="553"/>
      <c r="RNI137" s="8"/>
      <c r="RNJ137" s="8"/>
      <c r="RNK137" s="458"/>
      <c r="RNL137" s="8"/>
      <c r="RNM137" s="8"/>
      <c r="RNN137" s="547"/>
      <c r="RNO137" s="547"/>
      <c r="RNP137" s="547"/>
      <c r="RNQ137" s="547"/>
      <c r="RNR137" s="548"/>
      <c r="RNS137" s="547"/>
      <c r="RNT137" s="547"/>
      <c r="RNU137" s="547"/>
      <c r="RNV137" s="547"/>
      <c r="RNW137" s="548"/>
      <c r="RNX137" s="547"/>
      <c r="RNY137" s="547"/>
      <c r="RNZ137" s="547"/>
      <c r="ROA137" s="547"/>
      <c r="ROB137" s="548"/>
      <c r="ROC137" s="547"/>
      <c r="ROD137" s="547"/>
      <c r="ROE137" s="547"/>
      <c r="ROF137" s="552"/>
      <c r="ROG137" s="548"/>
      <c r="ROH137" s="552"/>
      <c r="ROI137" s="552"/>
      <c r="ROJ137" s="552"/>
      <c r="ROK137" s="552"/>
      <c r="ROL137" s="548"/>
      <c r="ROM137" s="553"/>
      <c r="RON137" s="553"/>
      <c r="ROO137" s="553"/>
      <c r="ROP137" s="8"/>
      <c r="ROQ137" s="8"/>
      <c r="ROR137" s="458"/>
      <c r="ROS137" s="8"/>
      <c r="ROT137" s="8"/>
      <c r="ROU137" s="547"/>
      <c r="ROV137" s="547"/>
      <c r="ROW137" s="547"/>
      <c r="ROX137" s="547"/>
      <c r="ROY137" s="548"/>
      <c r="ROZ137" s="547"/>
      <c r="RPA137" s="547"/>
      <c r="RPB137" s="547"/>
      <c r="RPC137" s="547"/>
      <c r="RPD137" s="548"/>
      <c r="RPE137" s="547"/>
      <c r="RPF137" s="547"/>
      <c r="RPG137" s="547"/>
      <c r="RPH137" s="547"/>
      <c r="RPI137" s="548"/>
      <c r="RPJ137" s="547"/>
      <c r="RPK137" s="547"/>
      <c r="RPL137" s="547"/>
      <c r="RPM137" s="552"/>
      <c r="RPN137" s="548"/>
      <c r="RPO137" s="552"/>
      <c r="RPP137" s="552"/>
      <c r="RPQ137" s="552"/>
      <c r="RPR137" s="552"/>
      <c r="RPS137" s="548"/>
      <c r="RPT137" s="553"/>
      <c r="RPU137" s="553"/>
      <c r="RPV137" s="553"/>
      <c r="RPW137" s="8"/>
      <c r="RPX137" s="8"/>
      <c r="RPY137" s="458"/>
      <c r="RPZ137" s="8"/>
      <c r="RQA137" s="8"/>
      <c r="RQB137" s="547"/>
      <c r="RQC137" s="547"/>
      <c r="RQD137" s="547"/>
      <c r="RQE137" s="547"/>
      <c r="RQF137" s="548"/>
      <c r="RQG137" s="547"/>
      <c r="RQH137" s="547"/>
      <c r="RQI137" s="547"/>
      <c r="RQJ137" s="547"/>
      <c r="RQK137" s="548"/>
      <c r="RQL137" s="547"/>
      <c r="RQM137" s="547"/>
      <c r="RQN137" s="547"/>
      <c r="RQO137" s="547"/>
      <c r="RQP137" s="548"/>
      <c r="RQQ137" s="547"/>
      <c r="RQR137" s="547"/>
      <c r="RQS137" s="547"/>
      <c r="RQT137" s="552"/>
      <c r="RQU137" s="548"/>
      <c r="RQV137" s="552"/>
      <c r="RQW137" s="552"/>
      <c r="RQX137" s="552"/>
      <c r="RQY137" s="552"/>
      <c r="RQZ137" s="548"/>
      <c r="RRA137" s="553"/>
      <c r="RRB137" s="553"/>
      <c r="RRC137" s="553"/>
      <c r="RRD137" s="8"/>
      <c r="RRE137" s="8"/>
      <c r="RRF137" s="458"/>
      <c r="RRG137" s="8"/>
      <c r="RRH137" s="8"/>
      <c r="RRI137" s="547"/>
      <c r="RRJ137" s="547"/>
      <c r="RRK137" s="547"/>
      <c r="RRL137" s="547"/>
      <c r="RRM137" s="548"/>
      <c r="RRN137" s="547"/>
      <c r="RRO137" s="547"/>
      <c r="RRP137" s="547"/>
      <c r="RRQ137" s="547"/>
      <c r="RRR137" s="548"/>
      <c r="RRS137" s="547"/>
      <c r="RRT137" s="547"/>
      <c r="RRU137" s="547"/>
      <c r="RRV137" s="547"/>
      <c r="RRW137" s="548"/>
      <c r="RRX137" s="547"/>
      <c r="RRY137" s="547"/>
      <c r="RRZ137" s="547"/>
      <c r="RSA137" s="552"/>
      <c r="RSB137" s="548"/>
      <c r="RSC137" s="552"/>
      <c r="RSD137" s="552"/>
      <c r="RSE137" s="552"/>
      <c r="RSF137" s="552"/>
      <c r="RSG137" s="548"/>
      <c r="RSH137" s="553"/>
      <c r="RSI137" s="553"/>
      <c r="RSJ137" s="553"/>
      <c r="RSK137" s="8"/>
      <c r="RSL137" s="8"/>
      <c r="RSM137" s="458"/>
      <c r="RSN137" s="8"/>
      <c r="RSO137" s="8"/>
      <c r="RSP137" s="547"/>
      <c r="RSQ137" s="547"/>
      <c r="RSR137" s="547"/>
      <c r="RSS137" s="547"/>
      <c r="RST137" s="548"/>
      <c r="RSU137" s="547"/>
      <c r="RSV137" s="547"/>
      <c r="RSW137" s="547"/>
      <c r="RSX137" s="547"/>
      <c r="RSY137" s="548"/>
      <c r="RSZ137" s="547"/>
      <c r="RTA137" s="547"/>
      <c r="RTB137" s="547"/>
      <c r="RTC137" s="547"/>
      <c r="RTD137" s="548"/>
      <c r="RTE137" s="547"/>
      <c r="RTF137" s="547"/>
      <c r="RTG137" s="547"/>
      <c r="RTH137" s="552"/>
      <c r="RTI137" s="548"/>
      <c r="RTJ137" s="552"/>
      <c r="RTK137" s="552"/>
      <c r="RTL137" s="552"/>
      <c r="RTM137" s="552"/>
      <c r="RTN137" s="548"/>
      <c r="RTO137" s="553"/>
      <c r="RTP137" s="553"/>
      <c r="RTQ137" s="553"/>
      <c r="RTR137" s="8"/>
      <c r="RTS137" s="8"/>
      <c r="RTT137" s="458"/>
      <c r="RTU137" s="8"/>
      <c r="RTV137" s="8"/>
      <c r="RTW137" s="547"/>
      <c r="RTX137" s="547"/>
      <c r="RTY137" s="547"/>
      <c r="RTZ137" s="547"/>
      <c r="RUA137" s="548"/>
      <c r="RUB137" s="547"/>
      <c r="RUC137" s="547"/>
      <c r="RUD137" s="547"/>
      <c r="RUE137" s="547"/>
      <c r="RUF137" s="548"/>
      <c r="RUG137" s="547"/>
      <c r="RUH137" s="547"/>
      <c r="RUI137" s="547"/>
      <c r="RUJ137" s="547"/>
      <c r="RUK137" s="548"/>
      <c r="RUL137" s="547"/>
      <c r="RUM137" s="547"/>
      <c r="RUN137" s="547"/>
      <c r="RUO137" s="552"/>
      <c r="RUP137" s="548"/>
      <c r="RUQ137" s="552"/>
      <c r="RUR137" s="552"/>
      <c r="RUS137" s="552"/>
      <c r="RUT137" s="552"/>
      <c r="RUU137" s="548"/>
      <c r="RUV137" s="553"/>
      <c r="RUW137" s="553"/>
      <c r="RUX137" s="553"/>
      <c r="RUY137" s="8"/>
      <c r="RUZ137" s="8"/>
      <c r="RVA137" s="458"/>
      <c r="RVB137" s="8"/>
      <c r="RVC137" s="8"/>
      <c r="RVD137" s="547"/>
      <c r="RVE137" s="547"/>
      <c r="RVF137" s="547"/>
      <c r="RVG137" s="547"/>
      <c r="RVH137" s="548"/>
      <c r="RVI137" s="547"/>
      <c r="RVJ137" s="547"/>
      <c r="RVK137" s="547"/>
      <c r="RVL137" s="547"/>
      <c r="RVM137" s="548"/>
      <c r="RVN137" s="547"/>
      <c r="RVO137" s="547"/>
      <c r="RVP137" s="547"/>
      <c r="RVQ137" s="547"/>
      <c r="RVR137" s="548"/>
      <c r="RVS137" s="547"/>
      <c r="RVT137" s="547"/>
      <c r="RVU137" s="547"/>
      <c r="RVV137" s="552"/>
      <c r="RVW137" s="548"/>
      <c r="RVX137" s="552"/>
      <c r="RVY137" s="552"/>
      <c r="RVZ137" s="552"/>
      <c r="RWA137" s="552"/>
      <c r="RWB137" s="548"/>
      <c r="RWC137" s="553"/>
      <c r="RWD137" s="553"/>
      <c r="RWE137" s="553"/>
      <c r="RWF137" s="8"/>
      <c r="RWG137" s="8"/>
      <c r="RWH137" s="458"/>
      <c r="RWI137" s="8"/>
      <c r="RWJ137" s="8"/>
      <c r="RWK137" s="547"/>
      <c r="RWL137" s="547"/>
      <c r="RWM137" s="547"/>
      <c r="RWN137" s="547"/>
      <c r="RWO137" s="548"/>
      <c r="RWP137" s="547"/>
      <c r="RWQ137" s="547"/>
      <c r="RWR137" s="547"/>
      <c r="RWS137" s="547"/>
      <c r="RWT137" s="548"/>
      <c r="RWU137" s="547"/>
      <c r="RWV137" s="547"/>
      <c r="RWW137" s="547"/>
      <c r="RWX137" s="547"/>
      <c r="RWY137" s="548"/>
      <c r="RWZ137" s="547"/>
      <c r="RXA137" s="547"/>
      <c r="RXB137" s="547"/>
      <c r="RXC137" s="552"/>
      <c r="RXD137" s="548"/>
      <c r="RXE137" s="552"/>
      <c r="RXF137" s="552"/>
      <c r="RXG137" s="552"/>
      <c r="RXH137" s="552"/>
      <c r="RXI137" s="548"/>
      <c r="RXJ137" s="553"/>
      <c r="RXK137" s="553"/>
      <c r="RXL137" s="553"/>
      <c r="RXM137" s="8"/>
      <c r="RXN137" s="8"/>
      <c r="RXO137" s="458"/>
      <c r="RXP137" s="8"/>
      <c r="RXQ137" s="8"/>
      <c r="RXR137" s="547"/>
      <c r="RXS137" s="547"/>
      <c r="RXT137" s="547"/>
      <c r="RXU137" s="547"/>
      <c r="RXV137" s="548"/>
      <c r="RXW137" s="547"/>
      <c r="RXX137" s="547"/>
      <c r="RXY137" s="547"/>
      <c r="RXZ137" s="547"/>
      <c r="RYA137" s="548"/>
      <c r="RYB137" s="547"/>
      <c r="RYC137" s="547"/>
      <c r="RYD137" s="547"/>
      <c r="RYE137" s="547"/>
      <c r="RYF137" s="548"/>
      <c r="RYG137" s="547"/>
      <c r="RYH137" s="547"/>
      <c r="RYI137" s="547"/>
      <c r="RYJ137" s="552"/>
      <c r="RYK137" s="548"/>
      <c r="RYL137" s="552"/>
      <c r="RYM137" s="552"/>
      <c r="RYN137" s="552"/>
      <c r="RYO137" s="552"/>
      <c r="RYP137" s="548"/>
      <c r="RYQ137" s="553"/>
      <c r="RYR137" s="553"/>
      <c r="RYS137" s="553"/>
      <c r="RYT137" s="8"/>
      <c r="RYU137" s="8"/>
      <c r="RYV137" s="458"/>
      <c r="RYW137" s="8"/>
      <c r="RYX137" s="8"/>
      <c r="RYY137" s="547"/>
      <c r="RYZ137" s="547"/>
      <c r="RZA137" s="547"/>
      <c r="RZB137" s="547"/>
      <c r="RZC137" s="548"/>
      <c r="RZD137" s="547"/>
      <c r="RZE137" s="547"/>
      <c r="RZF137" s="547"/>
      <c r="RZG137" s="547"/>
      <c r="RZH137" s="548"/>
      <c r="RZI137" s="547"/>
      <c r="RZJ137" s="547"/>
      <c r="RZK137" s="547"/>
      <c r="RZL137" s="547"/>
      <c r="RZM137" s="548"/>
      <c r="RZN137" s="547"/>
      <c r="RZO137" s="547"/>
      <c r="RZP137" s="547"/>
      <c r="RZQ137" s="552"/>
      <c r="RZR137" s="548"/>
      <c r="RZS137" s="552"/>
      <c r="RZT137" s="552"/>
      <c r="RZU137" s="552"/>
      <c r="RZV137" s="552"/>
      <c r="RZW137" s="548"/>
      <c r="RZX137" s="553"/>
      <c r="RZY137" s="553"/>
      <c r="RZZ137" s="553"/>
      <c r="SAA137" s="8"/>
      <c r="SAB137" s="8"/>
      <c r="SAC137" s="458"/>
      <c r="SAD137" s="8"/>
      <c r="SAE137" s="8"/>
      <c r="SAF137" s="547"/>
      <c r="SAG137" s="547"/>
      <c r="SAH137" s="547"/>
      <c r="SAI137" s="547"/>
      <c r="SAJ137" s="548"/>
      <c r="SAK137" s="547"/>
      <c r="SAL137" s="547"/>
      <c r="SAM137" s="547"/>
      <c r="SAN137" s="547"/>
      <c r="SAO137" s="548"/>
      <c r="SAP137" s="547"/>
      <c r="SAQ137" s="547"/>
      <c r="SAR137" s="547"/>
      <c r="SAS137" s="547"/>
      <c r="SAT137" s="548"/>
      <c r="SAU137" s="547"/>
      <c r="SAV137" s="547"/>
      <c r="SAW137" s="547"/>
      <c r="SAX137" s="552"/>
      <c r="SAY137" s="548"/>
      <c r="SAZ137" s="552"/>
      <c r="SBA137" s="552"/>
      <c r="SBB137" s="552"/>
      <c r="SBC137" s="552"/>
      <c r="SBD137" s="548"/>
      <c r="SBE137" s="553"/>
      <c r="SBF137" s="553"/>
      <c r="SBG137" s="553"/>
      <c r="SBH137" s="8"/>
      <c r="SBI137" s="8"/>
      <c r="SBJ137" s="458"/>
      <c r="SBK137" s="8"/>
      <c r="SBL137" s="8"/>
      <c r="SBM137" s="547"/>
      <c r="SBN137" s="547"/>
      <c r="SBO137" s="547"/>
      <c r="SBP137" s="547"/>
      <c r="SBQ137" s="548"/>
      <c r="SBR137" s="547"/>
      <c r="SBS137" s="547"/>
      <c r="SBT137" s="547"/>
      <c r="SBU137" s="547"/>
      <c r="SBV137" s="548"/>
      <c r="SBW137" s="547"/>
      <c r="SBX137" s="547"/>
      <c r="SBY137" s="547"/>
      <c r="SBZ137" s="547"/>
      <c r="SCA137" s="548"/>
      <c r="SCB137" s="547"/>
      <c r="SCC137" s="547"/>
      <c r="SCD137" s="547"/>
      <c r="SCE137" s="552"/>
      <c r="SCF137" s="548"/>
      <c r="SCG137" s="552"/>
      <c r="SCH137" s="552"/>
      <c r="SCI137" s="552"/>
      <c r="SCJ137" s="552"/>
      <c r="SCK137" s="548"/>
      <c r="SCL137" s="553"/>
      <c r="SCM137" s="553"/>
      <c r="SCN137" s="553"/>
      <c r="SCO137" s="8"/>
      <c r="SCP137" s="8"/>
      <c r="SCQ137" s="458"/>
      <c r="SCR137" s="8"/>
      <c r="SCS137" s="8"/>
      <c r="SCT137" s="547"/>
      <c r="SCU137" s="547"/>
      <c r="SCV137" s="547"/>
      <c r="SCW137" s="547"/>
      <c r="SCX137" s="548"/>
      <c r="SCY137" s="547"/>
      <c r="SCZ137" s="547"/>
      <c r="SDA137" s="547"/>
      <c r="SDB137" s="547"/>
      <c r="SDC137" s="548"/>
      <c r="SDD137" s="547"/>
      <c r="SDE137" s="547"/>
      <c r="SDF137" s="547"/>
      <c r="SDG137" s="547"/>
      <c r="SDH137" s="548"/>
      <c r="SDI137" s="547"/>
      <c r="SDJ137" s="547"/>
      <c r="SDK137" s="547"/>
      <c r="SDL137" s="552"/>
      <c r="SDM137" s="548"/>
      <c r="SDN137" s="552"/>
      <c r="SDO137" s="552"/>
      <c r="SDP137" s="552"/>
      <c r="SDQ137" s="552"/>
      <c r="SDR137" s="548"/>
      <c r="SDS137" s="553"/>
      <c r="SDT137" s="553"/>
      <c r="SDU137" s="553"/>
      <c r="SDV137" s="8"/>
      <c r="SDW137" s="8"/>
      <c r="SDX137" s="458"/>
      <c r="SDY137" s="8"/>
      <c r="SDZ137" s="8"/>
      <c r="SEA137" s="547"/>
      <c r="SEB137" s="547"/>
      <c r="SEC137" s="547"/>
      <c r="SED137" s="547"/>
      <c r="SEE137" s="548"/>
      <c r="SEF137" s="547"/>
      <c r="SEG137" s="547"/>
      <c r="SEH137" s="547"/>
      <c r="SEI137" s="547"/>
      <c r="SEJ137" s="548"/>
      <c r="SEK137" s="547"/>
      <c r="SEL137" s="547"/>
      <c r="SEM137" s="547"/>
      <c r="SEN137" s="547"/>
      <c r="SEO137" s="548"/>
      <c r="SEP137" s="547"/>
      <c r="SEQ137" s="547"/>
      <c r="SER137" s="547"/>
      <c r="SES137" s="552"/>
      <c r="SET137" s="548"/>
      <c r="SEU137" s="552"/>
      <c r="SEV137" s="552"/>
      <c r="SEW137" s="552"/>
      <c r="SEX137" s="552"/>
      <c r="SEY137" s="548"/>
      <c r="SEZ137" s="553"/>
      <c r="SFA137" s="553"/>
      <c r="SFB137" s="553"/>
      <c r="SFC137" s="8"/>
      <c r="SFD137" s="8"/>
      <c r="SFE137" s="458"/>
      <c r="SFF137" s="8"/>
      <c r="SFG137" s="8"/>
      <c r="SFH137" s="547"/>
      <c r="SFI137" s="547"/>
      <c r="SFJ137" s="547"/>
      <c r="SFK137" s="547"/>
      <c r="SFL137" s="548"/>
      <c r="SFM137" s="547"/>
      <c r="SFN137" s="547"/>
      <c r="SFO137" s="547"/>
      <c r="SFP137" s="547"/>
      <c r="SFQ137" s="548"/>
      <c r="SFR137" s="547"/>
      <c r="SFS137" s="547"/>
      <c r="SFT137" s="547"/>
      <c r="SFU137" s="547"/>
      <c r="SFV137" s="548"/>
      <c r="SFW137" s="547"/>
      <c r="SFX137" s="547"/>
      <c r="SFY137" s="547"/>
      <c r="SFZ137" s="552"/>
      <c r="SGA137" s="548"/>
      <c r="SGB137" s="552"/>
      <c r="SGC137" s="552"/>
      <c r="SGD137" s="552"/>
      <c r="SGE137" s="552"/>
      <c r="SGF137" s="548"/>
      <c r="SGG137" s="553"/>
      <c r="SGH137" s="553"/>
      <c r="SGI137" s="553"/>
      <c r="SGJ137" s="8"/>
      <c r="SGK137" s="8"/>
      <c r="SGL137" s="458"/>
      <c r="SGM137" s="8"/>
      <c r="SGN137" s="8"/>
      <c r="SGO137" s="547"/>
      <c r="SGP137" s="547"/>
      <c r="SGQ137" s="547"/>
      <c r="SGR137" s="547"/>
      <c r="SGS137" s="548"/>
      <c r="SGT137" s="547"/>
      <c r="SGU137" s="547"/>
      <c r="SGV137" s="547"/>
      <c r="SGW137" s="547"/>
      <c r="SGX137" s="548"/>
      <c r="SGY137" s="547"/>
      <c r="SGZ137" s="547"/>
      <c r="SHA137" s="547"/>
      <c r="SHB137" s="547"/>
      <c r="SHC137" s="548"/>
      <c r="SHD137" s="547"/>
      <c r="SHE137" s="547"/>
      <c r="SHF137" s="547"/>
      <c r="SHG137" s="552"/>
      <c r="SHH137" s="548"/>
      <c r="SHI137" s="552"/>
      <c r="SHJ137" s="552"/>
      <c r="SHK137" s="552"/>
      <c r="SHL137" s="552"/>
      <c r="SHM137" s="548"/>
      <c r="SHN137" s="553"/>
      <c r="SHO137" s="553"/>
      <c r="SHP137" s="553"/>
      <c r="SHQ137" s="8"/>
      <c r="SHR137" s="8"/>
      <c r="SHS137" s="458"/>
      <c r="SHT137" s="8"/>
      <c r="SHU137" s="8"/>
      <c r="SHV137" s="547"/>
      <c r="SHW137" s="547"/>
      <c r="SHX137" s="547"/>
      <c r="SHY137" s="547"/>
      <c r="SHZ137" s="548"/>
      <c r="SIA137" s="547"/>
      <c r="SIB137" s="547"/>
      <c r="SIC137" s="547"/>
      <c r="SID137" s="547"/>
      <c r="SIE137" s="548"/>
      <c r="SIF137" s="547"/>
      <c r="SIG137" s="547"/>
      <c r="SIH137" s="547"/>
      <c r="SII137" s="547"/>
      <c r="SIJ137" s="548"/>
      <c r="SIK137" s="547"/>
      <c r="SIL137" s="547"/>
      <c r="SIM137" s="547"/>
      <c r="SIN137" s="552"/>
      <c r="SIO137" s="548"/>
      <c r="SIP137" s="552"/>
      <c r="SIQ137" s="552"/>
      <c r="SIR137" s="552"/>
      <c r="SIS137" s="552"/>
      <c r="SIT137" s="548"/>
      <c r="SIU137" s="553"/>
      <c r="SIV137" s="553"/>
      <c r="SIW137" s="553"/>
      <c r="SIX137" s="8"/>
      <c r="SIY137" s="8"/>
      <c r="SIZ137" s="458"/>
      <c r="SJA137" s="8"/>
      <c r="SJB137" s="8"/>
      <c r="SJC137" s="547"/>
      <c r="SJD137" s="547"/>
      <c r="SJE137" s="547"/>
      <c r="SJF137" s="547"/>
      <c r="SJG137" s="548"/>
      <c r="SJH137" s="547"/>
      <c r="SJI137" s="547"/>
      <c r="SJJ137" s="547"/>
      <c r="SJK137" s="547"/>
      <c r="SJL137" s="548"/>
      <c r="SJM137" s="547"/>
      <c r="SJN137" s="547"/>
      <c r="SJO137" s="547"/>
      <c r="SJP137" s="547"/>
      <c r="SJQ137" s="548"/>
      <c r="SJR137" s="547"/>
      <c r="SJS137" s="547"/>
      <c r="SJT137" s="547"/>
      <c r="SJU137" s="552"/>
      <c r="SJV137" s="548"/>
      <c r="SJW137" s="552"/>
      <c r="SJX137" s="552"/>
      <c r="SJY137" s="552"/>
      <c r="SJZ137" s="552"/>
      <c r="SKA137" s="548"/>
      <c r="SKB137" s="553"/>
      <c r="SKC137" s="553"/>
      <c r="SKD137" s="553"/>
      <c r="SKE137" s="8"/>
      <c r="SKF137" s="8"/>
      <c r="SKG137" s="458"/>
      <c r="SKH137" s="8"/>
      <c r="SKI137" s="8"/>
      <c r="SKJ137" s="547"/>
      <c r="SKK137" s="547"/>
      <c r="SKL137" s="547"/>
      <c r="SKM137" s="547"/>
      <c r="SKN137" s="548"/>
      <c r="SKO137" s="547"/>
      <c r="SKP137" s="547"/>
      <c r="SKQ137" s="547"/>
      <c r="SKR137" s="547"/>
      <c r="SKS137" s="548"/>
      <c r="SKT137" s="547"/>
      <c r="SKU137" s="547"/>
      <c r="SKV137" s="547"/>
      <c r="SKW137" s="547"/>
      <c r="SKX137" s="548"/>
      <c r="SKY137" s="547"/>
      <c r="SKZ137" s="547"/>
      <c r="SLA137" s="547"/>
      <c r="SLB137" s="552"/>
      <c r="SLC137" s="548"/>
      <c r="SLD137" s="552"/>
      <c r="SLE137" s="552"/>
      <c r="SLF137" s="552"/>
      <c r="SLG137" s="552"/>
      <c r="SLH137" s="548"/>
      <c r="SLI137" s="553"/>
      <c r="SLJ137" s="553"/>
      <c r="SLK137" s="553"/>
      <c r="SLL137" s="8"/>
      <c r="SLM137" s="8"/>
      <c r="SLN137" s="458"/>
      <c r="SLO137" s="8"/>
      <c r="SLP137" s="8"/>
      <c r="SLQ137" s="547"/>
      <c r="SLR137" s="547"/>
      <c r="SLS137" s="547"/>
      <c r="SLT137" s="547"/>
      <c r="SLU137" s="548"/>
      <c r="SLV137" s="547"/>
      <c r="SLW137" s="547"/>
      <c r="SLX137" s="547"/>
      <c r="SLY137" s="547"/>
      <c r="SLZ137" s="548"/>
      <c r="SMA137" s="547"/>
      <c r="SMB137" s="547"/>
      <c r="SMC137" s="547"/>
      <c r="SMD137" s="547"/>
      <c r="SME137" s="548"/>
      <c r="SMF137" s="547"/>
      <c r="SMG137" s="547"/>
      <c r="SMH137" s="547"/>
      <c r="SMI137" s="552"/>
      <c r="SMJ137" s="548"/>
      <c r="SMK137" s="552"/>
      <c r="SML137" s="552"/>
      <c r="SMM137" s="552"/>
      <c r="SMN137" s="552"/>
      <c r="SMO137" s="548"/>
      <c r="SMP137" s="553"/>
      <c r="SMQ137" s="553"/>
      <c r="SMR137" s="553"/>
      <c r="SMS137" s="8"/>
      <c r="SMT137" s="8"/>
      <c r="SMU137" s="458"/>
      <c r="SMV137" s="8"/>
      <c r="SMW137" s="8"/>
      <c r="SMX137" s="547"/>
      <c r="SMY137" s="547"/>
      <c r="SMZ137" s="547"/>
      <c r="SNA137" s="547"/>
      <c r="SNB137" s="548"/>
      <c r="SNC137" s="547"/>
      <c r="SND137" s="547"/>
      <c r="SNE137" s="547"/>
      <c r="SNF137" s="547"/>
      <c r="SNG137" s="548"/>
      <c r="SNH137" s="547"/>
      <c r="SNI137" s="547"/>
      <c r="SNJ137" s="547"/>
      <c r="SNK137" s="547"/>
      <c r="SNL137" s="548"/>
      <c r="SNM137" s="547"/>
      <c r="SNN137" s="547"/>
      <c r="SNO137" s="547"/>
      <c r="SNP137" s="552"/>
      <c r="SNQ137" s="548"/>
      <c r="SNR137" s="552"/>
      <c r="SNS137" s="552"/>
      <c r="SNT137" s="552"/>
      <c r="SNU137" s="552"/>
      <c r="SNV137" s="548"/>
      <c r="SNW137" s="553"/>
      <c r="SNX137" s="553"/>
      <c r="SNY137" s="553"/>
      <c r="SNZ137" s="8"/>
      <c r="SOA137" s="8"/>
      <c r="SOB137" s="458"/>
      <c r="SOC137" s="8"/>
      <c r="SOD137" s="8"/>
      <c r="SOE137" s="547"/>
      <c r="SOF137" s="547"/>
      <c r="SOG137" s="547"/>
      <c r="SOH137" s="547"/>
      <c r="SOI137" s="548"/>
      <c r="SOJ137" s="547"/>
      <c r="SOK137" s="547"/>
      <c r="SOL137" s="547"/>
      <c r="SOM137" s="547"/>
      <c r="SON137" s="548"/>
      <c r="SOO137" s="547"/>
      <c r="SOP137" s="547"/>
      <c r="SOQ137" s="547"/>
      <c r="SOR137" s="547"/>
      <c r="SOS137" s="548"/>
      <c r="SOT137" s="547"/>
      <c r="SOU137" s="547"/>
      <c r="SOV137" s="547"/>
      <c r="SOW137" s="552"/>
      <c r="SOX137" s="548"/>
      <c r="SOY137" s="552"/>
      <c r="SOZ137" s="552"/>
      <c r="SPA137" s="552"/>
      <c r="SPB137" s="552"/>
      <c r="SPC137" s="548"/>
      <c r="SPD137" s="553"/>
      <c r="SPE137" s="553"/>
      <c r="SPF137" s="553"/>
      <c r="SPG137" s="8"/>
      <c r="SPH137" s="8"/>
      <c r="SPI137" s="458"/>
      <c r="SPJ137" s="8"/>
      <c r="SPK137" s="8"/>
      <c r="SPL137" s="547"/>
      <c r="SPM137" s="547"/>
      <c r="SPN137" s="547"/>
      <c r="SPO137" s="547"/>
      <c r="SPP137" s="548"/>
      <c r="SPQ137" s="547"/>
      <c r="SPR137" s="547"/>
      <c r="SPS137" s="547"/>
      <c r="SPT137" s="547"/>
      <c r="SPU137" s="548"/>
      <c r="SPV137" s="547"/>
      <c r="SPW137" s="547"/>
      <c r="SPX137" s="547"/>
      <c r="SPY137" s="547"/>
      <c r="SPZ137" s="548"/>
      <c r="SQA137" s="547"/>
      <c r="SQB137" s="547"/>
      <c r="SQC137" s="547"/>
      <c r="SQD137" s="552"/>
      <c r="SQE137" s="548"/>
      <c r="SQF137" s="552"/>
      <c r="SQG137" s="552"/>
      <c r="SQH137" s="552"/>
      <c r="SQI137" s="552"/>
      <c r="SQJ137" s="548"/>
      <c r="SQK137" s="553"/>
      <c r="SQL137" s="553"/>
      <c r="SQM137" s="553"/>
      <c r="SQN137" s="8"/>
      <c r="SQO137" s="8"/>
      <c r="SQP137" s="458"/>
      <c r="SQQ137" s="8"/>
      <c r="SQR137" s="8"/>
      <c r="SQS137" s="547"/>
      <c r="SQT137" s="547"/>
      <c r="SQU137" s="547"/>
      <c r="SQV137" s="547"/>
      <c r="SQW137" s="548"/>
      <c r="SQX137" s="547"/>
      <c r="SQY137" s="547"/>
      <c r="SQZ137" s="547"/>
      <c r="SRA137" s="547"/>
      <c r="SRB137" s="548"/>
      <c r="SRC137" s="547"/>
      <c r="SRD137" s="547"/>
      <c r="SRE137" s="547"/>
      <c r="SRF137" s="547"/>
      <c r="SRG137" s="548"/>
      <c r="SRH137" s="547"/>
      <c r="SRI137" s="547"/>
      <c r="SRJ137" s="547"/>
      <c r="SRK137" s="552"/>
      <c r="SRL137" s="548"/>
      <c r="SRM137" s="552"/>
      <c r="SRN137" s="552"/>
      <c r="SRO137" s="552"/>
      <c r="SRP137" s="552"/>
      <c r="SRQ137" s="548"/>
      <c r="SRR137" s="553"/>
      <c r="SRS137" s="553"/>
      <c r="SRT137" s="553"/>
      <c r="SRU137" s="8"/>
      <c r="SRV137" s="8"/>
      <c r="SRW137" s="458"/>
      <c r="SRX137" s="8"/>
      <c r="SRY137" s="8"/>
      <c r="SRZ137" s="547"/>
      <c r="SSA137" s="547"/>
      <c r="SSB137" s="547"/>
      <c r="SSC137" s="547"/>
      <c r="SSD137" s="548"/>
      <c r="SSE137" s="547"/>
      <c r="SSF137" s="547"/>
      <c r="SSG137" s="547"/>
      <c r="SSH137" s="547"/>
      <c r="SSI137" s="548"/>
      <c r="SSJ137" s="547"/>
      <c r="SSK137" s="547"/>
      <c r="SSL137" s="547"/>
      <c r="SSM137" s="547"/>
      <c r="SSN137" s="548"/>
      <c r="SSO137" s="547"/>
      <c r="SSP137" s="547"/>
      <c r="SSQ137" s="547"/>
      <c r="SSR137" s="552"/>
      <c r="SSS137" s="548"/>
      <c r="SST137" s="552"/>
      <c r="SSU137" s="552"/>
      <c r="SSV137" s="552"/>
      <c r="SSW137" s="552"/>
      <c r="SSX137" s="548"/>
      <c r="SSY137" s="553"/>
      <c r="SSZ137" s="553"/>
      <c r="STA137" s="553"/>
      <c r="STB137" s="8"/>
      <c r="STC137" s="8"/>
      <c r="STD137" s="458"/>
      <c r="STE137" s="8"/>
      <c r="STF137" s="8"/>
      <c r="STG137" s="547"/>
      <c r="STH137" s="547"/>
      <c r="STI137" s="547"/>
      <c r="STJ137" s="547"/>
      <c r="STK137" s="548"/>
      <c r="STL137" s="547"/>
      <c r="STM137" s="547"/>
      <c r="STN137" s="547"/>
      <c r="STO137" s="547"/>
      <c r="STP137" s="548"/>
      <c r="STQ137" s="547"/>
      <c r="STR137" s="547"/>
      <c r="STS137" s="547"/>
      <c r="STT137" s="547"/>
      <c r="STU137" s="548"/>
      <c r="STV137" s="547"/>
      <c r="STW137" s="547"/>
      <c r="STX137" s="547"/>
      <c r="STY137" s="552"/>
      <c r="STZ137" s="548"/>
      <c r="SUA137" s="552"/>
      <c r="SUB137" s="552"/>
      <c r="SUC137" s="552"/>
      <c r="SUD137" s="552"/>
      <c r="SUE137" s="548"/>
      <c r="SUF137" s="553"/>
      <c r="SUG137" s="553"/>
      <c r="SUH137" s="553"/>
      <c r="SUI137" s="8"/>
      <c r="SUJ137" s="8"/>
      <c r="SUK137" s="458"/>
      <c r="SUL137" s="8"/>
      <c r="SUM137" s="8"/>
      <c r="SUN137" s="547"/>
      <c r="SUO137" s="547"/>
      <c r="SUP137" s="547"/>
      <c r="SUQ137" s="547"/>
      <c r="SUR137" s="548"/>
      <c r="SUS137" s="547"/>
      <c r="SUT137" s="547"/>
      <c r="SUU137" s="547"/>
      <c r="SUV137" s="547"/>
      <c r="SUW137" s="548"/>
      <c r="SUX137" s="547"/>
      <c r="SUY137" s="547"/>
      <c r="SUZ137" s="547"/>
      <c r="SVA137" s="547"/>
      <c r="SVB137" s="548"/>
      <c r="SVC137" s="547"/>
      <c r="SVD137" s="547"/>
      <c r="SVE137" s="547"/>
      <c r="SVF137" s="552"/>
      <c r="SVG137" s="548"/>
      <c r="SVH137" s="552"/>
      <c r="SVI137" s="552"/>
      <c r="SVJ137" s="552"/>
      <c r="SVK137" s="552"/>
      <c r="SVL137" s="548"/>
      <c r="SVM137" s="553"/>
      <c r="SVN137" s="553"/>
      <c r="SVO137" s="553"/>
      <c r="SVP137" s="8"/>
      <c r="SVQ137" s="8"/>
      <c r="SVR137" s="458"/>
      <c r="SVS137" s="8"/>
      <c r="SVT137" s="8"/>
      <c r="SVU137" s="547"/>
      <c r="SVV137" s="547"/>
      <c r="SVW137" s="547"/>
      <c r="SVX137" s="547"/>
      <c r="SVY137" s="548"/>
      <c r="SVZ137" s="547"/>
      <c r="SWA137" s="547"/>
      <c r="SWB137" s="547"/>
      <c r="SWC137" s="547"/>
      <c r="SWD137" s="548"/>
      <c r="SWE137" s="547"/>
      <c r="SWF137" s="547"/>
      <c r="SWG137" s="547"/>
      <c r="SWH137" s="547"/>
      <c r="SWI137" s="548"/>
      <c r="SWJ137" s="547"/>
      <c r="SWK137" s="547"/>
      <c r="SWL137" s="547"/>
      <c r="SWM137" s="552"/>
      <c r="SWN137" s="548"/>
      <c r="SWO137" s="552"/>
      <c r="SWP137" s="552"/>
      <c r="SWQ137" s="552"/>
      <c r="SWR137" s="552"/>
      <c r="SWS137" s="548"/>
      <c r="SWT137" s="553"/>
      <c r="SWU137" s="553"/>
      <c r="SWV137" s="553"/>
      <c r="SWW137" s="8"/>
      <c r="SWX137" s="8"/>
      <c r="SWY137" s="458"/>
      <c r="SWZ137" s="8"/>
      <c r="SXA137" s="8"/>
      <c r="SXB137" s="547"/>
      <c r="SXC137" s="547"/>
      <c r="SXD137" s="547"/>
      <c r="SXE137" s="547"/>
      <c r="SXF137" s="548"/>
      <c r="SXG137" s="547"/>
      <c r="SXH137" s="547"/>
      <c r="SXI137" s="547"/>
      <c r="SXJ137" s="547"/>
      <c r="SXK137" s="548"/>
      <c r="SXL137" s="547"/>
      <c r="SXM137" s="547"/>
      <c r="SXN137" s="547"/>
      <c r="SXO137" s="547"/>
      <c r="SXP137" s="548"/>
      <c r="SXQ137" s="547"/>
      <c r="SXR137" s="547"/>
      <c r="SXS137" s="547"/>
      <c r="SXT137" s="552"/>
      <c r="SXU137" s="548"/>
      <c r="SXV137" s="552"/>
      <c r="SXW137" s="552"/>
      <c r="SXX137" s="552"/>
      <c r="SXY137" s="552"/>
      <c r="SXZ137" s="548"/>
      <c r="SYA137" s="553"/>
      <c r="SYB137" s="553"/>
      <c r="SYC137" s="553"/>
      <c r="SYD137" s="8"/>
      <c r="SYE137" s="8"/>
      <c r="SYF137" s="458"/>
      <c r="SYG137" s="8"/>
      <c r="SYH137" s="8"/>
      <c r="SYI137" s="547"/>
      <c r="SYJ137" s="547"/>
      <c r="SYK137" s="547"/>
      <c r="SYL137" s="547"/>
      <c r="SYM137" s="548"/>
      <c r="SYN137" s="547"/>
      <c r="SYO137" s="547"/>
      <c r="SYP137" s="547"/>
      <c r="SYQ137" s="547"/>
      <c r="SYR137" s="548"/>
      <c r="SYS137" s="547"/>
      <c r="SYT137" s="547"/>
      <c r="SYU137" s="547"/>
      <c r="SYV137" s="547"/>
      <c r="SYW137" s="548"/>
      <c r="SYX137" s="547"/>
      <c r="SYY137" s="547"/>
      <c r="SYZ137" s="547"/>
      <c r="SZA137" s="552"/>
      <c r="SZB137" s="548"/>
      <c r="SZC137" s="552"/>
      <c r="SZD137" s="552"/>
      <c r="SZE137" s="552"/>
      <c r="SZF137" s="552"/>
      <c r="SZG137" s="548"/>
      <c r="SZH137" s="553"/>
      <c r="SZI137" s="553"/>
      <c r="SZJ137" s="553"/>
      <c r="SZK137" s="8"/>
      <c r="SZL137" s="8"/>
      <c r="SZM137" s="458"/>
      <c r="SZN137" s="8"/>
      <c r="SZO137" s="8"/>
      <c r="SZP137" s="547"/>
      <c r="SZQ137" s="547"/>
      <c r="SZR137" s="547"/>
      <c r="SZS137" s="547"/>
      <c r="SZT137" s="548"/>
      <c r="SZU137" s="547"/>
      <c r="SZV137" s="547"/>
      <c r="SZW137" s="547"/>
      <c r="SZX137" s="547"/>
      <c r="SZY137" s="548"/>
      <c r="SZZ137" s="547"/>
      <c r="TAA137" s="547"/>
      <c r="TAB137" s="547"/>
      <c r="TAC137" s="547"/>
      <c r="TAD137" s="548"/>
      <c r="TAE137" s="547"/>
      <c r="TAF137" s="547"/>
      <c r="TAG137" s="547"/>
      <c r="TAH137" s="552"/>
      <c r="TAI137" s="548"/>
      <c r="TAJ137" s="552"/>
      <c r="TAK137" s="552"/>
      <c r="TAL137" s="552"/>
      <c r="TAM137" s="552"/>
      <c r="TAN137" s="548"/>
      <c r="TAO137" s="553"/>
      <c r="TAP137" s="553"/>
      <c r="TAQ137" s="553"/>
      <c r="TAR137" s="8"/>
      <c r="TAS137" s="8"/>
      <c r="TAT137" s="458"/>
      <c r="TAU137" s="8"/>
      <c r="TAV137" s="8"/>
      <c r="TAW137" s="547"/>
      <c r="TAX137" s="547"/>
      <c r="TAY137" s="547"/>
      <c r="TAZ137" s="547"/>
      <c r="TBA137" s="548"/>
      <c r="TBB137" s="547"/>
      <c r="TBC137" s="547"/>
      <c r="TBD137" s="547"/>
      <c r="TBE137" s="547"/>
      <c r="TBF137" s="548"/>
      <c r="TBG137" s="547"/>
      <c r="TBH137" s="547"/>
      <c r="TBI137" s="547"/>
      <c r="TBJ137" s="547"/>
      <c r="TBK137" s="548"/>
      <c r="TBL137" s="547"/>
      <c r="TBM137" s="547"/>
      <c r="TBN137" s="547"/>
      <c r="TBO137" s="552"/>
      <c r="TBP137" s="548"/>
      <c r="TBQ137" s="552"/>
      <c r="TBR137" s="552"/>
      <c r="TBS137" s="552"/>
      <c r="TBT137" s="552"/>
      <c r="TBU137" s="548"/>
      <c r="TBV137" s="553"/>
      <c r="TBW137" s="553"/>
      <c r="TBX137" s="553"/>
      <c r="TBY137" s="8"/>
      <c r="TBZ137" s="8"/>
      <c r="TCA137" s="458"/>
      <c r="TCB137" s="8"/>
      <c r="TCC137" s="8"/>
      <c r="TCD137" s="547"/>
      <c r="TCE137" s="547"/>
      <c r="TCF137" s="547"/>
      <c r="TCG137" s="547"/>
      <c r="TCH137" s="548"/>
      <c r="TCI137" s="547"/>
      <c r="TCJ137" s="547"/>
      <c r="TCK137" s="547"/>
      <c r="TCL137" s="547"/>
      <c r="TCM137" s="548"/>
      <c r="TCN137" s="547"/>
      <c r="TCO137" s="547"/>
      <c r="TCP137" s="547"/>
      <c r="TCQ137" s="547"/>
      <c r="TCR137" s="548"/>
      <c r="TCS137" s="547"/>
      <c r="TCT137" s="547"/>
      <c r="TCU137" s="547"/>
      <c r="TCV137" s="552"/>
      <c r="TCW137" s="548"/>
      <c r="TCX137" s="552"/>
      <c r="TCY137" s="552"/>
      <c r="TCZ137" s="552"/>
      <c r="TDA137" s="552"/>
      <c r="TDB137" s="548"/>
      <c r="TDC137" s="553"/>
      <c r="TDD137" s="553"/>
      <c r="TDE137" s="553"/>
      <c r="TDF137" s="8"/>
      <c r="TDG137" s="8"/>
      <c r="TDH137" s="458"/>
      <c r="TDI137" s="8"/>
      <c r="TDJ137" s="8"/>
      <c r="TDK137" s="547"/>
      <c r="TDL137" s="547"/>
      <c r="TDM137" s="547"/>
      <c r="TDN137" s="547"/>
      <c r="TDO137" s="548"/>
      <c r="TDP137" s="547"/>
      <c r="TDQ137" s="547"/>
      <c r="TDR137" s="547"/>
      <c r="TDS137" s="547"/>
      <c r="TDT137" s="548"/>
      <c r="TDU137" s="547"/>
      <c r="TDV137" s="547"/>
      <c r="TDW137" s="547"/>
      <c r="TDX137" s="547"/>
      <c r="TDY137" s="548"/>
      <c r="TDZ137" s="547"/>
      <c r="TEA137" s="547"/>
      <c r="TEB137" s="547"/>
      <c r="TEC137" s="552"/>
      <c r="TED137" s="548"/>
      <c r="TEE137" s="552"/>
      <c r="TEF137" s="552"/>
      <c r="TEG137" s="552"/>
      <c r="TEH137" s="552"/>
      <c r="TEI137" s="548"/>
      <c r="TEJ137" s="553"/>
      <c r="TEK137" s="553"/>
      <c r="TEL137" s="553"/>
      <c r="TEM137" s="8"/>
      <c r="TEN137" s="8"/>
      <c r="TEO137" s="458"/>
      <c r="TEP137" s="8"/>
      <c r="TEQ137" s="8"/>
      <c r="TER137" s="547"/>
      <c r="TES137" s="547"/>
      <c r="TET137" s="547"/>
      <c r="TEU137" s="547"/>
      <c r="TEV137" s="548"/>
      <c r="TEW137" s="547"/>
      <c r="TEX137" s="547"/>
      <c r="TEY137" s="547"/>
      <c r="TEZ137" s="547"/>
      <c r="TFA137" s="548"/>
      <c r="TFB137" s="547"/>
      <c r="TFC137" s="547"/>
      <c r="TFD137" s="547"/>
      <c r="TFE137" s="547"/>
      <c r="TFF137" s="548"/>
      <c r="TFG137" s="547"/>
      <c r="TFH137" s="547"/>
      <c r="TFI137" s="547"/>
      <c r="TFJ137" s="552"/>
      <c r="TFK137" s="548"/>
      <c r="TFL137" s="552"/>
      <c r="TFM137" s="552"/>
      <c r="TFN137" s="552"/>
      <c r="TFO137" s="552"/>
      <c r="TFP137" s="548"/>
      <c r="TFQ137" s="553"/>
      <c r="TFR137" s="553"/>
      <c r="TFS137" s="553"/>
      <c r="TFT137" s="8"/>
      <c r="TFU137" s="8"/>
      <c r="TFV137" s="458"/>
      <c r="TFW137" s="8"/>
      <c r="TFX137" s="8"/>
      <c r="TFY137" s="547"/>
      <c r="TFZ137" s="547"/>
      <c r="TGA137" s="547"/>
      <c r="TGB137" s="547"/>
      <c r="TGC137" s="548"/>
      <c r="TGD137" s="547"/>
      <c r="TGE137" s="547"/>
      <c r="TGF137" s="547"/>
      <c r="TGG137" s="547"/>
      <c r="TGH137" s="548"/>
      <c r="TGI137" s="547"/>
      <c r="TGJ137" s="547"/>
      <c r="TGK137" s="547"/>
      <c r="TGL137" s="547"/>
      <c r="TGM137" s="548"/>
      <c r="TGN137" s="547"/>
      <c r="TGO137" s="547"/>
      <c r="TGP137" s="547"/>
      <c r="TGQ137" s="552"/>
      <c r="TGR137" s="548"/>
      <c r="TGS137" s="552"/>
      <c r="TGT137" s="552"/>
      <c r="TGU137" s="552"/>
      <c r="TGV137" s="552"/>
      <c r="TGW137" s="548"/>
      <c r="TGX137" s="553"/>
      <c r="TGY137" s="553"/>
      <c r="TGZ137" s="553"/>
      <c r="THA137" s="8"/>
      <c r="THB137" s="8"/>
      <c r="THC137" s="458"/>
      <c r="THD137" s="8"/>
      <c r="THE137" s="8"/>
      <c r="THF137" s="547"/>
      <c r="THG137" s="547"/>
      <c r="THH137" s="547"/>
      <c r="THI137" s="547"/>
      <c r="THJ137" s="548"/>
      <c r="THK137" s="547"/>
      <c r="THL137" s="547"/>
      <c r="THM137" s="547"/>
      <c r="THN137" s="547"/>
      <c r="THO137" s="548"/>
      <c r="THP137" s="547"/>
      <c r="THQ137" s="547"/>
      <c r="THR137" s="547"/>
      <c r="THS137" s="547"/>
      <c r="THT137" s="548"/>
      <c r="THU137" s="547"/>
      <c r="THV137" s="547"/>
      <c r="THW137" s="547"/>
      <c r="THX137" s="552"/>
      <c r="THY137" s="548"/>
      <c r="THZ137" s="552"/>
      <c r="TIA137" s="552"/>
      <c r="TIB137" s="552"/>
      <c r="TIC137" s="552"/>
      <c r="TID137" s="548"/>
      <c r="TIE137" s="553"/>
      <c r="TIF137" s="553"/>
      <c r="TIG137" s="553"/>
      <c r="TIH137" s="8"/>
      <c r="TII137" s="8"/>
      <c r="TIJ137" s="458"/>
      <c r="TIK137" s="8"/>
      <c r="TIL137" s="8"/>
      <c r="TIM137" s="547"/>
      <c r="TIN137" s="547"/>
      <c r="TIO137" s="547"/>
      <c r="TIP137" s="547"/>
      <c r="TIQ137" s="548"/>
      <c r="TIR137" s="547"/>
      <c r="TIS137" s="547"/>
      <c r="TIT137" s="547"/>
      <c r="TIU137" s="547"/>
      <c r="TIV137" s="548"/>
      <c r="TIW137" s="547"/>
      <c r="TIX137" s="547"/>
      <c r="TIY137" s="547"/>
      <c r="TIZ137" s="547"/>
      <c r="TJA137" s="548"/>
      <c r="TJB137" s="547"/>
      <c r="TJC137" s="547"/>
      <c r="TJD137" s="547"/>
      <c r="TJE137" s="552"/>
      <c r="TJF137" s="548"/>
      <c r="TJG137" s="552"/>
      <c r="TJH137" s="552"/>
      <c r="TJI137" s="552"/>
      <c r="TJJ137" s="552"/>
      <c r="TJK137" s="548"/>
      <c r="TJL137" s="553"/>
      <c r="TJM137" s="553"/>
      <c r="TJN137" s="553"/>
      <c r="TJO137" s="8"/>
      <c r="TJP137" s="8"/>
      <c r="TJQ137" s="458"/>
      <c r="TJR137" s="8"/>
      <c r="TJS137" s="8"/>
      <c r="TJT137" s="547"/>
      <c r="TJU137" s="547"/>
      <c r="TJV137" s="547"/>
      <c r="TJW137" s="547"/>
      <c r="TJX137" s="548"/>
      <c r="TJY137" s="547"/>
      <c r="TJZ137" s="547"/>
      <c r="TKA137" s="547"/>
      <c r="TKB137" s="547"/>
      <c r="TKC137" s="548"/>
      <c r="TKD137" s="547"/>
      <c r="TKE137" s="547"/>
      <c r="TKF137" s="547"/>
      <c r="TKG137" s="547"/>
      <c r="TKH137" s="548"/>
      <c r="TKI137" s="547"/>
      <c r="TKJ137" s="547"/>
      <c r="TKK137" s="547"/>
      <c r="TKL137" s="552"/>
      <c r="TKM137" s="548"/>
      <c r="TKN137" s="552"/>
      <c r="TKO137" s="552"/>
      <c r="TKP137" s="552"/>
      <c r="TKQ137" s="552"/>
      <c r="TKR137" s="548"/>
      <c r="TKS137" s="553"/>
      <c r="TKT137" s="553"/>
      <c r="TKU137" s="553"/>
      <c r="TKV137" s="8"/>
      <c r="TKW137" s="8"/>
      <c r="TKX137" s="458"/>
      <c r="TKY137" s="8"/>
      <c r="TKZ137" s="8"/>
      <c r="TLA137" s="547"/>
      <c r="TLB137" s="547"/>
      <c r="TLC137" s="547"/>
      <c r="TLD137" s="547"/>
      <c r="TLE137" s="548"/>
      <c r="TLF137" s="547"/>
      <c r="TLG137" s="547"/>
      <c r="TLH137" s="547"/>
      <c r="TLI137" s="547"/>
      <c r="TLJ137" s="548"/>
      <c r="TLK137" s="547"/>
      <c r="TLL137" s="547"/>
      <c r="TLM137" s="547"/>
      <c r="TLN137" s="547"/>
      <c r="TLO137" s="548"/>
      <c r="TLP137" s="547"/>
      <c r="TLQ137" s="547"/>
      <c r="TLR137" s="547"/>
      <c r="TLS137" s="552"/>
      <c r="TLT137" s="548"/>
      <c r="TLU137" s="552"/>
      <c r="TLV137" s="552"/>
      <c r="TLW137" s="552"/>
      <c r="TLX137" s="552"/>
      <c r="TLY137" s="548"/>
      <c r="TLZ137" s="553"/>
      <c r="TMA137" s="553"/>
      <c r="TMB137" s="553"/>
      <c r="TMC137" s="8"/>
      <c r="TMD137" s="8"/>
      <c r="TME137" s="458"/>
      <c r="TMF137" s="8"/>
      <c r="TMG137" s="8"/>
      <c r="TMH137" s="547"/>
      <c r="TMI137" s="547"/>
      <c r="TMJ137" s="547"/>
      <c r="TMK137" s="547"/>
      <c r="TML137" s="548"/>
      <c r="TMM137" s="547"/>
      <c r="TMN137" s="547"/>
      <c r="TMO137" s="547"/>
      <c r="TMP137" s="547"/>
      <c r="TMQ137" s="548"/>
      <c r="TMR137" s="547"/>
      <c r="TMS137" s="547"/>
      <c r="TMT137" s="547"/>
      <c r="TMU137" s="547"/>
      <c r="TMV137" s="548"/>
      <c r="TMW137" s="547"/>
      <c r="TMX137" s="547"/>
      <c r="TMY137" s="547"/>
      <c r="TMZ137" s="552"/>
      <c r="TNA137" s="548"/>
      <c r="TNB137" s="552"/>
      <c r="TNC137" s="552"/>
      <c r="TND137" s="552"/>
      <c r="TNE137" s="552"/>
      <c r="TNF137" s="548"/>
      <c r="TNG137" s="553"/>
      <c r="TNH137" s="553"/>
      <c r="TNI137" s="553"/>
      <c r="TNJ137" s="8"/>
      <c r="TNK137" s="8"/>
      <c r="TNL137" s="458"/>
      <c r="TNM137" s="8"/>
      <c r="TNN137" s="8"/>
      <c r="TNO137" s="547"/>
      <c r="TNP137" s="547"/>
      <c r="TNQ137" s="547"/>
      <c r="TNR137" s="547"/>
      <c r="TNS137" s="548"/>
      <c r="TNT137" s="547"/>
      <c r="TNU137" s="547"/>
      <c r="TNV137" s="547"/>
      <c r="TNW137" s="547"/>
      <c r="TNX137" s="548"/>
      <c r="TNY137" s="547"/>
      <c r="TNZ137" s="547"/>
      <c r="TOA137" s="547"/>
      <c r="TOB137" s="547"/>
      <c r="TOC137" s="548"/>
      <c r="TOD137" s="547"/>
      <c r="TOE137" s="547"/>
      <c r="TOF137" s="547"/>
      <c r="TOG137" s="552"/>
      <c r="TOH137" s="548"/>
      <c r="TOI137" s="552"/>
      <c r="TOJ137" s="552"/>
      <c r="TOK137" s="552"/>
      <c r="TOL137" s="552"/>
      <c r="TOM137" s="548"/>
      <c r="TON137" s="553"/>
      <c r="TOO137" s="553"/>
      <c r="TOP137" s="553"/>
      <c r="TOQ137" s="8"/>
      <c r="TOR137" s="8"/>
      <c r="TOS137" s="458"/>
      <c r="TOT137" s="8"/>
      <c r="TOU137" s="8"/>
      <c r="TOV137" s="547"/>
      <c r="TOW137" s="547"/>
      <c r="TOX137" s="547"/>
      <c r="TOY137" s="547"/>
      <c r="TOZ137" s="548"/>
      <c r="TPA137" s="547"/>
      <c r="TPB137" s="547"/>
      <c r="TPC137" s="547"/>
      <c r="TPD137" s="547"/>
      <c r="TPE137" s="548"/>
      <c r="TPF137" s="547"/>
      <c r="TPG137" s="547"/>
      <c r="TPH137" s="547"/>
      <c r="TPI137" s="547"/>
      <c r="TPJ137" s="548"/>
      <c r="TPK137" s="547"/>
      <c r="TPL137" s="547"/>
      <c r="TPM137" s="547"/>
      <c r="TPN137" s="552"/>
      <c r="TPO137" s="548"/>
      <c r="TPP137" s="552"/>
      <c r="TPQ137" s="552"/>
      <c r="TPR137" s="552"/>
      <c r="TPS137" s="552"/>
      <c r="TPT137" s="548"/>
      <c r="TPU137" s="553"/>
      <c r="TPV137" s="553"/>
      <c r="TPW137" s="553"/>
      <c r="TPX137" s="8"/>
      <c r="TPY137" s="8"/>
      <c r="TPZ137" s="458"/>
      <c r="TQA137" s="8"/>
      <c r="TQB137" s="8"/>
      <c r="TQC137" s="547"/>
      <c r="TQD137" s="547"/>
      <c r="TQE137" s="547"/>
      <c r="TQF137" s="547"/>
      <c r="TQG137" s="548"/>
      <c r="TQH137" s="547"/>
      <c r="TQI137" s="547"/>
      <c r="TQJ137" s="547"/>
      <c r="TQK137" s="547"/>
      <c r="TQL137" s="548"/>
      <c r="TQM137" s="547"/>
      <c r="TQN137" s="547"/>
      <c r="TQO137" s="547"/>
      <c r="TQP137" s="547"/>
      <c r="TQQ137" s="548"/>
      <c r="TQR137" s="547"/>
      <c r="TQS137" s="547"/>
      <c r="TQT137" s="547"/>
      <c r="TQU137" s="552"/>
      <c r="TQV137" s="548"/>
      <c r="TQW137" s="552"/>
      <c r="TQX137" s="552"/>
      <c r="TQY137" s="552"/>
      <c r="TQZ137" s="552"/>
      <c r="TRA137" s="548"/>
      <c r="TRB137" s="553"/>
      <c r="TRC137" s="553"/>
      <c r="TRD137" s="553"/>
      <c r="TRE137" s="8"/>
      <c r="TRF137" s="8"/>
      <c r="TRG137" s="458"/>
      <c r="TRH137" s="8"/>
      <c r="TRI137" s="8"/>
      <c r="TRJ137" s="547"/>
      <c r="TRK137" s="547"/>
      <c r="TRL137" s="547"/>
      <c r="TRM137" s="547"/>
      <c r="TRN137" s="548"/>
      <c r="TRO137" s="547"/>
      <c r="TRP137" s="547"/>
      <c r="TRQ137" s="547"/>
      <c r="TRR137" s="547"/>
      <c r="TRS137" s="548"/>
      <c r="TRT137" s="547"/>
      <c r="TRU137" s="547"/>
      <c r="TRV137" s="547"/>
      <c r="TRW137" s="547"/>
      <c r="TRX137" s="548"/>
      <c r="TRY137" s="547"/>
      <c r="TRZ137" s="547"/>
      <c r="TSA137" s="547"/>
      <c r="TSB137" s="552"/>
      <c r="TSC137" s="548"/>
      <c r="TSD137" s="552"/>
      <c r="TSE137" s="552"/>
      <c r="TSF137" s="552"/>
      <c r="TSG137" s="552"/>
      <c r="TSH137" s="548"/>
      <c r="TSI137" s="553"/>
      <c r="TSJ137" s="553"/>
      <c r="TSK137" s="553"/>
      <c r="TSL137" s="8"/>
      <c r="TSM137" s="8"/>
      <c r="TSN137" s="458"/>
      <c r="TSO137" s="8"/>
      <c r="TSP137" s="8"/>
      <c r="TSQ137" s="547"/>
      <c r="TSR137" s="547"/>
      <c r="TSS137" s="547"/>
      <c r="TST137" s="547"/>
      <c r="TSU137" s="548"/>
      <c r="TSV137" s="547"/>
      <c r="TSW137" s="547"/>
      <c r="TSX137" s="547"/>
      <c r="TSY137" s="547"/>
      <c r="TSZ137" s="548"/>
      <c r="TTA137" s="547"/>
      <c r="TTB137" s="547"/>
      <c r="TTC137" s="547"/>
      <c r="TTD137" s="547"/>
      <c r="TTE137" s="548"/>
      <c r="TTF137" s="547"/>
      <c r="TTG137" s="547"/>
      <c r="TTH137" s="547"/>
      <c r="TTI137" s="552"/>
      <c r="TTJ137" s="548"/>
      <c r="TTK137" s="552"/>
      <c r="TTL137" s="552"/>
      <c r="TTM137" s="552"/>
      <c r="TTN137" s="552"/>
      <c r="TTO137" s="548"/>
      <c r="TTP137" s="553"/>
      <c r="TTQ137" s="553"/>
      <c r="TTR137" s="553"/>
      <c r="TTS137" s="8"/>
      <c r="TTT137" s="8"/>
      <c r="TTU137" s="458"/>
      <c r="TTV137" s="8"/>
      <c r="TTW137" s="8"/>
      <c r="TTX137" s="547"/>
      <c r="TTY137" s="547"/>
      <c r="TTZ137" s="547"/>
      <c r="TUA137" s="547"/>
      <c r="TUB137" s="548"/>
      <c r="TUC137" s="547"/>
      <c r="TUD137" s="547"/>
      <c r="TUE137" s="547"/>
      <c r="TUF137" s="547"/>
      <c r="TUG137" s="548"/>
      <c r="TUH137" s="547"/>
      <c r="TUI137" s="547"/>
      <c r="TUJ137" s="547"/>
      <c r="TUK137" s="547"/>
      <c r="TUL137" s="548"/>
      <c r="TUM137" s="547"/>
      <c r="TUN137" s="547"/>
      <c r="TUO137" s="547"/>
      <c r="TUP137" s="552"/>
      <c r="TUQ137" s="548"/>
      <c r="TUR137" s="552"/>
      <c r="TUS137" s="552"/>
      <c r="TUT137" s="552"/>
      <c r="TUU137" s="552"/>
      <c r="TUV137" s="548"/>
      <c r="TUW137" s="553"/>
      <c r="TUX137" s="553"/>
      <c r="TUY137" s="553"/>
      <c r="TUZ137" s="8"/>
      <c r="TVA137" s="8"/>
      <c r="TVB137" s="458"/>
      <c r="TVC137" s="8"/>
      <c r="TVD137" s="8"/>
      <c r="TVE137" s="547"/>
      <c r="TVF137" s="547"/>
      <c r="TVG137" s="547"/>
      <c r="TVH137" s="547"/>
      <c r="TVI137" s="548"/>
      <c r="TVJ137" s="547"/>
      <c r="TVK137" s="547"/>
      <c r="TVL137" s="547"/>
      <c r="TVM137" s="547"/>
      <c r="TVN137" s="548"/>
      <c r="TVO137" s="547"/>
      <c r="TVP137" s="547"/>
      <c r="TVQ137" s="547"/>
      <c r="TVR137" s="547"/>
      <c r="TVS137" s="548"/>
      <c r="TVT137" s="547"/>
      <c r="TVU137" s="547"/>
      <c r="TVV137" s="547"/>
      <c r="TVW137" s="552"/>
      <c r="TVX137" s="548"/>
      <c r="TVY137" s="552"/>
      <c r="TVZ137" s="552"/>
      <c r="TWA137" s="552"/>
      <c r="TWB137" s="552"/>
      <c r="TWC137" s="548"/>
      <c r="TWD137" s="553"/>
      <c r="TWE137" s="553"/>
      <c r="TWF137" s="553"/>
      <c r="TWG137" s="8"/>
      <c r="TWH137" s="8"/>
      <c r="TWI137" s="458"/>
      <c r="TWJ137" s="8"/>
      <c r="TWK137" s="8"/>
      <c r="TWL137" s="547"/>
      <c r="TWM137" s="547"/>
      <c r="TWN137" s="547"/>
      <c r="TWO137" s="547"/>
      <c r="TWP137" s="548"/>
      <c r="TWQ137" s="547"/>
      <c r="TWR137" s="547"/>
      <c r="TWS137" s="547"/>
      <c r="TWT137" s="547"/>
      <c r="TWU137" s="548"/>
      <c r="TWV137" s="547"/>
      <c r="TWW137" s="547"/>
      <c r="TWX137" s="547"/>
      <c r="TWY137" s="547"/>
      <c r="TWZ137" s="548"/>
      <c r="TXA137" s="547"/>
      <c r="TXB137" s="547"/>
      <c r="TXC137" s="547"/>
      <c r="TXD137" s="552"/>
      <c r="TXE137" s="548"/>
      <c r="TXF137" s="552"/>
      <c r="TXG137" s="552"/>
      <c r="TXH137" s="552"/>
      <c r="TXI137" s="552"/>
      <c r="TXJ137" s="548"/>
      <c r="TXK137" s="553"/>
      <c r="TXL137" s="553"/>
      <c r="TXM137" s="553"/>
      <c r="TXN137" s="8"/>
      <c r="TXO137" s="8"/>
      <c r="TXP137" s="458"/>
      <c r="TXQ137" s="8"/>
      <c r="TXR137" s="8"/>
      <c r="TXS137" s="547"/>
      <c r="TXT137" s="547"/>
      <c r="TXU137" s="547"/>
      <c r="TXV137" s="547"/>
      <c r="TXW137" s="548"/>
      <c r="TXX137" s="547"/>
      <c r="TXY137" s="547"/>
      <c r="TXZ137" s="547"/>
      <c r="TYA137" s="547"/>
      <c r="TYB137" s="548"/>
      <c r="TYC137" s="547"/>
      <c r="TYD137" s="547"/>
      <c r="TYE137" s="547"/>
      <c r="TYF137" s="547"/>
      <c r="TYG137" s="548"/>
      <c r="TYH137" s="547"/>
      <c r="TYI137" s="547"/>
      <c r="TYJ137" s="547"/>
      <c r="TYK137" s="552"/>
      <c r="TYL137" s="548"/>
      <c r="TYM137" s="552"/>
      <c r="TYN137" s="552"/>
      <c r="TYO137" s="552"/>
      <c r="TYP137" s="552"/>
      <c r="TYQ137" s="548"/>
      <c r="TYR137" s="553"/>
      <c r="TYS137" s="553"/>
      <c r="TYT137" s="553"/>
      <c r="TYU137" s="8"/>
      <c r="TYV137" s="8"/>
      <c r="TYW137" s="458"/>
      <c r="TYX137" s="8"/>
      <c r="TYY137" s="8"/>
      <c r="TYZ137" s="547"/>
      <c r="TZA137" s="547"/>
      <c r="TZB137" s="547"/>
      <c r="TZC137" s="547"/>
      <c r="TZD137" s="548"/>
      <c r="TZE137" s="547"/>
      <c r="TZF137" s="547"/>
      <c r="TZG137" s="547"/>
      <c r="TZH137" s="547"/>
      <c r="TZI137" s="548"/>
      <c r="TZJ137" s="547"/>
      <c r="TZK137" s="547"/>
      <c r="TZL137" s="547"/>
      <c r="TZM137" s="547"/>
      <c r="TZN137" s="548"/>
      <c r="TZO137" s="547"/>
      <c r="TZP137" s="547"/>
      <c r="TZQ137" s="547"/>
      <c r="TZR137" s="552"/>
      <c r="TZS137" s="548"/>
      <c r="TZT137" s="552"/>
      <c r="TZU137" s="552"/>
      <c r="TZV137" s="552"/>
      <c r="TZW137" s="552"/>
      <c r="TZX137" s="548"/>
      <c r="TZY137" s="553"/>
      <c r="TZZ137" s="553"/>
      <c r="UAA137" s="553"/>
      <c r="UAB137" s="8"/>
      <c r="UAC137" s="8"/>
      <c r="UAD137" s="458"/>
      <c r="UAE137" s="8"/>
      <c r="UAF137" s="8"/>
      <c r="UAG137" s="547"/>
      <c r="UAH137" s="547"/>
      <c r="UAI137" s="547"/>
      <c r="UAJ137" s="547"/>
      <c r="UAK137" s="548"/>
      <c r="UAL137" s="547"/>
      <c r="UAM137" s="547"/>
      <c r="UAN137" s="547"/>
      <c r="UAO137" s="547"/>
      <c r="UAP137" s="548"/>
      <c r="UAQ137" s="547"/>
      <c r="UAR137" s="547"/>
      <c r="UAS137" s="547"/>
      <c r="UAT137" s="547"/>
      <c r="UAU137" s="548"/>
      <c r="UAV137" s="547"/>
      <c r="UAW137" s="547"/>
      <c r="UAX137" s="547"/>
      <c r="UAY137" s="552"/>
      <c r="UAZ137" s="548"/>
      <c r="UBA137" s="552"/>
      <c r="UBB137" s="552"/>
      <c r="UBC137" s="552"/>
      <c r="UBD137" s="552"/>
      <c r="UBE137" s="548"/>
      <c r="UBF137" s="553"/>
      <c r="UBG137" s="553"/>
      <c r="UBH137" s="553"/>
      <c r="UBI137" s="8"/>
      <c r="UBJ137" s="8"/>
      <c r="UBK137" s="458"/>
      <c r="UBL137" s="8"/>
      <c r="UBM137" s="8"/>
      <c r="UBN137" s="547"/>
      <c r="UBO137" s="547"/>
      <c r="UBP137" s="547"/>
      <c r="UBQ137" s="547"/>
      <c r="UBR137" s="548"/>
      <c r="UBS137" s="547"/>
      <c r="UBT137" s="547"/>
      <c r="UBU137" s="547"/>
      <c r="UBV137" s="547"/>
      <c r="UBW137" s="548"/>
      <c r="UBX137" s="547"/>
      <c r="UBY137" s="547"/>
      <c r="UBZ137" s="547"/>
      <c r="UCA137" s="547"/>
      <c r="UCB137" s="548"/>
      <c r="UCC137" s="547"/>
      <c r="UCD137" s="547"/>
      <c r="UCE137" s="547"/>
      <c r="UCF137" s="552"/>
      <c r="UCG137" s="548"/>
      <c r="UCH137" s="552"/>
      <c r="UCI137" s="552"/>
      <c r="UCJ137" s="552"/>
      <c r="UCK137" s="552"/>
      <c r="UCL137" s="548"/>
      <c r="UCM137" s="553"/>
      <c r="UCN137" s="553"/>
      <c r="UCO137" s="553"/>
      <c r="UCP137" s="8"/>
      <c r="UCQ137" s="8"/>
      <c r="UCR137" s="458"/>
      <c r="UCS137" s="8"/>
      <c r="UCT137" s="8"/>
      <c r="UCU137" s="547"/>
      <c r="UCV137" s="547"/>
      <c r="UCW137" s="547"/>
      <c r="UCX137" s="547"/>
      <c r="UCY137" s="548"/>
      <c r="UCZ137" s="547"/>
      <c r="UDA137" s="547"/>
      <c r="UDB137" s="547"/>
      <c r="UDC137" s="547"/>
      <c r="UDD137" s="548"/>
      <c r="UDE137" s="547"/>
      <c r="UDF137" s="547"/>
      <c r="UDG137" s="547"/>
      <c r="UDH137" s="547"/>
      <c r="UDI137" s="548"/>
      <c r="UDJ137" s="547"/>
      <c r="UDK137" s="547"/>
      <c r="UDL137" s="547"/>
      <c r="UDM137" s="552"/>
      <c r="UDN137" s="548"/>
      <c r="UDO137" s="552"/>
      <c r="UDP137" s="552"/>
      <c r="UDQ137" s="552"/>
      <c r="UDR137" s="552"/>
      <c r="UDS137" s="548"/>
      <c r="UDT137" s="553"/>
      <c r="UDU137" s="553"/>
      <c r="UDV137" s="553"/>
      <c r="UDW137" s="8"/>
      <c r="UDX137" s="8"/>
      <c r="UDY137" s="458"/>
      <c r="UDZ137" s="8"/>
      <c r="UEA137" s="8"/>
      <c r="UEB137" s="547"/>
      <c r="UEC137" s="547"/>
      <c r="UED137" s="547"/>
      <c r="UEE137" s="547"/>
      <c r="UEF137" s="548"/>
      <c r="UEG137" s="547"/>
      <c r="UEH137" s="547"/>
      <c r="UEI137" s="547"/>
      <c r="UEJ137" s="547"/>
      <c r="UEK137" s="548"/>
      <c r="UEL137" s="547"/>
      <c r="UEM137" s="547"/>
      <c r="UEN137" s="547"/>
      <c r="UEO137" s="547"/>
      <c r="UEP137" s="548"/>
      <c r="UEQ137" s="547"/>
      <c r="UER137" s="547"/>
      <c r="UES137" s="547"/>
      <c r="UET137" s="552"/>
      <c r="UEU137" s="548"/>
      <c r="UEV137" s="552"/>
      <c r="UEW137" s="552"/>
      <c r="UEX137" s="552"/>
      <c r="UEY137" s="552"/>
      <c r="UEZ137" s="548"/>
      <c r="UFA137" s="553"/>
      <c r="UFB137" s="553"/>
      <c r="UFC137" s="553"/>
      <c r="UFD137" s="8"/>
      <c r="UFE137" s="8"/>
      <c r="UFF137" s="458"/>
      <c r="UFG137" s="8"/>
      <c r="UFH137" s="8"/>
      <c r="UFI137" s="547"/>
      <c r="UFJ137" s="547"/>
      <c r="UFK137" s="547"/>
      <c r="UFL137" s="547"/>
      <c r="UFM137" s="548"/>
      <c r="UFN137" s="547"/>
      <c r="UFO137" s="547"/>
      <c r="UFP137" s="547"/>
      <c r="UFQ137" s="547"/>
      <c r="UFR137" s="548"/>
      <c r="UFS137" s="547"/>
      <c r="UFT137" s="547"/>
      <c r="UFU137" s="547"/>
      <c r="UFV137" s="547"/>
      <c r="UFW137" s="548"/>
      <c r="UFX137" s="547"/>
      <c r="UFY137" s="547"/>
      <c r="UFZ137" s="547"/>
      <c r="UGA137" s="552"/>
      <c r="UGB137" s="548"/>
      <c r="UGC137" s="552"/>
      <c r="UGD137" s="552"/>
      <c r="UGE137" s="552"/>
      <c r="UGF137" s="552"/>
      <c r="UGG137" s="548"/>
      <c r="UGH137" s="553"/>
      <c r="UGI137" s="553"/>
      <c r="UGJ137" s="553"/>
      <c r="UGK137" s="8"/>
      <c r="UGL137" s="8"/>
      <c r="UGM137" s="458"/>
      <c r="UGN137" s="8"/>
      <c r="UGO137" s="8"/>
      <c r="UGP137" s="547"/>
      <c r="UGQ137" s="547"/>
      <c r="UGR137" s="547"/>
      <c r="UGS137" s="547"/>
      <c r="UGT137" s="548"/>
      <c r="UGU137" s="547"/>
      <c r="UGV137" s="547"/>
      <c r="UGW137" s="547"/>
      <c r="UGX137" s="547"/>
      <c r="UGY137" s="548"/>
      <c r="UGZ137" s="547"/>
      <c r="UHA137" s="547"/>
      <c r="UHB137" s="547"/>
      <c r="UHC137" s="547"/>
      <c r="UHD137" s="548"/>
      <c r="UHE137" s="547"/>
      <c r="UHF137" s="547"/>
      <c r="UHG137" s="547"/>
      <c r="UHH137" s="552"/>
      <c r="UHI137" s="548"/>
      <c r="UHJ137" s="552"/>
      <c r="UHK137" s="552"/>
      <c r="UHL137" s="552"/>
      <c r="UHM137" s="552"/>
      <c r="UHN137" s="548"/>
      <c r="UHO137" s="553"/>
      <c r="UHP137" s="553"/>
      <c r="UHQ137" s="553"/>
      <c r="UHR137" s="8"/>
      <c r="UHS137" s="8"/>
      <c r="UHT137" s="458"/>
      <c r="UHU137" s="8"/>
      <c r="UHV137" s="8"/>
      <c r="UHW137" s="547"/>
      <c r="UHX137" s="547"/>
      <c r="UHY137" s="547"/>
      <c r="UHZ137" s="547"/>
      <c r="UIA137" s="548"/>
      <c r="UIB137" s="547"/>
      <c r="UIC137" s="547"/>
      <c r="UID137" s="547"/>
      <c r="UIE137" s="547"/>
      <c r="UIF137" s="548"/>
      <c r="UIG137" s="547"/>
      <c r="UIH137" s="547"/>
      <c r="UII137" s="547"/>
      <c r="UIJ137" s="547"/>
      <c r="UIK137" s="548"/>
      <c r="UIL137" s="547"/>
      <c r="UIM137" s="547"/>
      <c r="UIN137" s="547"/>
      <c r="UIO137" s="552"/>
      <c r="UIP137" s="548"/>
      <c r="UIQ137" s="552"/>
      <c r="UIR137" s="552"/>
      <c r="UIS137" s="552"/>
      <c r="UIT137" s="552"/>
      <c r="UIU137" s="548"/>
      <c r="UIV137" s="553"/>
      <c r="UIW137" s="553"/>
      <c r="UIX137" s="553"/>
      <c r="UIY137" s="8"/>
      <c r="UIZ137" s="8"/>
      <c r="UJA137" s="458"/>
      <c r="UJB137" s="8"/>
      <c r="UJC137" s="8"/>
      <c r="UJD137" s="547"/>
      <c r="UJE137" s="547"/>
      <c r="UJF137" s="547"/>
      <c r="UJG137" s="547"/>
      <c r="UJH137" s="548"/>
      <c r="UJI137" s="547"/>
      <c r="UJJ137" s="547"/>
      <c r="UJK137" s="547"/>
      <c r="UJL137" s="547"/>
      <c r="UJM137" s="548"/>
      <c r="UJN137" s="547"/>
      <c r="UJO137" s="547"/>
      <c r="UJP137" s="547"/>
      <c r="UJQ137" s="547"/>
      <c r="UJR137" s="548"/>
      <c r="UJS137" s="547"/>
      <c r="UJT137" s="547"/>
      <c r="UJU137" s="547"/>
      <c r="UJV137" s="552"/>
      <c r="UJW137" s="548"/>
      <c r="UJX137" s="552"/>
      <c r="UJY137" s="552"/>
      <c r="UJZ137" s="552"/>
      <c r="UKA137" s="552"/>
      <c r="UKB137" s="548"/>
      <c r="UKC137" s="553"/>
      <c r="UKD137" s="553"/>
      <c r="UKE137" s="553"/>
      <c r="UKF137" s="8"/>
      <c r="UKG137" s="8"/>
      <c r="UKH137" s="458"/>
      <c r="UKI137" s="8"/>
      <c r="UKJ137" s="8"/>
      <c r="UKK137" s="547"/>
      <c r="UKL137" s="547"/>
      <c r="UKM137" s="547"/>
      <c r="UKN137" s="547"/>
      <c r="UKO137" s="548"/>
      <c r="UKP137" s="547"/>
      <c r="UKQ137" s="547"/>
      <c r="UKR137" s="547"/>
      <c r="UKS137" s="547"/>
      <c r="UKT137" s="548"/>
      <c r="UKU137" s="547"/>
      <c r="UKV137" s="547"/>
      <c r="UKW137" s="547"/>
      <c r="UKX137" s="547"/>
      <c r="UKY137" s="548"/>
      <c r="UKZ137" s="547"/>
      <c r="ULA137" s="547"/>
      <c r="ULB137" s="547"/>
      <c r="ULC137" s="552"/>
      <c r="ULD137" s="548"/>
      <c r="ULE137" s="552"/>
      <c r="ULF137" s="552"/>
      <c r="ULG137" s="552"/>
      <c r="ULH137" s="552"/>
      <c r="ULI137" s="548"/>
      <c r="ULJ137" s="553"/>
      <c r="ULK137" s="553"/>
      <c r="ULL137" s="553"/>
      <c r="ULM137" s="8"/>
      <c r="ULN137" s="8"/>
      <c r="ULO137" s="458"/>
      <c r="ULP137" s="8"/>
      <c r="ULQ137" s="8"/>
      <c r="ULR137" s="547"/>
      <c r="ULS137" s="547"/>
      <c r="ULT137" s="547"/>
      <c r="ULU137" s="547"/>
      <c r="ULV137" s="548"/>
      <c r="ULW137" s="547"/>
      <c r="ULX137" s="547"/>
      <c r="ULY137" s="547"/>
      <c r="ULZ137" s="547"/>
      <c r="UMA137" s="548"/>
      <c r="UMB137" s="547"/>
      <c r="UMC137" s="547"/>
      <c r="UMD137" s="547"/>
      <c r="UME137" s="547"/>
      <c r="UMF137" s="548"/>
      <c r="UMG137" s="547"/>
      <c r="UMH137" s="547"/>
      <c r="UMI137" s="547"/>
      <c r="UMJ137" s="552"/>
      <c r="UMK137" s="548"/>
      <c r="UML137" s="552"/>
      <c r="UMM137" s="552"/>
      <c r="UMN137" s="552"/>
      <c r="UMO137" s="552"/>
      <c r="UMP137" s="548"/>
      <c r="UMQ137" s="553"/>
      <c r="UMR137" s="553"/>
      <c r="UMS137" s="553"/>
      <c r="UMT137" s="8"/>
      <c r="UMU137" s="8"/>
      <c r="UMV137" s="458"/>
      <c r="UMW137" s="8"/>
      <c r="UMX137" s="8"/>
      <c r="UMY137" s="547"/>
      <c r="UMZ137" s="547"/>
      <c r="UNA137" s="547"/>
      <c r="UNB137" s="547"/>
      <c r="UNC137" s="548"/>
      <c r="UND137" s="547"/>
      <c r="UNE137" s="547"/>
      <c r="UNF137" s="547"/>
      <c r="UNG137" s="547"/>
      <c r="UNH137" s="548"/>
      <c r="UNI137" s="547"/>
      <c r="UNJ137" s="547"/>
      <c r="UNK137" s="547"/>
      <c r="UNL137" s="547"/>
      <c r="UNM137" s="548"/>
      <c r="UNN137" s="547"/>
      <c r="UNO137" s="547"/>
      <c r="UNP137" s="547"/>
      <c r="UNQ137" s="552"/>
      <c r="UNR137" s="548"/>
      <c r="UNS137" s="552"/>
      <c r="UNT137" s="552"/>
      <c r="UNU137" s="552"/>
      <c r="UNV137" s="552"/>
      <c r="UNW137" s="548"/>
      <c r="UNX137" s="553"/>
      <c r="UNY137" s="553"/>
      <c r="UNZ137" s="553"/>
      <c r="UOA137" s="8"/>
      <c r="UOB137" s="8"/>
      <c r="UOC137" s="458"/>
      <c r="UOD137" s="8"/>
      <c r="UOE137" s="8"/>
      <c r="UOF137" s="547"/>
      <c r="UOG137" s="547"/>
      <c r="UOH137" s="547"/>
      <c r="UOI137" s="547"/>
      <c r="UOJ137" s="548"/>
      <c r="UOK137" s="547"/>
      <c r="UOL137" s="547"/>
      <c r="UOM137" s="547"/>
      <c r="UON137" s="547"/>
      <c r="UOO137" s="548"/>
      <c r="UOP137" s="547"/>
      <c r="UOQ137" s="547"/>
      <c r="UOR137" s="547"/>
      <c r="UOS137" s="547"/>
      <c r="UOT137" s="548"/>
      <c r="UOU137" s="547"/>
      <c r="UOV137" s="547"/>
      <c r="UOW137" s="547"/>
      <c r="UOX137" s="552"/>
      <c r="UOY137" s="548"/>
      <c r="UOZ137" s="552"/>
      <c r="UPA137" s="552"/>
      <c r="UPB137" s="552"/>
      <c r="UPC137" s="552"/>
      <c r="UPD137" s="548"/>
      <c r="UPE137" s="553"/>
      <c r="UPF137" s="553"/>
      <c r="UPG137" s="553"/>
      <c r="UPH137" s="8"/>
      <c r="UPI137" s="8"/>
      <c r="UPJ137" s="458"/>
      <c r="UPK137" s="8"/>
      <c r="UPL137" s="8"/>
      <c r="UPM137" s="547"/>
      <c r="UPN137" s="547"/>
      <c r="UPO137" s="547"/>
      <c r="UPP137" s="547"/>
      <c r="UPQ137" s="548"/>
      <c r="UPR137" s="547"/>
      <c r="UPS137" s="547"/>
      <c r="UPT137" s="547"/>
      <c r="UPU137" s="547"/>
      <c r="UPV137" s="548"/>
      <c r="UPW137" s="547"/>
      <c r="UPX137" s="547"/>
      <c r="UPY137" s="547"/>
      <c r="UPZ137" s="547"/>
      <c r="UQA137" s="548"/>
      <c r="UQB137" s="547"/>
      <c r="UQC137" s="547"/>
      <c r="UQD137" s="547"/>
      <c r="UQE137" s="552"/>
      <c r="UQF137" s="548"/>
      <c r="UQG137" s="552"/>
      <c r="UQH137" s="552"/>
      <c r="UQI137" s="552"/>
      <c r="UQJ137" s="552"/>
      <c r="UQK137" s="548"/>
      <c r="UQL137" s="553"/>
      <c r="UQM137" s="553"/>
      <c r="UQN137" s="553"/>
      <c r="UQO137" s="8"/>
      <c r="UQP137" s="8"/>
      <c r="UQQ137" s="458"/>
      <c r="UQR137" s="8"/>
      <c r="UQS137" s="8"/>
      <c r="UQT137" s="547"/>
      <c r="UQU137" s="547"/>
      <c r="UQV137" s="547"/>
      <c r="UQW137" s="547"/>
      <c r="UQX137" s="548"/>
      <c r="UQY137" s="547"/>
      <c r="UQZ137" s="547"/>
      <c r="URA137" s="547"/>
      <c r="URB137" s="547"/>
      <c r="URC137" s="548"/>
      <c r="URD137" s="547"/>
      <c r="URE137" s="547"/>
      <c r="URF137" s="547"/>
      <c r="URG137" s="547"/>
      <c r="URH137" s="548"/>
      <c r="URI137" s="547"/>
      <c r="URJ137" s="547"/>
      <c r="URK137" s="547"/>
      <c r="URL137" s="552"/>
      <c r="URM137" s="548"/>
      <c r="URN137" s="552"/>
      <c r="URO137" s="552"/>
      <c r="URP137" s="552"/>
      <c r="URQ137" s="552"/>
      <c r="URR137" s="548"/>
      <c r="URS137" s="553"/>
      <c r="URT137" s="553"/>
      <c r="URU137" s="553"/>
      <c r="URV137" s="8"/>
      <c r="URW137" s="8"/>
      <c r="URX137" s="458"/>
      <c r="URY137" s="8"/>
      <c r="URZ137" s="8"/>
      <c r="USA137" s="547"/>
      <c r="USB137" s="547"/>
      <c r="USC137" s="547"/>
      <c r="USD137" s="547"/>
      <c r="USE137" s="548"/>
      <c r="USF137" s="547"/>
      <c r="USG137" s="547"/>
      <c r="USH137" s="547"/>
      <c r="USI137" s="547"/>
      <c r="USJ137" s="548"/>
      <c r="USK137" s="547"/>
      <c r="USL137" s="547"/>
      <c r="USM137" s="547"/>
      <c r="USN137" s="547"/>
      <c r="USO137" s="548"/>
      <c r="USP137" s="547"/>
      <c r="USQ137" s="547"/>
      <c r="USR137" s="547"/>
      <c r="USS137" s="552"/>
      <c r="UST137" s="548"/>
      <c r="USU137" s="552"/>
      <c r="USV137" s="552"/>
      <c r="USW137" s="552"/>
      <c r="USX137" s="552"/>
      <c r="USY137" s="548"/>
      <c r="USZ137" s="553"/>
      <c r="UTA137" s="553"/>
      <c r="UTB137" s="553"/>
      <c r="UTC137" s="8"/>
      <c r="UTD137" s="8"/>
      <c r="UTE137" s="458"/>
      <c r="UTF137" s="8"/>
      <c r="UTG137" s="8"/>
      <c r="UTH137" s="547"/>
      <c r="UTI137" s="547"/>
      <c r="UTJ137" s="547"/>
      <c r="UTK137" s="547"/>
      <c r="UTL137" s="548"/>
      <c r="UTM137" s="547"/>
      <c r="UTN137" s="547"/>
      <c r="UTO137" s="547"/>
      <c r="UTP137" s="547"/>
      <c r="UTQ137" s="548"/>
      <c r="UTR137" s="547"/>
      <c r="UTS137" s="547"/>
      <c r="UTT137" s="547"/>
      <c r="UTU137" s="547"/>
      <c r="UTV137" s="548"/>
      <c r="UTW137" s="547"/>
      <c r="UTX137" s="547"/>
      <c r="UTY137" s="547"/>
      <c r="UTZ137" s="552"/>
      <c r="UUA137" s="548"/>
      <c r="UUB137" s="552"/>
      <c r="UUC137" s="552"/>
      <c r="UUD137" s="552"/>
      <c r="UUE137" s="552"/>
      <c r="UUF137" s="548"/>
      <c r="UUG137" s="553"/>
      <c r="UUH137" s="553"/>
      <c r="UUI137" s="553"/>
      <c r="UUJ137" s="8"/>
      <c r="UUK137" s="8"/>
      <c r="UUL137" s="458"/>
      <c r="UUM137" s="8"/>
      <c r="UUN137" s="8"/>
      <c r="UUO137" s="547"/>
      <c r="UUP137" s="547"/>
      <c r="UUQ137" s="547"/>
      <c r="UUR137" s="547"/>
      <c r="UUS137" s="548"/>
      <c r="UUT137" s="547"/>
      <c r="UUU137" s="547"/>
      <c r="UUV137" s="547"/>
      <c r="UUW137" s="547"/>
      <c r="UUX137" s="548"/>
      <c r="UUY137" s="547"/>
      <c r="UUZ137" s="547"/>
      <c r="UVA137" s="547"/>
      <c r="UVB137" s="547"/>
      <c r="UVC137" s="548"/>
      <c r="UVD137" s="547"/>
      <c r="UVE137" s="547"/>
      <c r="UVF137" s="547"/>
      <c r="UVG137" s="552"/>
      <c r="UVH137" s="548"/>
      <c r="UVI137" s="552"/>
      <c r="UVJ137" s="552"/>
      <c r="UVK137" s="552"/>
      <c r="UVL137" s="552"/>
      <c r="UVM137" s="548"/>
      <c r="UVN137" s="553"/>
      <c r="UVO137" s="553"/>
      <c r="UVP137" s="553"/>
      <c r="UVQ137" s="8"/>
      <c r="UVR137" s="8"/>
      <c r="UVS137" s="458"/>
      <c r="UVT137" s="8"/>
      <c r="UVU137" s="8"/>
      <c r="UVV137" s="547"/>
      <c r="UVW137" s="547"/>
      <c r="UVX137" s="547"/>
      <c r="UVY137" s="547"/>
      <c r="UVZ137" s="548"/>
      <c r="UWA137" s="547"/>
      <c r="UWB137" s="547"/>
      <c r="UWC137" s="547"/>
      <c r="UWD137" s="547"/>
      <c r="UWE137" s="548"/>
      <c r="UWF137" s="547"/>
      <c r="UWG137" s="547"/>
      <c r="UWH137" s="547"/>
      <c r="UWI137" s="547"/>
      <c r="UWJ137" s="548"/>
      <c r="UWK137" s="547"/>
      <c r="UWL137" s="547"/>
      <c r="UWM137" s="547"/>
      <c r="UWN137" s="552"/>
      <c r="UWO137" s="548"/>
      <c r="UWP137" s="552"/>
      <c r="UWQ137" s="552"/>
      <c r="UWR137" s="552"/>
      <c r="UWS137" s="552"/>
      <c r="UWT137" s="548"/>
      <c r="UWU137" s="553"/>
      <c r="UWV137" s="553"/>
      <c r="UWW137" s="553"/>
      <c r="UWX137" s="8"/>
      <c r="UWY137" s="8"/>
      <c r="UWZ137" s="458"/>
      <c r="UXA137" s="8"/>
      <c r="UXB137" s="8"/>
      <c r="UXC137" s="547"/>
      <c r="UXD137" s="547"/>
      <c r="UXE137" s="547"/>
      <c r="UXF137" s="547"/>
      <c r="UXG137" s="548"/>
      <c r="UXH137" s="547"/>
      <c r="UXI137" s="547"/>
      <c r="UXJ137" s="547"/>
      <c r="UXK137" s="547"/>
      <c r="UXL137" s="548"/>
      <c r="UXM137" s="547"/>
      <c r="UXN137" s="547"/>
      <c r="UXO137" s="547"/>
      <c r="UXP137" s="547"/>
      <c r="UXQ137" s="548"/>
      <c r="UXR137" s="547"/>
      <c r="UXS137" s="547"/>
      <c r="UXT137" s="547"/>
      <c r="UXU137" s="552"/>
      <c r="UXV137" s="548"/>
      <c r="UXW137" s="552"/>
      <c r="UXX137" s="552"/>
      <c r="UXY137" s="552"/>
      <c r="UXZ137" s="552"/>
      <c r="UYA137" s="548"/>
      <c r="UYB137" s="553"/>
      <c r="UYC137" s="553"/>
      <c r="UYD137" s="553"/>
      <c r="UYE137" s="8"/>
      <c r="UYF137" s="8"/>
      <c r="UYG137" s="458"/>
      <c r="UYH137" s="8"/>
      <c r="UYI137" s="8"/>
      <c r="UYJ137" s="547"/>
      <c r="UYK137" s="547"/>
      <c r="UYL137" s="547"/>
      <c r="UYM137" s="547"/>
      <c r="UYN137" s="548"/>
      <c r="UYO137" s="547"/>
      <c r="UYP137" s="547"/>
      <c r="UYQ137" s="547"/>
      <c r="UYR137" s="547"/>
      <c r="UYS137" s="548"/>
      <c r="UYT137" s="547"/>
      <c r="UYU137" s="547"/>
      <c r="UYV137" s="547"/>
      <c r="UYW137" s="547"/>
      <c r="UYX137" s="548"/>
      <c r="UYY137" s="547"/>
      <c r="UYZ137" s="547"/>
      <c r="UZA137" s="547"/>
      <c r="UZB137" s="552"/>
      <c r="UZC137" s="548"/>
      <c r="UZD137" s="552"/>
      <c r="UZE137" s="552"/>
      <c r="UZF137" s="552"/>
      <c r="UZG137" s="552"/>
      <c r="UZH137" s="548"/>
      <c r="UZI137" s="553"/>
      <c r="UZJ137" s="553"/>
      <c r="UZK137" s="553"/>
      <c r="UZL137" s="8"/>
      <c r="UZM137" s="8"/>
      <c r="UZN137" s="458"/>
      <c r="UZO137" s="8"/>
      <c r="UZP137" s="8"/>
      <c r="UZQ137" s="547"/>
      <c r="UZR137" s="547"/>
      <c r="UZS137" s="547"/>
      <c r="UZT137" s="547"/>
      <c r="UZU137" s="548"/>
      <c r="UZV137" s="547"/>
      <c r="UZW137" s="547"/>
      <c r="UZX137" s="547"/>
      <c r="UZY137" s="547"/>
      <c r="UZZ137" s="548"/>
      <c r="VAA137" s="547"/>
      <c r="VAB137" s="547"/>
      <c r="VAC137" s="547"/>
      <c r="VAD137" s="547"/>
      <c r="VAE137" s="548"/>
      <c r="VAF137" s="547"/>
      <c r="VAG137" s="547"/>
      <c r="VAH137" s="547"/>
      <c r="VAI137" s="552"/>
      <c r="VAJ137" s="548"/>
      <c r="VAK137" s="552"/>
      <c r="VAL137" s="552"/>
      <c r="VAM137" s="552"/>
      <c r="VAN137" s="552"/>
      <c r="VAO137" s="548"/>
      <c r="VAP137" s="553"/>
      <c r="VAQ137" s="553"/>
      <c r="VAR137" s="553"/>
      <c r="VAS137" s="8"/>
      <c r="VAT137" s="8"/>
      <c r="VAU137" s="458"/>
      <c r="VAV137" s="8"/>
      <c r="VAW137" s="8"/>
      <c r="VAX137" s="547"/>
      <c r="VAY137" s="547"/>
      <c r="VAZ137" s="547"/>
      <c r="VBA137" s="547"/>
      <c r="VBB137" s="548"/>
      <c r="VBC137" s="547"/>
      <c r="VBD137" s="547"/>
      <c r="VBE137" s="547"/>
      <c r="VBF137" s="547"/>
      <c r="VBG137" s="548"/>
      <c r="VBH137" s="547"/>
      <c r="VBI137" s="547"/>
      <c r="VBJ137" s="547"/>
      <c r="VBK137" s="547"/>
      <c r="VBL137" s="548"/>
      <c r="VBM137" s="547"/>
      <c r="VBN137" s="547"/>
      <c r="VBO137" s="547"/>
      <c r="VBP137" s="552"/>
      <c r="VBQ137" s="548"/>
      <c r="VBR137" s="552"/>
      <c r="VBS137" s="552"/>
      <c r="VBT137" s="552"/>
      <c r="VBU137" s="552"/>
      <c r="VBV137" s="548"/>
      <c r="VBW137" s="553"/>
      <c r="VBX137" s="553"/>
      <c r="VBY137" s="553"/>
      <c r="VBZ137" s="8"/>
      <c r="VCA137" s="8"/>
      <c r="VCB137" s="458"/>
      <c r="VCC137" s="8"/>
      <c r="VCD137" s="8"/>
      <c r="VCE137" s="547"/>
      <c r="VCF137" s="547"/>
      <c r="VCG137" s="547"/>
      <c r="VCH137" s="547"/>
      <c r="VCI137" s="548"/>
      <c r="VCJ137" s="547"/>
      <c r="VCK137" s="547"/>
      <c r="VCL137" s="547"/>
      <c r="VCM137" s="547"/>
      <c r="VCN137" s="548"/>
      <c r="VCO137" s="547"/>
      <c r="VCP137" s="547"/>
      <c r="VCQ137" s="547"/>
      <c r="VCR137" s="547"/>
      <c r="VCS137" s="548"/>
      <c r="VCT137" s="547"/>
      <c r="VCU137" s="547"/>
      <c r="VCV137" s="547"/>
      <c r="VCW137" s="552"/>
      <c r="VCX137" s="548"/>
      <c r="VCY137" s="552"/>
      <c r="VCZ137" s="552"/>
      <c r="VDA137" s="552"/>
      <c r="VDB137" s="552"/>
      <c r="VDC137" s="548"/>
      <c r="VDD137" s="553"/>
      <c r="VDE137" s="553"/>
      <c r="VDF137" s="553"/>
      <c r="VDG137" s="8"/>
      <c r="VDH137" s="8"/>
      <c r="VDI137" s="458"/>
      <c r="VDJ137" s="8"/>
      <c r="VDK137" s="8"/>
      <c r="VDL137" s="547"/>
      <c r="VDM137" s="547"/>
      <c r="VDN137" s="547"/>
      <c r="VDO137" s="547"/>
      <c r="VDP137" s="548"/>
      <c r="VDQ137" s="547"/>
      <c r="VDR137" s="547"/>
      <c r="VDS137" s="547"/>
      <c r="VDT137" s="547"/>
      <c r="VDU137" s="548"/>
      <c r="VDV137" s="547"/>
      <c r="VDW137" s="547"/>
      <c r="VDX137" s="547"/>
      <c r="VDY137" s="547"/>
      <c r="VDZ137" s="548"/>
      <c r="VEA137" s="547"/>
      <c r="VEB137" s="547"/>
      <c r="VEC137" s="547"/>
      <c r="VED137" s="552"/>
      <c r="VEE137" s="548"/>
      <c r="VEF137" s="552"/>
      <c r="VEG137" s="552"/>
      <c r="VEH137" s="552"/>
      <c r="VEI137" s="552"/>
      <c r="VEJ137" s="548"/>
      <c r="VEK137" s="553"/>
      <c r="VEL137" s="553"/>
      <c r="VEM137" s="553"/>
      <c r="VEN137" s="8"/>
      <c r="VEO137" s="8"/>
      <c r="VEP137" s="458"/>
      <c r="VEQ137" s="8"/>
      <c r="VER137" s="8"/>
      <c r="VES137" s="547"/>
      <c r="VET137" s="547"/>
      <c r="VEU137" s="547"/>
      <c r="VEV137" s="547"/>
      <c r="VEW137" s="548"/>
      <c r="VEX137" s="547"/>
      <c r="VEY137" s="547"/>
      <c r="VEZ137" s="547"/>
      <c r="VFA137" s="547"/>
      <c r="VFB137" s="548"/>
      <c r="VFC137" s="547"/>
      <c r="VFD137" s="547"/>
      <c r="VFE137" s="547"/>
      <c r="VFF137" s="547"/>
      <c r="VFG137" s="548"/>
      <c r="VFH137" s="547"/>
      <c r="VFI137" s="547"/>
      <c r="VFJ137" s="547"/>
      <c r="VFK137" s="552"/>
      <c r="VFL137" s="548"/>
      <c r="VFM137" s="552"/>
      <c r="VFN137" s="552"/>
      <c r="VFO137" s="552"/>
      <c r="VFP137" s="552"/>
      <c r="VFQ137" s="548"/>
      <c r="VFR137" s="553"/>
      <c r="VFS137" s="553"/>
      <c r="VFT137" s="553"/>
      <c r="VFU137" s="8"/>
      <c r="VFV137" s="8"/>
      <c r="VFW137" s="458"/>
      <c r="VFX137" s="8"/>
      <c r="VFY137" s="8"/>
      <c r="VFZ137" s="547"/>
      <c r="VGA137" s="547"/>
      <c r="VGB137" s="547"/>
      <c r="VGC137" s="547"/>
      <c r="VGD137" s="548"/>
      <c r="VGE137" s="547"/>
      <c r="VGF137" s="547"/>
      <c r="VGG137" s="547"/>
      <c r="VGH137" s="547"/>
      <c r="VGI137" s="548"/>
      <c r="VGJ137" s="547"/>
      <c r="VGK137" s="547"/>
      <c r="VGL137" s="547"/>
      <c r="VGM137" s="547"/>
      <c r="VGN137" s="548"/>
      <c r="VGO137" s="547"/>
      <c r="VGP137" s="547"/>
      <c r="VGQ137" s="547"/>
      <c r="VGR137" s="552"/>
      <c r="VGS137" s="548"/>
      <c r="VGT137" s="552"/>
      <c r="VGU137" s="552"/>
      <c r="VGV137" s="552"/>
      <c r="VGW137" s="552"/>
      <c r="VGX137" s="548"/>
      <c r="VGY137" s="553"/>
      <c r="VGZ137" s="553"/>
      <c r="VHA137" s="553"/>
      <c r="VHB137" s="8"/>
      <c r="VHC137" s="8"/>
      <c r="VHD137" s="458"/>
      <c r="VHE137" s="8"/>
      <c r="VHF137" s="8"/>
      <c r="VHG137" s="547"/>
      <c r="VHH137" s="547"/>
      <c r="VHI137" s="547"/>
      <c r="VHJ137" s="547"/>
      <c r="VHK137" s="548"/>
      <c r="VHL137" s="547"/>
      <c r="VHM137" s="547"/>
      <c r="VHN137" s="547"/>
      <c r="VHO137" s="547"/>
      <c r="VHP137" s="548"/>
      <c r="VHQ137" s="547"/>
      <c r="VHR137" s="547"/>
      <c r="VHS137" s="547"/>
      <c r="VHT137" s="547"/>
      <c r="VHU137" s="548"/>
      <c r="VHV137" s="547"/>
      <c r="VHW137" s="547"/>
      <c r="VHX137" s="547"/>
      <c r="VHY137" s="552"/>
      <c r="VHZ137" s="548"/>
      <c r="VIA137" s="552"/>
      <c r="VIB137" s="552"/>
      <c r="VIC137" s="552"/>
      <c r="VID137" s="552"/>
      <c r="VIE137" s="548"/>
      <c r="VIF137" s="553"/>
      <c r="VIG137" s="553"/>
      <c r="VIH137" s="553"/>
      <c r="VII137" s="8"/>
      <c r="VIJ137" s="8"/>
      <c r="VIK137" s="458"/>
      <c r="VIL137" s="8"/>
      <c r="VIM137" s="8"/>
      <c r="VIN137" s="547"/>
      <c r="VIO137" s="547"/>
      <c r="VIP137" s="547"/>
      <c r="VIQ137" s="547"/>
      <c r="VIR137" s="548"/>
      <c r="VIS137" s="547"/>
      <c r="VIT137" s="547"/>
      <c r="VIU137" s="547"/>
      <c r="VIV137" s="547"/>
      <c r="VIW137" s="548"/>
      <c r="VIX137" s="547"/>
      <c r="VIY137" s="547"/>
      <c r="VIZ137" s="547"/>
      <c r="VJA137" s="547"/>
      <c r="VJB137" s="548"/>
      <c r="VJC137" s="547"/>
      <c r="VJD137" s="547"/>
      <c r="VJE137" s="547"/>
      <c r="VJF137" s="552"/>
      <c r="VJG137" s="548"/>
      <c r="VJH137" s="552"/>
      <c r="VJI137" s="552"/>
      <c r="VJJ137" s="552"/>
      <c r="VJK137" s="552"/>
      <c r="VJL137" s="548"/>
      <c r="VJM137" s="553"/>
      <c r="VJN137" s="553"/>
      <c r="VJO137" s="553"/>
      <c r="VJP137" s="8"/>
      <c r="VJQ137" s="8"/>
      <c r="VJR137" s="458"/>
      <c r="VJS137" s="8"/>
      <c r="VJT137" s="8"/>
      <c r="VJU137" s="547"/>
      <c r="VJV137" s="547"/>
      <c r="VJW137" s="547"/>
      <c r="VJX137" s="547"/>
      <c r="VJY137" s="548"/>
      <c r="VJZ137" s="547"/>
      <c r="VKA137" s="547"/>
      <c r="VKB137" s="547"/>
      <c r="VKC137" s="547"/>
      <c r="VKD137" s="548"/>
      <c r="VKE137" s="547"/>
      <c r="VKF137" s="547"/>
      <c r="VKG137" s="547"/>
      <c r="VKH137" s="547"/>
      <c r="VKI137" s="548"/>
      <c r="VKJ137" s="547"/>
      <c r="VKK137" s="547"/>
      <c r="VKL137" s="547"/>
      <c r="VKM137" s="552"/>
      <c r="VKN137" s="548"/>
      <c r="VKO137" s="552"/>
      <c r="VKP137" s="552"/>
      <c r="VKQ137" s="552"/>
      <c r="VKR137" s="552"/>
      <c r="VKS137" s="548"/>
      <c r="VKT137" s="553"/>
      <c r="VKU137" s="553"/>
      <c r="VKV137" s="553"/>
      <c r="VKW137" s="8"/>
      <c r="VKX137" s="8"/>
      <c r="VKY137" s="458"/>
      <c r="VKZ137" s="8"/>
      <c r="VLA137" s="8"/>
      <c r="VLB137" s="547"/>
      <c r="VLC137" s="547"/>
      <c r="VLD137" s="547"/>
      <c r="VLE137" s="547"/>
      <c r="VLF137" s="548"/>
      <c r="VLG137" s="547"/>
      <c r="VLH137" s="547"/>
      <c r="VLI137" s="547"/>
      <c r="VLJ137" s="547"/>
      <c r="VLK137" s="548"/>
      <c r="VLL137" s="547"/>
      <c r="VLM137" s="547"/>
      <c r="VLN137" s="547"/>
      <c r="VLO137" s="547"/>
      <c r="VLP137" s="548"/>
      <c r="VLQ137" s="547"/>
      <c r="VLR137" s="547"/>
      <c r="VLS137" s="547"/>
      <c r="VLT137" s="552"/>
      <c r="VLU137" s="548"/>
      <c r="VLV137" s="552"/>
      <c r="VLW137" s="552"/>
      <c r="VLX137" s="552"/>
      <c r="VLY137" s="552"/>
      <c r="VLZ137" s="548"/>
      <c r="VMA137" s="553"/>
      <c r="VMB137" s="553"/>
      <c r="VMC137" s="553"/>
      <c r="VMD137" s="8"/>
      <c r="VME137" s="8"/>
      <c r="VMF137" s="458"/>
      <c r="VMG137" s="8"/>
      <c r="VMH137" s="8"/>
      <c r="VMI137" s="547"/>
      <c r="VMJ137" s="547"/>
      <c r="VMK137" s="547"/>
      <c r="VML137" s="547"/>
      <c r="VMM137" s="548"/>
      <c r="VMN137" s="547"/>
      <c r="VMO137" s="547"/>
      <c r="VMP137" s="547"/>
      <c r="VMQ137" s="547"/>
      <c r="VMR137" s="548"/>
      <c r="VMS137" s="547"/>
      <c r="VMT137" s="547"/>
      <c r="VMU137" s="547"/>
      <c r="VMV137" s="547"/>
      <c r="VMW137" s="548"/>
      <c r="VMX137" s="547"/>
      <c r="VMY137" s="547"/>
      <c r="VMZ137" s="547"/>
      <c r="VNA137" s="552"/>
      <c r="VNB137" s="548"/>
      <c r="VNC137" s="552"/>
      <c r="VND137" s="552"/>
      <c r="VNE137" s="552"/>
      <c r="VNF137" s="552"/>
      <c r="VNG137" s="548"/>
      <c r="VNH137" s="553"/>
      <c r="VNI137" s="553"/>
      <c r="VNJ137" s="553"/>
      <c r="VNK137" s="8"/>
      <c r="VNL137" s="8"/>
      <c r="VNM137" s="458"/>
      <c r="VNN137" s="8"/>
      <c r="VNO137" s="8"/>
      <c r="VNP137" s="547"/>
      <c r="VNQ137" s="547"/>
      <c r="VNR137" s="547"/>
      <c r="VNS137" s="547"/>
      <c r="VNT137" s="548"/>
      <c r="VNU137" s="547"/>
      <c r="VNV137" s="547"/>
      <c r="VNW137" s="547"/>
      <c r="VNX137" s="547"/>
      <c r="VNY137" s="548"/>
      <c r="VNZ137" s="547"/>
      <c r="VOA137" s="547"/>
      <c r="VOB137" s="547"/>
      <c r="VOC137" s="547"/>
      <c r="VOD137" s="548"/>
      <c r="VOE137" s="547"/>
      <c r="VOF137" s="547"/>
      <c r="VOG137" s="547"/>
      <c r="VOH137" s="552"/>
      <c r="VOI137" s="548"/>
      <c r="VOJ137" s="552"/>
      <c r="VOK137" s="552"/>
      <c r="VOL137" s="552"/>
      <c r="VOM137" s="552"/>
      <c r="VON137" s="548"/>
      <c r="VOO137" s="553"/>
      <c r="VOP137" s="553"/>
      <c r="VOQ137" s="553"/>
      <c r="VOR137" s="8"/>
      <c r="VOS137" s="8"/>
      <c r="VOT137" s="458"/>
      <c r="VOU137" s="8"/>
      <c r="VOV137" s="8"/>
      <c r="VOW137" s="547"/>
      <c r="VOX137" s="547"/>
      <c r="VOY137" s="547"/>
      <c r="VOZ137" s="547"/>
      <c r="VPA137" s="548"/>
      <c r="VPB137" s="547"/>
      <c r="VPC137" s="547"/>
      <c r="VPD137" s="547"/>
      <c r="VPE137" s="547"/>
      <c r="VPF137" s="548"/>
      <c r="VPG137" s="547"/>
      <c r="VPH137" s="547"/>
      <c r="VPI137" s="547"/>
      <c r="VPJ137" s="547"/>
      <c r="VPK137" s="548"/>
      <c r="VPL137" s="547"/>
      <c r="VPM137" s="547"/>
      <c r="VPN137" s="547"/>
      <c r="VPO137" s="552"/>
      <c r="VPP137" s="548"/>
      <c r="VPQ137" s="552"/>
      <c r="VPR137" s="552"/>
      <c r="VPS137" s="552"/>
      <c r="VPT137" s="552"/>
      <c r="VPU137" s="548"/>
      <c r="VPV137" s="553"/>
      <c r="VPW137" s="553"/>
      <c r="VPX137" s="553"/>
      <c r="VPY137" s="8"/>
      <c r="VPZ137" s="8"/>
      <c r="VQA137" s="458"/>
      <c r="VQB137" s="8"/>
      <c r="VQC137" s="8"/>
      <c r="VQD137" s="547"/>
      <c r="VQE137" s="547"/>
      <c r="VQF137" s="547"/>
      <c r="VQG137" s="547"/>
      <c r="VQH137" s="548"/>
      <c r="VQI137" s="547"/>
      <c r="VQJ137" s="547"/>
      <c r="VQK137" s="547"/>
      <c r="VQL137" s="547"/>
      <c r="VQM137" s="548"/>
      <c r="VQN137" s="547"/>
      <c r="VQO137" s="547"/>
      <c r="VQP137" s="547"/>
      <c r="VQQ137" s="547"/>
      <c r="VQR137" s="548"/>
      <c r="VQS137" s="547"/>
      <c r="VQT137" s="547"/>
      <c r="VQU137" s="547"/>
      <c r="VQV137" s="552"/>
      <c r="VQW137" s="548"/>
      <c r="VQX137" s="552"/>
      <c r="VQY137" s="552"/>
      <c r="VQZ137" s="552"/>
      <c r="VRA137" s="552"/>
      <c r="VRB137" s="548"/>
      <c r="VRC137" s="553"/>
      <c r="VRD137" s="553"/>
      <c r="VRE137" s="553"/>
      <c r="VRF137" s="8"/>
      <c r="VRG137" s="8"/>
      <c r="VRH137" s="458"/>
      <c r="VRI137" s="8"/>
      <c r="VRJ137" s="8"/>
      <c r="VRK137" s="547"/>
      <c r="VRL137" s="547"/>
      <c r="VRM137" s="547"/>
      <c r="VRN137" s="547"/>
      <c r="VRO137" s="548"/>
      <c r="VRP137" s="547"/>
      <c r="VRQ137" s="547"/>
      <c r="VRR137" s="547"/>
      <c r="VRS137" s="547"/>
      <c r="VRT137" s="548"/>
      <c r="VRU137" s="547"/>
      <c r="VRV137" s="547"/>
      <c r="VRW137" s="547"/>
      <c r="VRX137" s="547"/>
      <c r="VRY137" s="548"/>
      <c r="VRZ137" s="547"/>
      <c r="VSA137" s="547"/>
      <c r="VSB137" s="547"/>
      <c r="VSC137" s="552"/>
      <c r="VSD137" s="548"/>
      <c r="VSE137" s="552"/>
      <c r="VSF137" s="552"/>
      <c r="VSG137" s="552"/>
      <c r="VSH137" s="552"/>
      <c r="VSI137" s="548"/>
      <c r="VSJ137" s="553"/>
      <c r="VSK137" s="553"/>
      <c r="VSL137" s="553"/>
      <c r="VSM137" s="8"/>
      <c r="VSN137" s="8"/>
      <c r="VSO137" s="458"/>
      <c r="VSP137" s="8"/>
      <c r="VSQ137" s="8"/>
      <c r="VSR137" s="547"/>
      <c r="VSS137" s="547"/>
      <c r="VST137" s="547"/>
      <c r="VSU137" s="547"/>
      <c r="VSV137" s="548"/>
      <c r="VSW137" s="547"/>
      <c r="VSX137" s="547"/>
      <c r="VSY137" s="547"/>
      <c r="VSZ137" s="547"/>
      <c r="VTA137" s="548"/>
      <c r="VTB137" s="547"/>
      <c r="VTC137" s="547"/>
      <c r="VTD137" s="547"/>
      <c r="VTE137" s="547"/>
      <c r="VTF137" s="548"/>
      <c r="VTG137" s="547"/>
      <c r="VTH137" s="547"/>
      <c r="VTI137" s="547"/>
      <c r="VTJ137" s="552"/>
      <c r="VTK137" s="548"/>
      <c r="VTL137" s="552"/>
      <c r="VTM137" s="552"/>
      <c r="VTN137" s="552"/>
      <c r="VTO137" s="552"/>
      <c r="VTP137" s="548"/>
      <c r="VTQ137" s="553"/>
      <c r="VTR137" s="553"/>
      <c r="VTS137" s="553"/>
      <c r="VTT137" s="8"/>
      <c r="VTU137" s="8"/>
      <c r="VTV137" s="458"/>
      <c r="VTW137" s="8"/>
      <c r="VTX137" s="8"/>
      <c r="VTY137" s="547"/>
      <c r="VTZ137" s="547"/>
      <c r="VUA137" s="547"/>
      <c r="VUB137" s="547"/>
      <c r="VUC137" s="548"/>
      <c r="VUD137" s="547"/>
      <c r="VUE137" s="547"/>
      <c r="VUF137" s="547"/>
      <c r="VUG137" s="547"/>
      <c r="VUH137" s="548"/>
      <c r="VUI137" s="547"/>
      <c r="VUJ137" s="547"/>
      <c r="VUK137" s="547"/>
      <c r="VUL137" s="547"/>
      <c r="VUM137" s="548"/>
      <c r="VUN137" s="547"/>
      <c r="VUO137" s="547"/>
      <c r="VUP137" s="547"/>
      <c r="VUQ137" s="552"/>
      <c r="VUR137" s="548"/>
      <c r="VUS137" s="552"/>
      <c r="VUT137" s="552"/>
      <c r="VUU137" s="552"/>
      <c r="VUV137" s="552"/>
      <c r="VUW137" s="548"/>
      <c r="VUX137" s="553"/>
      <c r="VUY137" s="553"/>
      <c r="VUZ137" s="553"/>
      <c r="VVA137" s="8"/>
      <c r="VVB137" s="8"/>
      <c r="VVC137" s="458"/>
      <c r="VVD137" s="8"/>
      <c r="VVE137" s="8"/>
      <c r="VVF137" s="547"/>
      <c r="VVG137" s="547"/>
      <c r="VVH137" s="547"/>
      <c r="VVI137" s="547"/>
      <c r="VVJ137" s="548"/>
      <c r="VVK137" s="547"/>
      <c r="VVL137" s="547"/>
      <c r="VVM137" s="547"/>
      <c r="VVN137" s="547"/>
      <c r="VVO137" s="548"/>
      <c r="VVP137" s="547"/>
      <c r="VVQ137" s="547"/>
      <c r="VVR137" s="547"/>
      <c r="VVS137" s="547"/>
      <c r="VVT137" s="548"/>
      <c r="VVU137" s="547"/>
      <c r="VVV137" s="547"/>
      <c r="VVW137" s="547"/>
      <c r="VVX137" s="552"/>
      <c r="VVY137" s="548"/>
      <c r="VVZ137" s="552"/>
      <c r="VWA137" s="552"/>
      <c r="VWB137" s="552"/>
      <c r="VWC137" s="552"/>
      <c r="VWD137" s="548"/>
      <c r="VWE137" s="553"/>
      <c r="VWF137" s="553"/>
      <c r="VWG137" s="553"/>
      <c r="VWH137" s="8"/>
      <c r="VWI137" s="8"/>
      <c r="VWJ137" s="458"/>
      <c r="VWK137" s="8"/>
      <c r="VWL137" s="8"/>
      <c r="VWM137" s="547"/>
      <c r="VWN137" s="547"/>
      <c r="VWO137" s="547"/>
      <c r="VWP137" s="547"/>
      <c r="VWQ137" s="548"/>
      <c r="VWR137" s="547"/>
      <c r="VWS137" s="547"/>
      <c r="VWT137" s="547"/>
      <c r="VWU137" s="547"/>
      <c r="VWV137" s="548"/>
      <c r="VWW137" s="547"/>
      <c r="VWX137" s="547"/>
      <c r="VWY137" s="547"/>
      <c r="VWZ137" s="547"/>
      <c r="VXA137" s="548"/>
      <c r="VXB137" s="547"/>
      <c r="VXC137" s="547"/>
      <c r="VXD137" s="547"/>
      <c r="VXE137" s="552"/>
      <c r="VXF137" s="548"/>
      <c r="VXG137" s="552"/>
      <c r="VXH137" s="552"/>
      <c r="VXI137" s="552"/>
      <c r="VXJ137" s="552"/>
      <c r="VXK137" s="548"/>
      <c r="VXL137" s="553"/>
      <c r="VXM137" s="553"/>
      <c r="VXN137" s="553"/>
      <c r="VXO137" s="8"/>
      <c r="VXP137" s="8"/>
      <c r="VXQ137" s="458"/>
      <c r="VXR137" s="8"/>
      <c r="VXS137" s="8"/>
      <c r="VXT137" s="547"/>
      <c r="VXU137" s="547"/>
      <c r="VXV137" s="547"/>
      <c r="VXW137" s="547"/>
      <c r="VXX137" s="548"/>
      <c r="VXY137" s="547"/>
      <c r="VXZ137" s="547"/>
      <c r="VYA137" s="547"/>
      <c r="VYB137" s="547"/>
      <c r="VYC137" s="548"/>
      <c r="VYD137" s="547"/>
      <c r="VYE137" s="547"/>
      <c r="VYF137" s="547"/>
      <c r="VYG137" s="547"/>
      <c r="VYH137" s="548"/>
      <c r="VYI137" s="547"/>
      <c r="VYJ137" s="547"/>
      <c r="VYK137" s="547"/>
      <c r="VYL137" s="552"/>
      <c r="VYM137" s="548"/>
      <c r="VYN137" s="552"/>
      <c r="VYO137" s="552"/>
      <c r="VYP137" s="552"/>
      <c r="VYQ137" s="552"/>
      <c r="VYR137" s="548"/>
      <c r="VYS137" s="553"/>
      <c r="VYT137" s="553"/>
      <c r="VYU137" s="553"/>
      <c r="VYV137" s="8"/>
      <c r="VYW137" s="8"/>
      <c r="VYX137" s="458"/>
      <c r="VYY137" s="8"/>
      <c r="VYZ137" s="8"/>
      <c r="VZA137" s="547"/>
      <c r="VZB137" s="547"/>
      <c r="VZC137" s="547"/>
      <c r="VZD137" s="547"/>
      <c r="VZE137" s="548"/>
      <c r="VZF137" s="547"/>
      <c r="VZG137" s="547"/>
      <c r="VZH137" s="547"/>
      <c r="VZI137" s="547"/>
      <c r="VZJ137" s="548"/>
      <c r="VZK137" s="547"/>
      <c r="VZL137" s="547"/>
      <c r="VZM137" s="547"/>
      <c r="VZN137" s="547"/>
      <c r="VZO137" s="548"/>
      <c r="VZP137" s="547"/>
      <c r="VZQ137" s="547"/>
      <c r="VZR137" s="547"/>
      <c r="VZS137" s="552"/>
      <c r="VZT137" s="548"/>
      <c r="VZU137" s="552"/>
      <c r="VZV137" s="552"/>
      <c r="VZW137" s="552"/>
      <c r="VZX137" s="552"/>
      <c r="VZY137" s="548"/>
      <c r="VZZ137" s="553"/>
      <c r="WAA137" s="553"/>
      <c r="WAB137" s="553"/>
      <c r="WAC137" s="8"/>
      <c r="WAD137" s="8"/>
      <c r="WAE137" s="458"/>
      <c r="WAF137" s="8"/>
      <c r="WAG137" s="8"/>
      <c r="WAH137" s="547"/>
      <c r="WAI137" s="547"/>
      <c r="WAJ137" s="547"/>
      <c r="WAK137" s="547"/>
      <c r="WAL137" s="548"/>
      <c r="WAM137" s="547"/>
      <c r="WAN137" s="547"/>
      <c r="WAO137" s="547"/>
      <c r="WAP137" s="547"/>
      <c r="WAQ137" s="548"/>
      <c r="WAR137" s="547"/>
      <c r="WAS137" s="547"/>
      <c r="WAT137" s="547"/>
      <c r="WAU137" s="547"/>
      <c r="WAV137" s="548"/>
      <c r="WAW137" s="547"/>
      <c r="WAX137" s="547"/>
      <c r="WAY137" s="547"/>
      <c r="WAZ137" s="552"/>
      <c r="WBA137" s="548"/>
      <c r="WBB137" s="552"/>
      <c r="WBC137" s="552"/>
      <c r="WBD137" s="552"/>
      <c r="WBE137" s="552"/>
      <c r="WBF137" s="548"/>
      <c r="WBG137" s="553"/>
      <c r="WBH137" s="553"/>
      <c r="WBI137" s="553"/>
      <c r="WBJ137" s="8"/>
      <c r="WBK137" s="8"/>
      <c r="WBL137" s="458"/>
      <c r="WBM137" s="8"/>
      <c r="WBN137" s="8"/>
      <c r="WBO137" s="547"/>
      <c r="WBP137" s="547"/>
      <c r="WBQ137" s="547"/>
      <c r="WBR137" s="547"/>
      <c r="WBS137" s="548"/>
      <c r="WBT137" s="547"/>
      <c r="WBU137" s="547"/>
      <c r="WBV137" s="547"/>
      <c r="WBW137" s="547"/>
      <c r="WBX137" s="548"/>
      <c r="WBY137" s="547"/>
      <c r="WBZ137" s="547"/>
      <c r="WCA137" s="547"/>
      <c r="WCB137" s="547"/>
      <c r="WCC137" s="548"/>
      <c r="WCD137" s="547"/>
      <c r="WCE137" s="547"/>
      <c r="WCF137" s="547"/>
      <c r="WCG137" s="552"/>
      <c r="WCH137" s="548"/>
      <c r="WCI137" s="552"/>
      <c r="WCJ137" s="552"/>
      <c r="WCK137" s="552"/>
      <c r="WCL137" s="552"/>
      <c r="WCM137" s="548"/>
      <c r="WCN137" s="553"/>
      <c r="WCO137" s="553"/>
      <c r="WCP137" s="553"/>
      <c r="WCQ137" s="8"/>
      <c r="WCR137" s="8"/>
      <c r="WCS137" s="458"/>
      <c r="WCT137" s="8"/>
      <c r="WCU137" s="8"/>
      <c r="WCV137" s="547"/>
      <c r="WCW137" s="547"/>
      <c r="WCX137" s="547"/>
      <c r="WCY137" s="547"/>
      <c r="WCZ137" s="548"/>
      <c r="WDA137" s="547"/>
      <c r="WDB137" s="547"/>
      <c r="WDC137" s="547"/>
      <c r="WDD137" s="547"/>
      <c r="WDE137" s="548"/>
      <c r="WDF137" s="547"/>
      <c r="WDG137" s="547"/>
      <c r="WDH137" s="547"/>
      <c r="WDI137" s="547"/>
      <c r="WDJ137" s="548"/>
      <c r="WDK137" s="547"/>
      <c r="WDL137" s="547"/>
      <c r="WDM137" s="547"/>
      <c r="WDN137" s="552"/>
      <c r="WDO137" s="548"/>
      <c r="WDP137" s="552"/>
      <c r="WDQ137" s="552"/>
      <c r="WDR137" s="552"/>
      <c r="WDS137" s="552"/>
      <c r="WDT137" s="548"/>
      <c r="WDU137" s="553"/>
      <c r="WDV137" s="553"/>
      <c r="WDW137" s="553"/>
      <c r="WDX137" s="8"/>
      <c r="WDY137" s="8"/>
      <c r="WDZ137" s="458"/>
      <c r="WEA137" s="8"/>
      <c r="WEB137" s="8"/>
      <c r="WEC137" s="547"/>
      <c r="WED137" s="547"/>
      <c r="WEE137" s="547"/>
      <c r="WEF137" s="547"/>
      <c r="WEG137" s="548"/>
      <c r="WEH137" s="547"/>
      <c r="WEI137" s="547"/>
      <c r="WEJ137" s="547"/>
      <c r="WEK137" s="547"/>
      <c r="WEL137" s="548"/>
      <c r="WEM137" s="547"/>
      <c r="WEN137" s="547"/>
      <c r="WEO137" s="547"/>
      <c r="WEP137" s="547"/>
      <c r="WEQ137" s="548"/>
      <c r="WER137" s="547"/>
      <c r="WES137" s="547"/>
      <c r="WET137" s="547"/>
      <c r="WEU137" s="552"/>
      <c r="WEV137" s="548"/>
      <c r="WEW137" s="552"/>
      <c r="WEX137" s="552"/>
      <c r="WEY137" s="552"/>
      <c r="WEZ137" s="552"/>
      <c r="WFA137" s="548"/>
      <c r="WFB137" s="553"/>
      <c r="WFC137" s="553"/>
      <c r="WFD137" s="553"/>
      <c r="WFE137" s="8"/>
      <c r="WFF137" s="8"/>
      <c r="WFG137" s="458"/>
      <c r="WFH137" s="8"/>
      <c r="WFI137" s="8"/>
      <c r="WFJ137" s="547"/>
      <c r="WFK137" s="547"/>
      <c r="WFL137" s="547"/>
      <c r="WFM137" s="547"/>
      <c r="WFN137" s="548"/>
      <c r="WFO137" s="547"/>
      <c r="WFP137" s="547"/>
      <c r="WFQ137" s="547"/>
      <c r="WFR137" s="547"/>
      <c r="WFS137" s="548"/>
      <c r="WFT137" s="547"/>
      <c r="WFU137" s="547"/>
      <c r="WFV137" s="547"/>
      <c r="WFW137" s="547"/>
      <c r="WFX137" s="548"/>
      <c r="WFY137" s="547"/>
      <c r="WFZ137" s="547"/>
      <c r="WGA137" s="547"/>
      <c r="WGB137" s="552"/>
      <c r="WGC137" s="548"/>
      <c r="WGD137" s="552"/>
      <c r="WGE137" s="552"/>
      <c r="WGF137" s="552"/>
      <c r="WGG137" s="552"/>
      <c r="WGH137" s="548"/>
      <c r="WGI137" s="553"/>
      <c r="WGJ137" s="553"/>
      <c r="WGK137" s="553"/>
      <c r="WGL137" s="8"/>
      <c r="WGM137" s="8"/>
      <c r="WGN137" s="458"/>
      <c r="WGO137" s="8"/>
      <c r="WGP137" s="8"/>
      <c r="WGQ137" s="547"/>
      <c r="WGR137" s="547"/>
      <c r="WGS137" s="547"/>
      <c r="WGT137" s="547"/>
      <c r="WGU137" s="548"/>
      <c r="WGV137" s="547"/>
      <c r="WGW137" s="547"/>
      <c r="WGX137" s="547"/>
      <c r="WGY137" s="547"/>
      <c r="WGZ137" s="548"/>
      <c r="WHA137" s="547"/>
      <c r="WHB137" s="547"/>
      <c r="WHC137" s="547"/>
      <c r="WHD137" s="547"/>
      <c r="WHE137" s="548"/>
      <c r="WHF137" s="547"/>
      <c r="WHG137" s="547"/>
      <c r="WHH137" s="547"/>
      <c r="WHI137" s="552"/>
      <c r="WHJ137" s="548"/>
      <c r="WHK137" s="552"/>
      <c r="WHL137" s="552"/>
      <c r="WHM137" s="552"/>
      <c r="WHN137" s="552"/>
      <c r="WHO137" s="548"/>
      <c r="WHP137" s="553"/>
      <c r="WHQ137" s="553"/>
      <c r="WHR137" s="553"/>
      <c r="WHS137" s="8"/>
      <c r="WHT137" s="8"/>
      <c r="WHU137" s="458"/>
      <c r="WHV137" s="8"/>
      <c r="WHW137" s="8"/>
      <c r="WHX137" s="547"/>
      <c r="WHY137" s="547"/>
      <c r="WHZ137" s="547"/>
      <c r="WIA137" s="547"/>
      <c r="WIB137" s="548"/>
      <c r="WIC137" s="547"/>
      <c r="WID137" s="547"/>
      <c r="WIE137" s="547"/>
      <c r="WIF137" s="547"/>
      <c r="WIG137" s="548"/>
      <c r="WIH137" s="547"/>
      <c r="WII137" s="547"/>
      <c r="WIJ137" s="547"/>
      <c r="WIK137" s="547"/>
      <c r="WIL137" s="548"/>
      <c r="WIM137" s="547"/>
      <c r="WIN137" s="547"/>
      <c r="WIO137" s="547"/>
      <c r="WIP137" s="552"/>
      <c r="WIQ137" s="548"/>
      <c r="WIR137" s="552"/>
      <c r="WIS137" s="552"/>
      <c r="WIT137" s="552"/>
      <c r="WIU137" s="552"/>
      <c r="WIV137" s="548"/>
      <c r="WIW137" s="553"/>
      <c r="WIX137" s="553"/>
      <c r="WIY137" s="553"/>
      <c r="WIZ137" s="8"/>
      <c r="WJA137" s="8"/>
      <c r="WJB137" s="458"/>
      <c r="WJC137" s="8"/>
      <c r="WJD137" s="8"/>
      <c r="WJE137" s="547"/>
      <c r="WJF137" s="547"/>
      <c r="WJG137" s="547"/>
      <c r="WJH137" s="547"/>
      <c r="WJI137" s="548"/>
      <c r="WJJ137" s="547"/>
      <c r="WJK137" s="547"/>
      <c r="WJL137" s="547"/>
      <c r="WJM137" s="547"/>
      <c r="WJN137" s="548"/>
      <c r="WJO137" s="547"/>
      <c r="WJP137" s="547"/>
      <c r="WJQ137" s="547"/>
      <c r="WJR137" s="547"/>
      <c r="WJS137" s="548"/>
      <c r="WJT137" s="547"/>
      <c r="WJU137" s="547"/>
      <c r="WJV137" s="547"/>
      <c r="WJW137" s="552"/>
      <c r="WJX137" s="548"/>
      <c r="WJY137" s="552"/>
      <c r="WJZ137" s="552"/>
      <c r="WKA137" s="552"/>
      <c r="WKB137" s="552"/>
      <c r="WKC137" s="548"/>
      <c r="WKD137" s="553"/>
      <c r="WKE137" s="553"/>
      <c r="WKF137" s="553"/>
      <c r="WKG137" s="8"/>
      <c r="WKH137" s="8"/>
      <c r="WKI137" s="458"/>
      <c r="WKJ137" s="8"/>
      <c r="WKK137" s="8"/>
      <c r="WKL137" s="547"/>
      <c r="WKM137" s="547"/>
      <c r="WKN137" s="547"/>
      <c r="WKO137" s="547"/>
      <c r="WKP137" s="548"/>
      <c r="WKQ137" s="547"/>
      <c r="WKR137" s="547"/>
      <c r="WKS137" s="547"/>
      <c r="WKT137" s="547"/>
      <c r="WKU137" s="548"/>
      <c r="WKV137" s="547"/>
      <c r="WKW137" s="547"/>
      <c r="WKX137" s="547"/>
      <c r="WKY137" s="547"/>
      <c r="WKZ137" s="548"/>
      <c r="WLA137" s="547"/>
      <c r="WLB137" s="547"/>
      <c r="WLC137" s="547"/>
      <c r="WLD137" s="552"/>
      <c r="WLE137" s="548"/>
      <c r="WLF137" s="552"/>
      <c r="WLG137" s="552"/>
      <c r="WLH137" s="552"/>
      <c r="WLI137" s="552"/>
      <c r="WLJ137" s="548"/>
      <c r="WLK137" s="553"/>
      <c r="WLL137" s="553"/>
      <c r="WLM137" s="553"/>
      <c r="WLN137" s="8"/>
      <c r="WLO137" s="8"/>
      <c r="WLP137" s="458"/>
      <c r="WLQ137" s="8"/>
      <c r="WLR137" s="8"/>
      <c r="WLS137" s="547"/>
      <c r="WLT137" s="547"/>
      <c r="WLU137" s="547"/>
      <c r="WLV137" s="547"/>
      <c r="WLW137" s="548"/>
      <c r="WLX137" s="547"/>
      <c r="WLY137" s="547"/>
      <c r="WLZ137" s="547"/>
      <c r="WMA137" s="547"/>
      <c r="WMB137" s="548"/>
      <c r="WMC137" s="547"/>
      <c r="WMD137" s="547"/>
      <c r="WME137" s="547"/>
      <c r="WMF137" s="547"/>
      <c r="WMG137" s="548"/>
      <c r="WMH137" s="547"/>
      <c r="WMI137" s="547"/>
      <c r="WMJ137" s="547"/>
      <c r="WMK137" s="552"/>
      <c r="WML137" s="548"/>
      <c r="WMM137" s="552"/>
      <c r="WMN137" s="552"/>
      <c r="WMO137" s="552"/>
      <c r="WMP137" s="552"/>
      <c r="WMQ137" s="548"/>
      <c r="WMR137" s="553"/>
      <c r="WMS137" s="553"/>
      <c r="WMT137" s="553"/>
      <c r="WMU137" s="8"/>
      <c r="WMV137" s="8"/>
      <c r="WMW137" s="458"/>
      <c r="WMX137" s="8"/>
      <c r="WMY137" s="8"/>
      <c r="WMZ137" s="547"/>
      <c r="WNA137" s="547"/>
      <c r="WNB137" s="547"/>
      <c r="WNC137" s="547"/>
      <c r="WND137" s="548"/>
      <c r="WNE137" s="547"/>
      <c r="WNF137" s="547"/>
      <c r="WNG137" s="547"/>
      <c r="WNH137" s="547"/>
      <c r="WNI137" s="548"/>
      <c r="WNJ137" s="547"/>
      <c r="WNK137" s="547"/>
      <c r="WNL137" s="547"/>
      <c r="WNM137" s="547"/>
      <c r="WNN137" s="548"/>
      <c r="WNO137" s="547"/>
      <c r="WNP137" s="547"/>
      <c r="WNQ137" s="547"/>
      <c r="WNR137" s="552"/>
      <c r="WNS137" s="548"/>
      <c r="WNT137" s="552"/>
      <c r="WNU137" s="552"/>
      <c r="WNV137" s="552"/>
      <c r="WNW137" s="552"/>
      <c r="WNX137" s="548"/>
      <c r="WNY137" s="553"/>
      <c r="WNZ137" s="553"/>
      <c r="WOA137" s="553"/>
      <c r="WOB137" s="8"/>
      <c r="WOC137" s="8"/>
      <c r="WOD137" s="458"/>
      <c r="WOE137" s="8"/>
      <c r="WOF137" s="8"/>
      <c r="WOG137" s="547"/>
      <c r="WOH137" s="547"/>
      <c r="WOI137" s="547"/>
      <c r="WOJ137" s="547"/>
      <c r="WOK137" s="548"/>
      <c r="WOL137" s="547"/>
      <c r="WOM137" s="547"/>
      <c r="WON137" s="547"/>
      <c r="WOO137" s="547"/>
      <c r="WOP137" s="548"/>
      <c r="WOQ137" s="547"/>
      <c r="WOR137" s="547"/>
      <c r="WOS137" s="547"/>
      <c r="WOT137" s="547"/>
      <c r="WOU137" s="548"/>
      <c r="WOV137" s="547"/>
      <c r="WOW137" s="547"/>
      <c r="WOX137" s="547"/>
      <c r="WOY137" s="552"/>
      <c r="WOZ137" s="548"/>
      <c r="WPA137" s="552"/>
      <c r="WPB137" s="552"/>
      <c r="WPC137" s="552"/>
      <c r="WPD137" s="552"/>
      <c r="WPE137" s="548"/>
      <c r="WPF137" s="553"/>
      <c r="WPG137" s="553"/>
      <c r="WPH137" s="553"/>
      <c r="WPI137" s="8"/>
      <c r="WPJ137" s="8"/>
      <c r="WPK137" s="458"/>
      <c r="WPL137" s="8"/>
      <c r="WPM137" s="8"/>
      <c r="WPN137" s="547"/>
      <c r="WPO137" s="547"/>
      <c r="WPP137" s="547"/>
      <c r="WPQ137" s="547"/>
      <c r="WPR137" s="548"/>
      <c r="WPS137" s="547"/>
      <c r="WPT137" s="547"/>
      <c r="WPU137" s="547"/>
      <c r="WPV137" s="547"/>
      <c r="WPW137" s="548"/>
      <c r="WPX137" s="547"/>
      <c r="WPY137" s="547"/>
      <c r="WPZ137" s="547"/>
      <c r="WQA137" s="547"/>
      <c r="WQB137" s="548"/>
      <c r="WQC137" s="547"/>
      <c r="WQD137" s="547"/>
      <c r="WQE137" s="547"/>
      <c r="WQF137" s="552"/>
      <c r="WQG137" s="548"/>
      <c r="WQH137" s="552"/>
      <c r="WQI137" s="552"/>
      <c r="WQJ137" s="552"/>
      <c r="WQK137" s="552"/>
      <c r="WQL137" s="548"/>
      <c r="WQM137" s="553"/>
      <c r="WQN137" s="553"/>
      <c r="WQO137" s="553"/>
      <c r="WQP137" s="8"/>
      <c r="WQQ137" s="8"/>
      <c r="WQR137" s="458"/>
      <c r="WQS137" s="8"/>
      <c r="WQT137" s="8"/>
      <c r="WQU137" s="547"/>
      <c r="WQV137" s="547"/>
      <c r="WQW137" s="547"/>
      <c r="WQX137" s="547"/>
      <c r="WQY137" s="548"/>
      <c r="WQZ137" s="547"/>
      <c r="WRA137" s="547"/>
      <c r="WRB137" s="547"/>
      <c r="WRC137" s="547"/>
      <c r="WRD137" s="548"/>
      <c r="WRE137" s="547"/>
      <c r="WRF137" s="547"/>
      <c r="WRG137" s="547"/>
      <c r="WRH137" s="547"/>
      <c r="WRI137" s="548"/>
      <c r="WRJ137" s="547"/>
      <c r="WRK137" s="547"/>
      <c r="WRL137" s="547"/>
      <c r="WRM137" s="552"/>
      <c r="WRN137" s="548"/>
      <c r="WRO137" s="552"/>
      <c r="WRP137" s="552"/>
      <c r="WRQ137" s="552"/>
      <c r="WRR137" s="552"/>
      <c r="WRS137" s="548"/>
      <c r="WRT137" s="553"/>
      <c r="WRU137" s="553"/>
      <c r="WRV137" s="553"/>
      <c r="WRW137" s="8"/>
      <c r="WRX137" s="8"/>
      <c r="WRY137" s="458"/>
      <c r="WRZ137" s="8"/>
      <c r="WSA137" s="8"/>
      <c r="WSB137" s="547"/>
      <c r="WSC137" s="547"/>
      <c r="WSD137" s="547"/>
      <c r="WSE137" s="547"/>
      <c r="WSF137" s="548"/>
      <c r="WSG137" s="547"/>
      <c r="WSH137" s="547"/>
      <c r="WSI137" s="547"/>
      <c r="WSJ137" s="547"/>
      <c r="WSK137" s="548"/>
      <c r="WSL137" s="547"/>
      <c r="WSM137" s="547"/>
      <c r="WSN137" s="547"/>
      <c r="WSO137" s="547"/>
      <c r="WSP137" s="548"/>
      <c r="WSQ137" s="547"/>
      <c r="WSR137" s="547"/>
      <c r="WSS137" s="547"/>
      <c r="WST137" s="552"/>
      <c r="WSU137" s="548"/>
      <c r="WSV137" s="552"/>
      <c r="WSW137" s="552"/>
      <c r="WSX137" s="552"/>
      <c r="WSY137" s="552"/>
      <c r="WSZ137" s="548"/>
      <c r="WTA137" s="553"/>
      <c r="WTB137" s="553"/>
      <c r="WTC137" s="553"/>
      <c r="WTD137" s="8"/>
      <c r="WTE137" s="8"/>
      <c r="WTF137" s="458"/>
      <c r="WTG137" s="8"/>
      <c r="WTH137" s="8"/>
      <c r="WTI137" s="547"/>
      <c r="WTJ137" s="547"/>
      <c r="WTK137" s="547"/>
      <c r="WTL137" s="547"/>
      <c r="WTM137" s="548"/>
      <c r="WTN137" s="547"/>
      <c r="WTO137" s="547"/>
      <c r="WTP137" s="547"/>
      <c r="WTQ137" s="547"/>
      <c r="WTR137" s="548"/>
      <c r="WTS137" s="547"/>
      <c r="WTT137" s="547"/>
      <c r="WTU137" s="547"/>
      <c r="WTV137" s="547"/>
      <c r="WTW137" s="548"/>
      <c r="WTX137" s="547"/>
      <c r="WTY137" s="547"/>
      <c r="WTZ137" s="547"/>
      <c r="WUA137" s="552"/>
      <c r="WUB137" s="548"/>
      <c r="WUC137" s="552"/>
      <c r="WUD137" s="552"/>
      <c r="WUE137" s="552"/>
      <c r="WUF137" s="552"/>
      <c r="WUG137" s="548"/>
      <c r="WUH137" s="553"/>
      <c r="WUI137" s="553"/>
      <c r="WUJ137" s="553"/>
      <c r="WUK137" s="8"/>
      <c r="WUL137" s="8"/>
      <c r="WUM137" s="458"/>
      <c r="WUN137" s="8"/>
      <c r="WUO137" s="8"/>
      <c r="WUP137" s="547"/>
      <c r="WUQ137" s="547"/>
      <c r="WUR137" s="547"/>
      <c r="WUS137" s="547"/>
      <c r="WUT137" s="548"/>
      <c r="WUU137" s="547"/>
      <c r="WUV137" s="547"/>
      <c r="WUW137" s="547"/>
      <c r="WUX137" s="547"/>
      <c r="WUY137" s="548"/>
      <c r="WUZ137" s="547"/>
      <c r="WVA137" s="547"/>
      <c r="WVB137" s="547"/>
      <c r="WVC137" s="547"/>
      <c r="WVD137" s="548"/>
      <c r="WVE137" s="547"/>
      <c r="WVF137" s="547"/>
      <c r="WVG137" s="547"/>
      <c r="WVH137" s="552"/>
      <c r="WVI137" s="548"/>
      <c r="WVJ137" s="552"/>
      <c r="WVK137" s="552"/>
      <c r="WVL137" s="552"/>
      <c r="WVM137" s="552"/>
      <c r="WVN137" s="548"/>
      <c r="WVO137" s="553"/>
      <c r="WVP137" s="553"/>
      <c r="WVQ137" s="553"/>
      <c r="WVR137" s="8"/>
      <c r="WVS137" s="8"/>
      <c r="WVT137" s="458"/>
      <c r="WVU137" s="8"/>
      <c r="WVV137" s="8"/>
      <c r="WVW137" s="547"/>
      <c r="WVX137" s="547"/>
      <c r="WVY137" s="547"/>
      <c r="WVZ137" s="547"/>
      <c r="WWA137" s="548"/>
      <c r="WWB137" s="547"/>
      <c r="WWC137" s="547"/>
      <c r="WWD137" s="547"/>
      <c r="WWE137" s="547"/>
      <c r="WWF137" s="548"/>
      <c r="WWG137" s="547"/>
      <c r="WWH137" s="547"/>
      <c r="WWI137" s="547"/>
      <c r="WWJ137" s="547"/>
      <c r="WWK137" s="548"/>
      <c r="WWL137" s="547"/>
      <c r="WWM137" s="547"/>
      <c r="WWN137" s="547"/>
      <c r="WWO137" s="552"/>
      <c r="WWP137" s="548"/>
      <c r="WWQ137" s="552"/>
      <c r="WWR137" s="552"/>
      <c r="WWS137" s="552"/>
      <c r="WWT137" s="552"/>
      <c r="WWU137" s="548"/>
      <c r="WWV137" s="553"/>
      <c r="WWW137" s="553"/>
      <c r="WWX137" s="553"/>
      <c r="WWY137" s="8"/>
      <c r="WWZ137" s="8"/>
      <c r="WXA137" s="458"/>
      <c r="WXB137" s="8"/>
      <c r="WXC137" s="8"/>
      <c r="WXD137" s="547"/>
      <c r="WXE137" s="547"/>
      <c r="WXF137" s="547"/>
      <c r="WXG137" s="547"/>
      <c r="WXH137" s="548"/>
      <c r="WXI137" s="547"/>
      <c r="WXJ137" s="547"/>
      <c r="WXK137" s="547"/>
      <c r="WXL137" s="547"/>
      <c r="WXM137" s="548"/>
      <c r="WXN137" s="547"/>
      <c r="WXO137" s="547"/>
      <c r="WXP137" s="547"/>
      <c r="WXQ137" s="547"/>
      <c r="WXR137" s="548"/>
      <c r="WXS137" s="547"/>
      <c r="WXT137" s="547"/>
      <c r="WXU137" s="547"/>
      <c r="WXV137" s="552"/>
      <c r="WXW137" s="548"/>
      <c r="WXX137" s="552"/>
      <c r="WXY137" s="552"/>
      <c r="WXZ137" s="552"/>
      <c r="WYA137" s="552"/>
      <c r="WYB137" s="548"/>
      <c r="WYC137" s="553"/>
      <c r="WYD137" s="553"/>
      <c r="WYE137" s="553"/>
      <c r="WYF137" s="8"/>
      <c r="WYG137" s="8"/>
      <c r="WYH137" s="458"/>
      <c r="WYI137" s="8"/>
      <c r="WYJ137" s="8"/>
      <c r="WYK137" s="547"/>
      <c r="WYL137" s="547"/>
      <c r="WYM137" s="547"/>
      <c r="WYN137" s="547"/>
      <c r="WYO137" s="548"/>
      <c r="WYP137" s="547"/>
      <c r="WYQ137" s="547"/>
      <c r="WYR137" s="547"/>
      <c r="WYS137" s="547"/>
      <c r="WYT137" s="548"/>
      <c r="WYU137" s="547"/>
      <c r="WYV137" s="547"/>
      <c r="WYW137" s="547"/>
      <c r="WYX137" s="547"/>
      <c r="WYY137" s="548"/>
      <c r="WYZ137" s="547"/>
      <c r="WZA137" s="547"/>
      <c r="WZB137" s="547"/>
      <c r="WZC137" s="552"/>
      <c r="WZD137" s="548"/>
      <c r="WZE137" s="552"/>
      <c r="WZF137" s="552"/>
      <c r="WZG137" s="552"/>
      <c r="WZH137" s="552"/>
      <c r="WZI137" s="548"/>
      <c r="WZJ137" s="553"/>
      <c r="WZK137" s="553"/>
      <c r="WZL137" s="553"/>
      <c r="WZM137" s="8"/>
      <c r="WZN137" s="8"/>
      <c r="WZO137" s="458"/>
      <c r="WZP137" s="8"/>
      <c r="WZQ137" s="8"/>
      <c r="WZR137" s="547"/>
      <c r="WZS137" s="547"/>
      <c r="WZT137" s="547"/>
      <c r="WZU137" s="547"/>
      <c r="WZV137" s="548"/>
      <c r="WZW137" s="547"/>
      <c r="WZX137" s="547"/>
      <c r="WZY137" s="547"/>
      <c r="WZZ137" s="547"/>
      <c r="XAA137" s="548"/>
      <c r="XAB137" s="547"/>
      <c r="XAC137" s="547"/>
      <c r="XAD137" s="547"/>
      <c r="XAE137" s="547"/>
      <c r="XAF137" s="548"/>
      <c r="XAG137" s="547"/>
      <c r="XAH137" s="547"/>
      <c r="XAI137" s="547"/>
      <c r="XAJ137" s="552"/>
      <c r="XAK137" s="548"/>
      <c r="XAL137" s="552"/>
      <c r="XAM137" s="552"/>
      <c r="XAN137" s="552"/>
      <c r="XAO137" s="552"/>
      <c r="XAP137" s="548"/>
      <c r="XAQ137" s="553"/>
      <c r="XAR137" s="553"/>
      <c r="XAS137" s="553"/>
      <c r="XAT137" s="8"/>
      <c r="XAU137" s="8"/>
      <c r="XAV137" s="458"/>
      <c r="XAW137" s="8"/>
      <c r="XAX137" s="8"/>
      <c r="XAY137" s="547"/>
      <c r="XAZ137" s="547"/>
      <c r="XBA137" s="547"/>
      <c r="XBB137" s="547"/>
      <c r="XBC137" s="548"/>
      <c r="XBD137" s="547"/>
      <c r="XBE137" s="547"/>
      <c r="XBF137" s="547"/>
      <c r="XBG137" s="547"/>
      <c r="XBH137" s="548"/>
      <c r="XBI137" s="547"/>
      <c r="XBJ137" s="547"/>
      <c r="XBK137" s="547"/>
      <c r="XBL137" s="547"/>
      <c r="XBM137" s="548"/>
      <c r="XBN137" s="547"/>
      <c r="XBO137" s="547"/>
      <c r="XBP137" s="547"/>
      <c r="XBQ137" s="552"/>
      <c r="XBR137" s="548"/>
      <c r="XBS137" s="552"/>
      <c r="XBT137" s="552"/>
      <c r="XBU137" s="552"/>
      <c r="XBV137" s="552"/>
      <c r="XBW137" s="548"/>
      <c r="XBX137" s="553"/>
      <c r="XBY137" s="553"/>
      <c r="XBZ137" s="553"/>
      <c r="XCA137" s="8"/>
      <c r="XCB137" s="8"/>
      <c r="XCC137" s="458"/>
      <c r="XCD137" s="8"/>
      <c r="XCE137" s="8"/>
      <c r="XCF137" s="547"/>
      <c r="XCG137" s="547"/>
      <c r="XCH137" s="547"/>
      <c r="XCI137" s="547"/>
      <c r="XCJ137" s="548"/>
      <c r="XCK137" s="547"/>
      <c r="XCL137" s="547"/>
      <c r="XCM137" s="547"/>
      <c r="XCN137" s="547"/>
      <c r="XCO137" s="548"/>
      <c r="XCP137" s="547"/>
      <c r="XCQ137" s="547"/>
      <c r="XCR137" s="547"/>
      <c r="XCS137" s="547"/>
      <c r="XCT137" s="548"/>
      <c r="XCU137" s="547"/>
      <c r="XCV137" s="547"/>
      <c r="XCW137" s="547"/>
      <c r="XCX137" s="552"/>
      <c r="XCY137" s="548"/>
      <c r="XCZ137" s="552"/>
      <c r="XDA137" s="552"/>
      <c r="XDB137" s="552"/>
      <c r="XDC137" s="552"/>
      <c r="XDD137" s="548"/>
      <c r="XDE137" s="553"/>
      <c r="XDF137" s="553"/>
      <c r="XDG137" s="553"/>
      <c r="XDH137" s="8"/>
      <c r="XDI137" s="8"/>
      <c r="XDJ137" s="458"/>
      <c r="XDK137" s="8"/>
      <c r="XDL137" s="8"/>
      <c r="XDM137" s="547"/>
      <c r="XDN137" s="547"/>
      <c r="XDO137" s="547"/>
      <c r="XDP137" s="547"/>
      <c r="XDQ137" s="548"/>
      <c r="XDR137" s="547"/>
      <c r="XDS137" s="547"/>
      <c r="XDT137" s="547"/>
      <c r="XDU137" s="547"/>
      <c r="XDV137" s="548"/>
      <c r="XDW137" s="547"/>
      <c r="XDX137" s="547"/>
      <c r="XDY137" s="547"/>
      <c r="XDZ137" s="547"/>
      <c r="XEA137" s="548"/>
      <c r="XEB137" s="547"/>
      <c r="XEC137" s="547"/>
      <c r="XED137" s="547"/>
      <c r="XEE137" s="552"/>
      <c r="XEF137" s="548"/>
      <c r="XEG137" s="552"/>
      <c r="XEH137" s="552"/>
      <c r="XEI137" s="552"/>
      <c r="XEJ137" s="552"/>
      <c r="XEK137" s="548"/>
      <c r="XEL137" s="553"/>
      <c r="XEM137" s="553"/>
      <c r="XEN137" s="553"/>
      <c r="XEO137" s="8"/>
      <c r="XEP137" s="8"/>
      <c r="XEQ137" s="458"/>
      <c r="XER137" s="8"/>
      <c r="XES137" s="8"/>
      <c r="XET137" s="547"/>
      <c r="XEU137" s="547"/>
      <c r="XEV137" s="547"/>
      <c r="XEW137" s="547"/>
      <c r="XEX137" s="548"/>
      <c r="XEY137" s="547"/>
      <c r="XEZ137" s="547"/>
      <c r="XFA137" s="547"/>
      <c r="XFB137" s="547"/>
      <c r="XFC137" s="548"/>
      <c r="XFD137" s="547"/>
    </row>
    <row r="138" ht="12.75" customHeight="1" spans="1:16384" s="361" customFormat="1" x14ac:dyDescent="0.25">
      <c r="A138" s="8"/>
      <c r="B138" s="8"/>
      <c r="C138" s="458" t="s">
        <v>241</v>
      </c>
      <c r="D138" s="8"/>
      <c r="E138" s="8"/>
      <c r="F138" s="547"/>
      <c r="G138" s="547"/>
      <c r="H138" s="547"/>
      <c r="I138" s="547"/>
      <c r="J138" s="548"/>
      <c r="K138" s="547"/>
      <c r="L138" s="547"/>
      <c r="M138" s="547"/>
      <c r="N138" s="547"/>
      <c r="O138" s="548"/>
      <c r="P138" s="547"/>
      <c r="Q138" s="547"/>
      <c r="R138" s="547"/>
      <c r="S138" s="547"/>
      <c r="T138" s="548"/>
      <c r="U138" s="550">
        <f>U137+0.02</f>
        <v>0.79</v>
      </c>
      <c r="V138" s="550">
        <f t="shared" ref="V138:X138" si="67">V137+0.02</f>
        <v>0.79</v>
      </c>
      <c r="W138" s="550">
        <f t="shared" si="67"/>
        <v>0.79</v>
      </c>
      <c r="X138" s="550">
        <f t="shared" si="67"/>
        <v>0.8</v>
      </c>
      <c r="Y138" s="548"/>
      <c r="Z138" s="550">
        <f>Z137+0.02</f>
        <v>0.79</v>
      </c>
      <c r="AA138" s="550">
        <f t="shared" ref="AA138:AC138" si="68">AA137+0.02</f>
        <v>0.79</v>
      </c>
      <c r="AB138" s="550">
        <f t="shared" si="68"/>
        <v>0.79</v>
      </c>
      <c r="AC138" s="550">
        <f t="shared" si="68"/>
        <v>0.8</v>
      </c>
      <c r="AD138" s="502"/>
      <c r="AE138" s="551">
        <f>AE137+0.01</f>
        <v>0.844</v>
      </c>
      <c r="AF138" s="551">
        <f t="shared" ref="AF138:AG138" si="69">AF137+0.01</f>
        <v>0.83</v>
      </c>
      <c r="AG138" s="551">
        <f t="shared" si="69"/>
        <v>0.8200000000000001</v>
      </c>
      <c r="AH138" s="8"/>
      <c r="AI138" s="8"/>
      <c r="AJ138" s="458"/>
      <c r="AK138" s="8"/>
      <c r="AL138" s="8"/>
      <c r="AM138" s="548"/>
      <c r="AN138" s="548"/>
      <c r="AO138" s="548"/>
      <c r="AP138" s="548"/>
      <c r="AQ138" s="548"/>
      <c r="AR138" s="548"/>
      <c r="AS138" s="548"/>
      <c r="AT138" s="548"/>
      <c r="AU138" s="548"/>
      <c r="AV138" s="548"/>
      <c r="AW138" s="548"/>
      <c r="AX138" s="548"/>
      <c r="AY138" s="548"/>
      <c r="AZ138" s="548"/>
      <c r="BA138" s="548"/>
      <c r="BB138" s="548"/>
      <c r="BC138" s="548"/>
      <c r="BD138" s="548"/>
      <c r="BE138" s="553"/>
      <c r="BF138" s="548"/>
      <c r="BG138" s="553"/>
      <c r="BH138" s="553"/>
      <c r="BI138" s="553"/>
      <c r="BJ138" s="553"/>
      <c r="BK138" s="548"/>
      <c r="BL138" s="553"/>
      <c r="BM138" s="553"/>
      <c r="BN138" s="553"/>
      <c r="BO138" s="8"/>
      <c r="BP138" s="8"/>
      <c r="BQ138" s="131"/>
      <c r="BR138" s="8"/>
      <c r="BS138" s="8"/>
      <c r="BT138" s="548"/>
      <c r="BU138" s="548"/>
      <c r="BV138" s="548"/>
      <c r="BW138" s="547"/>
      <c r="BX138" s="548"/>
      <c r="BY138" s="547"/>
      <c r="BZ138" s="547"/>
      <c r="CA138" s="547"/>
      <c r="CB138" s="547"/>
      <c r="CC138" s="548"/>
      <c r="CD138" s="547"/>
      <c r="CE138" s="547"/>
      <c r="CF138" s="547"/>
      <c r="CG138" s="547"/>
      <c r="CH138" s="548"/>
      <c r="CI138" s="547"/>
      <c r="CJ138" s="547"/>
      <c r="CK138" s="547"/>
      <c r="CL138" s="552"/>
      <c r="CM138" s="548"/>
      <c r="CN138" s="552"/>
      <c r="CO138" s="552"/>
      <c r="CP138" s="552"/>
      <c r="CQ138" s="552"/>
      <c r="CR138" s="548"/>
      <c r="CS138" s="553"/>
      <c r="CT138" s="553"/>
      <c r="CU138" s="553"/>
      <c r="CV138" s="8"/>
      <c r="CW138" s="8"/>
      <c r="CX138" s="458"/>
      <c r="CY138" s="8"/>
      <c r="CZ138" s="8"/>
      <c r="DA138" s="547"/>
      <c r="DB138" s="547"/>
      <c r="DC138" s="547"/>
      <c r="DD138" s="547"/>
      <c r="DE138" s="548"/>
      <c r="DF138" s="547"/>
      <c r="DG138" s="547"/>
      <c r="DH138" s="547"/>
      <c r="DI138" s="547"/>
      <c r="DJ138" s="548"/>
      <c r="DK138" s="547"/>
      <c r="DL138" s="547"/>
      <c r="DM138" s="547"/>
      <c r="DN138" s="547"/>
      <c r="DO138" s="548"/>
      <c r="DP138" s="547"/>
      <c r="DQ138" s="547"/>
      <c r="DR138" s="547"/>
      <c r="DS138" s="552"/>
      <c r="DT138" s="548"/>
      <c r="DU138" s="552"/>
      <c r="DV138" s="552"/>
      <c r="DW138" s="552"/>
      <c r="DX138" s="552"/>
      <c r="DY138" s="548"/>
      <c r="DZ138" s="553"/>
      <c r="EA138" s="553"/>
      <c r="EB138" s="553"/>
      <c r="EC138" s="8"/>
      <c r="ED138" s="8"/>
      <c r="EE138" s="458"/>
      <c r="EF138" s="8"/>
      <c r="EG138" s="8"/>
      <c r="EH138" s="547"/>
      <c r="EI138" s="547"/>
      <c r="EJ138" s="547"/>
      <c r="EK138" s="547"/>
      <c r="EL138" s="548"/>
      <c r="EM138" s="547"/>
      <c r="EN138" s="547"/>
      <c r="EO138" s="547"/>
      <c r="EP138" s="547"/>
      <c r="EQ138" s="548"/>
      <c r="ER138" s="547"/>
      <c r="ES138" s="547"/>
      <c r="ET138" s="547"/>
      <c r="EU138" s="547"/>
      <c r="EV138" s="548"/>
      <c r="EW138" s="547"/>
      <c r="EX138" s="547"/>
      <c r="EY138" s="547"/>
      <c r="EZ138" s="552"/>
      <c r="FA138" s="548"/>
      <c r="FB138" s="552"/>
      <c r="FC138" s="552"/>
      <c r="FD138" s="552"/>
      <c r="FE138" s="552"/>
      <c r="FF138" s="548"/>
      <c r="FG138" s="553"/>
      <c r="FH138" s="553"/>
      <c r="FI138" s="553"/>
      <c r="FJ138" s="8"/>
      <c r="FK138" s="8"/>
      <c r="FL138" s="458"/>
      <c r="FM138" s="8"/>
      <c r="FN138" s="8"/>
      <c r="FO138" s="547"/>
      <c r="FP138" s="547"/>
      <c r="FQ138" s="547"/>
      <c r="FR138" s="547"/>
      <c r="FS138" s="548"/>
      <c r="FT138" s="547"/>
      <c r="FU138" s="547"/>
      <c r="FV138" s="547"/>
      <c r="FW138" s="547"/>
      <c r="FX138" s="548"/>
      <c r="FY138" s="547"/>
      <c r="FZ138" s="547"/>
      <c r="GA138" s="547"/>
      <c r="GB138" s="547"/>
      <c r="GC138" s="548"/>
      <c r="GD138" s="547"/>
      <c r="GE138" s="547"/>
      <c r="GF138" s="547"/>
      <c r="GG138" s="552"/>
      <c r="GH138" s="548"/>
      <c r="GI138" s="552"/>
      <c r="GJ138" s="552"/>
      <c r="GK138" s="552"/>
      <c r="GL138" s="552"/>
      <c r="GM138" s="548"/>
      <c r="GN138" s="553"/>
      <c r="GO138" s="553"/>
      <c r="GP138" s="553"/>
      <c r="GQ138" s="8"/>
      <c r="GR138" s="8"/>
      <c r="GS138" s="458"/>
      <c r="GT138" s="8"/>
      <c r="GU138" s="8"/>
      <c r="GV138" s="547"/>
      <c r="GW138" s="547"/>
      <c r="GX138" s="547"/>
      <c r="GY138" s="547"/>
      <c r="GZ138" s="548"/>
      <c r="HA138" s="547"/>
      <c r="HB138" s="547"/>
      <c r="HC138" s="547"/>
      <c r="HD138" s="547"/>
      <c r="HE138" s="548"/>
      <c r="HF138" s="547"/>
      <c r="HG138" s="547"/>
      <c r="HH138" s="547"/>
      <c r="HI138" s="547"/>
      <c r="HJ138" s="548"/>
      <c r="HK138" s="547"/>
      <c r="HL138" s="547"/>
      <c r="HM138" s="547"/>
      <c r="HN138" s="552"/>
      <c r="HO138" s="548"/>
      <c r="HP138" s="552"/>
      <c r="HQ138" s="552"/>
      <c r="HR138" s="552"/>
      <c r="HS138" s="552"/>
      <c r="HT138" s="548"/>
      <c r="HU138" s="553"/>
      <c r="HV138" s="553"/>
      <c r="HW138" s="553"/>
      <c r="HX138" s="8"/>
      <c r="HY138" s="8"/>
      <c r="HZ138" s="458"/>
      <c r="IA138" s="8"/>
      <c r="IB138" s="8"/>
      <c r="IC138" s="547"/>
      <c r="ID138" s="547"/>
      <c r="IE138" s="547"/>
      <c r="IF138" s="547"/>
      <c r="IG138" s="548"/>
      <c r="IH138" s="547"/>
      <c r="II138" s="547"/>
      <c r="IJ138" s="547"/>
      <c r="IK138" s="547"/>
      <c r="IL138" s="548"/>
      <c r="IM138" s="547"/>
      <c r="IN138" s="547"/>
      <c r="IO138" s="547"/>
      <c r="IP138" s="547"/>
      <c r="IQ138" s="548"/>
      <c r="IR138" s="547"/>
      <c r="IS138" s="547"/>
      <c r="IT138" s="547"/>
      <c r="IU138" s="552"/>
      <c r="IV138" s="548"/>
      <c r="IW138" s="552"/>
      <c r="IX138" s="552"/>
      <c r="IY138" s="552"/>
      <c r="IZ138" s="552"/>
      <c r="JA138" s="548"/>
      <c r="JB138" s="553"/>
      <c r="JC138" s="553"/>
      <c r="JD138" s="553"/>
      <c r="JE138" s="8"/>
      <c r="JF138" s="8"/>
      <c r="JG138" s="458"/>
      <c r="JH138" s="8"/>
      <c r="JI138" s="8"/>
      <c r="JJ138" s="547"/>
      <c r="JK138" s="547"/>
      <c r="JL138" s="547"/>
      <c r="JM138" s="547"/>
      <c r="JN138" s="548"/>
      <c r="JO138" s="547"/>
      <c r="JP138" s="547"/>
      <c r="JQ138" s="547"/>
      <c r="JR138" s="547"/>
      <c r="JS138" s="548"/>
      <c r="JT138" s="547"/>
      <c r="JU138" s="547"/>
      <c r="JV138" s="547"/>
      <c r="JW138" s="547"/>
      <c r="JX138" s="548"/>
      <c r="JY138" s="547"/>
      <c r="JZ138" s="547"/>
      <c r="KA138" s="547"/>
      <c r="KB138" s="552"/>
      <c r="KC138" s="548"/>
      <c r="KD138" s="552"/>
      <c r="KE138" s="552"/>
      <c r="KF138" s="552"/>
      <c r="KG138" s="552"/>
      <c r="KH138" s="548"/>
      <c r="KI138" s="553"/>
      <c r="KJ138" s="553"/>
      <c r="KK138" s="553"/>
      <c r="KL138" s="8"/>
      <c r="KM138" s="8"/>
      <c r="KN138" s="458"/>
      <c r="KO138" s="8"/>
      <c r="KP138" s="8"/>
      <c r="KQ138" s="547"/>
      <c r="KR138" s="547"/>
      <c r="KS138" s="547"/>
      <c r="KT138" s="547"/>
      <c r="KU138" s="548"/>
      <c r="KV138" s="547"/>
      <c r="KW138" s="547"/>
      <c r="KX138" s="547"/>
      <c r="KY138" s="547"/>
      <c r="KZ138" s="548"/>
      <c r="LA138" s="547"/>
      <c r="LB138" s="547"/>
      <c r="LC138" s="547"/>
      <c r="LD138" s="547"/>
      <c r="LE138" s="548"/>
      <c r="LF138" s="547"/>
      <c r="LG138" s="547"/>
      <c r="LH138" s="547"/>
      <c r="LI138" s="552"/>
      <c r="LJ138" s="548"/>
      <c r="LK138" s="552"/>
      <c r="LL138" s="552"/>
      <c r="LM138" s="552"/>
      <c r="LN138" s="552"/>
      <c r="LO138" s="548"/>
      <c r="LP138" s="553"/>
      <c r="LQ138" s="553"/>
      <c r="LR138" s="553"/>
      <c r="LS138" s="8"/>
      <c r="LT138" s="8"/>
      <c r="LU138" s="458"/>
      <c r="LV138" s="8"/>
      <c r="LW138" s="8"/>
      <c r="LX138" s="547"/>
      <c r="LY138" s="547"/>
      <c r="LZ138" s="547"/>
      <c r="MA138" s="547"/>
      <c r="MB138" s="548"/>
      <c r="MC138" s="547"/>
      <c r="MD138" s="547"/>
      <c r="ME138" s="547"/>
      <c r="MF138" s="547"/>
      <c r="MG138" s="548"/>
      <c r="MH138" s="547"/>
      <c r="MI138" s="547"/>
      <c r="MJ138" s="547"/>
      <c r="MK138" s="547"/>
      <c r="ML138" s="548"/>
      <c r="MM138" s="547"/>
      <c r="MN138" s="547"/>
      <c r="MO138" s="547"/>
      <c r="MP138" s="552"/>
      <c r="MQ138" s="548"/>
      <c r="MR138" s="552"/>
      <c r="MS138" s="552"/>
      <c r="MT138" s="552"/>
      <c r="MU138" s="552"/>
      <c r="MV138" s="548"/>
      <c r="MW138" s="553"/>
      <c r="MX138" s="553"/>
      <c r="MY138" s="553"/>
      <c r="MZ138" s="8"/>
      <c r="NA138" s="8"/>
      <c r="NB138" s="458"/>
      <c r="NC138" s="8"/>
      <c r="ND138" s="8"/>
      <c r="NE138" s="547"/>
      <c r="NF138" s="547"/>
      <c r="NG138" s="547"/>
      <c r="NH138" s="547"/>
      <c r="NI138" s="548"/>
      <c r="NJ138" s="547"/>
      <c r="NK138" s="547"/>
      <c r="NL138" s="547"/>
      <c r="NM138" s="547"/>
      <c r="NN138" s="548"/>
      <c r="NO138" s="547"/>
      <c r="NP138" s="547"/>
      <c r="NQ138" s="547"/>
      <c r="NR138" s="547"/>
      <c r="NS138" s="548"/>
      <c r="NT138" s="547"/>
      <c r="NU138" s="547"/>
      <c r="NV138" s="547"/>
      <c r="NW138" s="552"/>
      <c r="NX138" s="548"/>
      <c r="NY138" s="552"/>
      <c r="NZ138" s="552"/>
      <c r="OA138" s="552"/>
      <c r="OB138" s="552"/>
      <c r="OC138" s="548"/>
      <c r="OD138" s="553"/>
      <c r="OE138" s="553"/>
      <c r="OF138" s="553"/>
      <c r="OG138" s="8"/>
      <c r="OH138" s="8"/>
      <c r="OI138" s="458"/>
      <c r="OJ138" s="8"/>
      <c r="OK138" s="8"/>
      <c r="OL138" s="547"/>
      <c r="OM138" s="547"/>
      <c r="ON138" s="547"/>
      <c r="OO138" s="547"/>
      <c r="OP138" s="548"/>
      <c r="OQ138" s="547"/>
      <c r="OR138" s="547"/>
      <c r="OS138" s="547"/>
      <c r="OT138" s="547"/>
      <c r="OU138" s="548"/>
      <c r="OV138" s="547"/>
      <c r="OW138" s="547"/>
      <c r="OX138" s="547"/>
      <c r="OY138" s="547"/>
      <c r="OZ138" s="548"/>
      <c r="PA138" s="547"/>
      <c r="PB138" s="547"/>
      <c r="PC138" s="547"/>
      <c r="PD138" s="552"/>
      <c r="PE138" s="548"/>
      <c r="PF138" s="552"/>
      <c r="PG138" s="552"/>
      <c r="PH138" s="552"/>
      <c r="PI138" s="552"/>
      <c r="PJ138" s="548"/>
      <c r="PK138" s="553"/>
      <c r="PL138" s="553"/>
      <c r="PM138" s="553"/>
      <c r="PN138" s="8"/>
      <c r="PO138" s="8"/>
      <c r="PP138" s="458"/>
      <c r="PQ138" s="8"/>
      <c r="PR138" s="8"/>
      <c r="PS138" s="547"/>
      <c r="PT138" s="547"/>
      <c r="PU138" s="547"/>
      <c r="PV138" s="547"/>
      <c r="PW138" s="548"/>
      <c r="PX138" s="547"/>
      <c r="PY138" s="547"/>
      <c r="PZ138" s="547"/>
      <c r="QA138" s="547"/>
      <c r="QB138" s="548"/>
      <c r="QC138" s="547"/>
      <c r="QD138" s="547"/>
      <c r="QE138" s="547"/>
      <c r="QF138" s="547"/>
      <c r="QG138" s="548"/>
      <c r="QH138" s="547"/>
      <c r="QI138" s="547"/>
      <c r="QJ138" s="547"/>
      <c r="QK138" s="552"/>
      <c r="QL138" s="548"/>
      <c r="QM138" s="552"/>
      <c r="QN138" s="552"/>
      <c r="QO138" s="552"/>
      <c r="QP138" s="552"/>
      <c r="QQ138" s="548"/>
      <c r="QR138" s="553"/>
      <c r="QS138" s="553"/>
      <c r="QT138" s="553"/>
      <c r="QU138" s="8"/>
      <c r="QV138" s="8"/>
      <c r="QW138" s="458"/>
      <c r="QX138" s="8"/>
      <c r="QY138" s="8"/>
      <c r="QZ138" s="547"/>
      <c r="RA138" s="547"/>
      <c r="RB138" s="547"/>
      <c r="RC138" s="547"/>
      <c r="RD138" s="548"/>
      <c r="RE138" s="547"/>
      <c r="RF138" s="547"/>
      <c r="RG138" s="547"/>
      <c r="RH138" s="547"/>
      <c r="RI138" s="548"/>
      <c r="RJ138" s="547"/>
      <c r="RK138" s="547"/>
      <c r="RL138" s="547"/>
      <c r="RM138" s="547"/>
      <c r="RN138" s="548"/>
      <c r="RO138" s="547"/>
      <c r="RP138" s="547"/>
      <c r="RQ138" s="547"/>
      <c r="RR138" s="552"/>
      <c r="RS138" s="548"/>
      <c r="RT138" s="552"/>
      <c r="RU138" s="552"/>
      <c r="RV138" s="552"/>
      <c r="RW138" s="552"/>
      <c r="RX138" s="548"/>
      <c r="RY138" s="553"/>
      <c r="RZ138" s="553"/>
      <c r="SA138" s="553"/>
      <c r="SB138" s="8"/>
      <c r="SC138" s="8"/>
      <c r="SD138" s="458"/>
      <c r="SE138" s="8"/>
      <c r="SF138" s="8"/>
      <c r="SG138" s="547"/>
      <c r="SH138" s="547"/>
      <c r="SI138" s="547"/>
      <c r="SJ138" s="547"/>
      <c r="SK138" s="548"/>
      <c r="SL138" s="547"/>
      <c r="SM138" s="547"/>
      <c r="SN138" s="547"/>
      <c r="SO138" s="547"/>
      <c r="SP138" s="548"/>
      <c r="SQ138" s="547"/>
      <c r="SR138" s="547"/>
      <c r="SS138" s="547"/>
      <c r="ST138" s="547"/>
      <c r="SU138" s="548"/>
      <c r="SV138" s="547"/>
      <c r="SW138" s="547"/>
      <c r="SX138" s="547"/>
      <c r="SY138" s="552"/>
      <c r="SZ138" s="548"/>
      <c r="TA138" s="552"/>
      <c r="TB138" s="552"/>
      <c r="TC138" s="552"/>
      <c r="TD138" s="552"/>
      <c r="TE138" s="548"/>
      <c r="TF138" s="553"/>
      <c r="TG138" s="553"/>
      <c r="TH138" s="553"/>
      <c r="TI138" s="8"/>
      <c r="TJ138" s="8"/>
      <c r="TK138" s="458"/>
      <c r="TL138" s="8"/>
      <c r="TM138" s="8"/>
      <c r="TN138" s="547"/>
      <c r="TO138" s="547"/>
      <c r="TP138" s="547"/>
      <c r="TQ138" s="547"/>
      <c r="TR138" s="548"/>
      <c r="TS138" s="547"/>
      <c r="TT138" s="547"/>
      <c r="TU138" s="547"/>
      <c r="TV138" s="547"/>
      <c r="TW138" s="548"/>
      <c r="TX138" s="547"/>
      <c r="TY138" s="547"/>
      <c r="TZ138" s="547"/>
      <c r="UA138" s="547"/>
      <c r="UB138" s="548"/>
      <c r="UC138" s="547"/>
      <c r="UD138" s="547"/>
      <c r="UE138" s="547"/>
      <c r="UF138" s="552"/>
      <c r="UG138" s="548"/>
      <c r="UH138" s="552"/>
      <c r="UI138" s="552"/>
      <c r="UJ138" s="552"/>
      <c r="UK138" s="552"/>
      <c r="UL138" s="548"/>
      <c r="UM138" s="553"/>
      <c r="UN138" s="553"/>
      <c r="UO138" s="553"/>
      <c r="UP138" s="8"/>
      <c r="UQ138" s="8"/>
      <c r="UR138" s="458"/>
      <c r="US138" s="8"/>
      <c r="UT138" s="8"/>
      <c r="UU138" s="547"/>
      <c r="UV138" s="547"/>
      <c r="UW138" s="547"/>
      <c r="UX138" s="547"/>
      <c r="UY138" s="548"/>
      <c r="UZ138" s="547"/>
      <c r="VA138" s="547"/>
      <c r="VB138" s="547"/>
      <c r="VC138" s="547"/>
      <c r="VD138" s="548"/>
      <c r="VE138" s="547"/>
      <c r="VF138" s="547"/>
      <c r="VG138" s="547"/>
      <c r="VH138" s="547"/>
      <c r="VI138" s="548"/>
      <c r="VJ138" s="547"/>
      <c r="VK138" s="547"/>
      <c r="VL138" s="547"/>
      <c r="VM138" s="552"/>
      <c r="VN138" s="548"/>
      <c r="VO138" s="552"/>
      <c r="VP138" s="552"/>
      <c r="VQ138" s="552"/>
      <c r="VR138" s="552"/>
      <c r="VS138" s="548"/>
      <c r="VT138" s="553"/>
      <c r="VU138" s="553"/>
      <c r="VV138" s="553"/>
      <c r="VW138" s="8"/>
      <c r="VX138" s="8"/>
      <c r="VY138" s="458"/>
      <c r="VZ138" s="8"/>
      <c r="WA138" s="8"/>
      <c r="WB138" s="547"/>
      <c r="WC138" s="547"/>
      <c r="WD138" s="547"/>
      <c r="WE138" s="547"/>
      <c r="WF138" s="548"/>
      <c r="WG138" s="547"/>
      <c r="WH138" s="547"/>
      <c r="WI138" s="547"/>
      <c r="WJ138" s="547"/>
      <c r="WK138" s="548"/>
      <c r="WL138" s="547"/>
      <c r="WM138" s="547"/>
      <c r="WN138" s="547"/>
      <c r="WO138" s="547"/>
      <c r="WP138" s="548"/>
      <c r="WQ138" s="547"/>
      <c r="WR138" s="547"/>
      <c r="WS138" s="547"/>
      <c r="WT138" s="552"/>
      <c r="WU138" s="548"/>
      <c r="WV138" s="552"/>
      <c r="WW138" s="552"/>
      <c r="WX138" s="552"/>
      <c r="WY138" s="552"/>
      <c r="WZ138" s="548"/>
      <c r="XA138" s="553"/>
      <c r="XB138" s="553"/>
      <c r="XC138" s="553"/>
      <c r="XD138" s="8"/>
      <c r="XE138" s="8"/>
      <c r="XF138" s="458"/>
      <c r="XG138" s="8"/>
      <c r="XH138" s="8"/>
      <c r="XI138" s="547"/>
      <c r="XJ138" s="547"/>
      <c r="XK138" s="547"/>
      <c r="XL138" s="547"/>
      <c r="XM138" s="548"/>
      <c r="XN138" s="547"/>
      <c r="XO138" s="547"/>
      <c r="XP138" s="547"/>
      <c r="XQ138" s="547"/>
      <c r="XR138" s="548"/>
      <c r="XS138" s="547"/>
      <c r="XT138" s="547"/>
      <c r="XU138" s="547"/>
      <c r="XV138" s="547"/>
      <c r="XW138" s="548"/>
      <c r="XX138" s="547"/>
      <c r="XY138" s="547"/>
      <c r="XZ138" s="547"/>
      <c r="YA138" s="552"/>
      <c r="YB138" s="548"/>
      <c r="YC138" s="552"/>
      <c r="YD138" s="552"/>
      <c r="YE138" s="552"/>
      <c r="YF138" s="552"/>
      <c r="YG138" s="548"/>
      <c r="YH138" s="553"/>
      <c r="YI138" s="553"/>
      <c r="YJ138" s="553"/>
      <c r="YK138" s="8"/>
      <c r="YL138" s="8"/>
      <c r="YM138" s="458"/>
      <c r="YN138" s="8"/>
      <c r="YO138" s="8"/>
      <c r="YP138" s="547"/>
      <c r="YQ138" s="547"/>
      <c r="YR138" s="547"/>
      <c r="YS138" s="547"/>
      <c r="YT138" s="548"/>
      <c r="YU138" s="547"/>
      <c r="YV138" s="547"/>
      <c r="YW138" s="547"/>
      <c r="YX138" s="547"/>
      <c r="YY138" s="548"/>
      <c r="YZ138" s="547"/>
      <c r="ZA138" s="547"/>
      <c r="ZB138" s="547"/>
      <c r="ZC138" s="547"/>
      <c r="ZD138" s="548"/>
      <c r="ZE138" s="547"/>
      <c r="ZF138" s="547"/>
      <c r="ZG138" s="547"/>
      <c r="ZH138" s="552"/>
      <c r="ZI138" s="548"/>
      <c r="ZJ138" s="552"/>
      <c r="ZK138" s="552"/>
      <c r="ZL138" s="552"/>
      <c r="ZM138" s="552"/>
      <c r="ZN138" s="548"/>
      <c r="ZO138" s="553"/>
      <c r="ZP138" s="553"/>
      <c r="ZQ138" s="553"/>
      <c r="ZR138" s="8"/>
      <c r="ZS138" s="8"/>
      <c r="ZT138" s="458"/>
      <c r="ZU138" s="8"/>
      <c r="ZV138" s="8"/>
      <c r="ZW138" s="547"/>
      <c r="ZX138" s="547"/>
      <c r="ZY138" s="547"/>
      <c r="ZZ138" s="547"/>
      <c r="AAA138" s="548"/>
      <c r="AAB138" s="547"/>
      <c r="AAC138" s="547"/>
      <c r="AAD138" s="547"/>
      <c r="AAE138" s="547"/>
      <c r="AAF138" s="548"/>
      <c r="AAG138" s="547"/>
      <c r="AAH138" s="547"/>
      <c r="AAI138" s="547"/>
      <c r="AAJ138" s="547"/>
      <c r="AAK138" s="548"/>
      <c r="AAL138" s="547"/>
      <c r="AAM138" s="547"/>
      <c r="AAN138" s="547"/>
      <c r="AAO138" s="552"/>
      <c r="AAP138" s="548"/>
      <c r="AAQ138" s="552"/>
      <c r="AAR138" s="552"/>
      <c r="AAS138" s="552"/>
      <c r="AAT138" s="552"/>
      <c r="AAU138" s="548"/>
      <c r="AAV138" s="553"/>
      <c r="AAW138" s="553"/>
      <c r="AAX138" s="553"/>
      <c r="AAY138" s="8"/>
      <c r="AAZ138" s="8"/>
      <c r="ABA138" s="458"/>
      <c r="ABB138" s="8"/>
      <c r="ABC138" s="8"/>
      <c r="ABD138" s="547"/>
      <c r="ABE138" s="547"/>
      <c r="ABF138" s="547"/>
      <c r="ABG138" s="547"/>
      <c r="ABH138" s="548"/>
      <c r="ABI138" s="547"/>
      <c r="ABJ138" s="547"/>
      <c r="ABK138" s="547"/>
      <c r="ABL138" s="547"/>
      <c r="ABM138" s="548"/>
      <c r="ABN138" s="547"/>
      <c r="ABO138" s="547"/>
      <c r="ABP138" s="547"/>
      <c r="ABQ138" s="547"/>
      <c r="ABR138" s="548"/>
      <c r="ABS138" s="547"/>
      <c r="ABT138" s="547"/>
      <c r="ABU138" s="547"/>
      <c r="ABV138" s="552"/>
      <c r="ABW138" s="548"/>
      <c r="ABX138" s="552"/>
      <c r="ABY138" s="552"/>
      <c r="ABZ138" s="552"/>
      <c r="ACA138" s="552"/>
      <c r="ACB138" s="548"/>
      <c r="ACC138" s="553"/>
      <c r="ACD138" s="553"/>
      <c r="ACE138" s="553"/>
      <c r="ACF138" s="8"/>
      <c r="ACG138" s="8"/>
      <c r="ACH138" s="458"/>
      <c r="ACI138" s="8"/>
      <c r="ACJ138" s="8"/>
      <c r="ACK138" s="547"/>
      <c r="ACL138" s="547"/>
      <c r="ACM138" s="547"/>
      <c r="ACN138" s="547"/>
      <c r="ACO138" s="548"/>
      <c r="ACP138" s="547"/>
      <c r="ACQ138" s="547"/>
      <c r="ACR138" s="547"/>
      <c r="ACS138" s="547"/>
      <c r="ACT138" s="548"/>
      <c r="ACU138" s="547"/>
      <c r="ACV138" s="547"/>
      <c r="ACW138" s="547"/>
      <c r="ACX138" s="547"/>
      <c r="ACY138" s="548"/>
      <c r="ACZ138" s="547"/>
      <c r="ADA138" s="547"/>
      <c r="ADB138" s="547"/>
      <c r="ADC138" s="552"/>
      <c r="ADD138" s="548"/>
      <c r="ADE138" s="552"/>
      <c r="ADF138" s="552"/>
      <c r="ADG138" s="552"/>
      <c r="ADH138" s="552"/>
      <c r="ADI138" s="548"/>
      <c r="ADJ138" s="553"/>
      <c r="ADK138" s="553"/>
      <c r="ADL138" s="553"/>
      <c r="ADM138" s="8"/>
      <c r="ADN138" s="8"/>
      <c r="ADO138" s="458"/>
      <c r="ADP138" s="8"/>
      <c r="ADQ138" s="8"/>
      <c r="ADR138" s="547"/>
      <c r="ADS138" s="547"/>
      <c r="ADT138" s="547"/>
      <c r="ADU138" s="547"/>
      <c r="ADV138" s="548"/>
      <c r="ADW138" s="547"/>
      <c r="ADX138" s="547"/>
      <c r="ADY138" s="547"/>
      <c r="ADZ138" s="547"/>
      <c r="AEA138" s="548"/>
      <c r="AEB138" s="547"/>
      <c r="AEC138" s="547"/>
      <c r="AED138" s="547"/>
      <c r="AEE138" s="547"/>
      <c r="AEF138" s="548"/>
      <c r="AEG138" s="547"/>
      <c r="AEH138" s="547"/>
      <c r="AEI138" s="547"/>
      <c r="AEJ138" s="552"/>
      <c r="AEK138" s="548"/>
      <c r="AEL138" s="552"/>
      <c r="AEM138" s="552"/>
      <c r="AEN138" s="552"/>
      <c r="AEO138" s="552"/>
      <c r="AEP138" s="548"/>
      <c r="AEQ138" s="553"/>
      <c r="AER138" s="553"/>
      <c r="AES138" s="553"/>
      <c r="AET138" s="8"/>
      <c r="AEU138" s="8"/>
      <c r="AEV138" s="458"/>
      <c r="AEW138" s="8"/>
      <c r="AEX138" s="8"/>
      <c r="AEY138" s="547"/>
      <c r="AEZ138" s="547"/>
      <c r="AFA138" s="547"/>
      <c r="AFB138" s="547"/>
      <c r="AFC138" s="548"/>
      <c r="AFD138" s="547"/>
      <c r="AFE138" s="547"/>
      <c r="AFF138" s="547"/>
      <c r="AFG138" s="547"/>
      <c r="AFH138" s="548"/>
      <c r="AFI138" s="547"/>
      <c r="AFJ138" s="547"/>
      <c r="AFK138" s="547"/>
      <c r="AFL138" s="547"/>
      <c r="AFM138" s="548"/>
      <c r="AFN138" s="547"/>
      <c r="AFO138" s="547"/>
      <c r="AFP138" s="547"/>
      <c r="AFQ138" s="552"/>
      <c r="AFR138" s="548"/>
      <c r="AFS138" s="552"/>
      <c r="AFT138" s="552"/>
      <c r="AFU138" s="552"/>
      <c r="AFV138" s="552"/>
      <c r="AFW138" s="548"/>
      <c r="AFX138" s="553"/>
      <c r="AFY138" s="553"/>
      <c r="AFZ138" s="553"/>
      <c r="AGA138" s="8"/>
      <c r="AGB138" s="8"/>
      <c r="AGC138" s="458"/>
      <c r="AGD138" s="8"/>
      <c r="AGE138" s="8"/>
      <c r="AGF138" s="547"/>
      <c r="AGG138" s="547"/>
      <c r="AGH138" s="547"/>
      <c r="AGI138" s="547"/>
      <c r="AGJ138" s="548"/>
      <c r="AGK138" s="547"/>
      <c r="AGL138" s="547"/>
      <c r="AGM138" s="547"/>
      <c r="AGN138" s="547"/>
      <c r="AGO138" s="548"/>
      <c r="AGP138" s="547"/>
      <c r="AGQ138" s="547"/>
      <c r="AGR138" s="547"/>
      <c r="AGS138" s="547"/>
      <c r="AGT138" s="548"/>
      <c r="AGU138" s="547"/>
      <c r="AGV138" s="547"/>
      <c r="AGW138" s="547"/>
      <c r="AGX138" s="552"/>
      <c r="AGY138" s="548"/>
      <c r="AGZ138" s="552"/>
      <c r="AHA138" s="552"/>
      <c r="AHB138" s="552"/>
      <c r="AHC138" s="552"/>
      <c r="AHD138" s="548"/>
      <c r="AHE138" s="553"/>
      <c r="AHF138" s="553"/>
      <c r="AHG138" s="553"/>
      <c r="AHH138" s="8"/>
      <c r="AHI138" s="8"/>
      <c r="AHJ138" s="458"/>
      <c r="AHK138" s="8"/>
      <c r="AHL138" s="8"/>
      <c r="AHM138" s="547"/>
      <c r="AHN138" s="547"/>
      <c r="AHO138" s="547"/>
      <c r="AHP138" s="547"/>
      <c r="AHQ138" s="548"/>
      <c r="AHR138" s="547"/>
      <c r="AHS138" s="547"/>
      <c r="AHT138" s="547"/>
      <c r="AHU138" s="547"/>
      <c r="AHV138" s="548"/>
      <c r="AHW138" s="547"/>
      <c r="AHX138" s="547"/>
      <c r="AHY138" s="547"/>
      <c r="AHZ138" s="547"/>
      <c r="AIA138" s="548"/>
      <c r="AIB138" s="547"/>
      <c r="AIC138" s="547"/>
      <c r="AID138" s="547"/>
      <c r="AIE138" s="552"/>
      <c r="AIF138" s="548"/>
      <c r="AIG138" s="552"/>
      <c r="AIH138" s="552"/>
      <c r="AII138" s="552"/>
      <c r="AIJ138" s="552"/>
      <c r="AIK138" s="548"/>
      <c r="AIL138" s="553"/>
      <c r="AIM138" s="553"/>
      <c r="AIN138" s="553"/>
      <c r="AIO138" s="8"/>
      <c r="AIP138" s="8"/>
      <c r="AIQ138" s="458"/>
      <c r="AIR138" s="8"/>
      <c r="AIS138" s="8"/>
      <c r="AIT138" s="547"/>
      <c r="AIU138" s="547"/>
      <c r="AIV138" s="547"/>
      <c r="AIW138" s="547"/>
      <c r="AIX138" s="548"/>
      <c r="AIY138" s="547"/>
      <c r="AIZ138" s="547"/>
      <c r="AJA138" s="547"/>
      <c r="AJB138" s="547"/>
      <c r="AJC138" s="548"/>
      <c r="AJD138" s="547"/>
      <c r="AJE138" s="547"/>
      <c r="AJF138" s="547"/>
      <c r="AJG138" s="547"/>
      <c r="AJH138" s="548"/>
      <c r="AJI138" s="547"/>
      <c r="AJJ138" s="547"/>
      <c r="AJK138" s="547"/>
      <c r="AJL138" s="552"/>
      <c r="AJM138" s="548"/>
      <c r="AJN138" s="552"/>
      <c r="AJO138" s="552"/>
      <c r="AJP138" s="552"/>
      <c r="AJQ138" s="552"/>
      <c r="AJR138" s="548"/>
      <c r="AJS138" s="553"/>
      <c r="AJT138" s="553"/>
      <c r="AJU138" s="553"/>
      <c r="AJV138" s="8"/>
      <c r="AJW138" s="8"/>
      <c r="AJX138" s="458"/>
      <c r="AJY138" s="8"/>
      <c r="AJZ138" s="8"/>
      <c r="AKA138" s="547"/>
      <c r="AKB138" s="547"/>
      <c r="AKC138" s="547"/>
      <c r="AKD138" s="547"/>
      <c r="AKE138" s="548"/>
      <c r="AKF138" s="547"/>
      <c r="AKG138" s="547"/>
      <c r="AKH138" s="547"/>
      <c r="AKI138" s="547"/>
      <c r="AKJ138" s="548"/>
      <c r="AKK138" s="547"/>
      <c r="AKL138" s="547"/>
      <c r="AKM138" s="547"/>
      <c r="AKN138" s="547"/>
      <c r="AKO138" s="548"/>
      <c r="AKP138" s="547"/>
      <c r="AKQ138" s="547"/>
      <c r="AKR138" s="547"/>
      <c r="AKS138" s="552"/>
      <c r="AKT138" s="548"/>
      <c r="AKU138" s="552"/>
      <c r="AKV138" s="552"/>
      <c r="AKW138" s="552"/>
      <c r="AKX138" s="552"/>
      <c r="AKY138" s="548"/>
      <c r="AKZ138" s="553"/>
      <c r="ALA138" s="553"/>
      <c r="ALB138" s="553"/>
      <c r="ALC138" s="8"/>
      <c r="ALD138" s="8"/>
      <c r="ALE138" s="458"/>
      <c r="ALF138" s="8"/>
      <c r="ALG138" s="8"/>
      <c r="ALH138" s="547"/>
      <c r="ALI138" s="547"/>
      <c r="ALJ138" s="547"/>
      <c r="ALK138" s="547"/>
      <c r="ALL138" s="548"/>
      <c r="ALM138" s="547"/>
      <c r="ALN138" s="547"/>
      <c r="ALO138" s="547"/>
      <c r="ALP138" s="547"/>
      <c r="ALQ138" s="548"/>
      <c r="ALR138" s="547"/>
      <c r="ALS138" s="547"/>
      <c r="ALT138" s="547"/>
      <c r="ALU138" s="547"/>
      <c r="ALV138" s="548"/>
      <c r="ALW138" s="547"/>
      <c r="ALX138" s="547"/>
      <c r="ALY138" s="547"/>
      <c r="ALZ138" s="552"/>
      <c r="AMA138" s="548"/>
      <c r="AMB138" s="552"/>
      <c r="AMC138" s="552"/>
      <c r="AMD138" s="552"/>
      <c r="AME138" s="552"/>
      <c r="AMF138" s="548"/>
      <c r="AMG138" s="553"/>
      <c r="AMH138" s="553"/>
      <c r="AMI138" s="553"/>
      <c r="AMJ138" s="8"/>
      <c r="AMK138" s="8"/>
      <c r="AML138" s="458"/>
      <c r="AMM138" s="8"/>
      <c r="AMN138" s="8"/>
      <c r="AMO138" s="547"/>
      <c r="AMP138" s="547"/>
      <c r="AMQ138" s="547"/>
      <c r="AMR138" s="547"/>
      <c r="AMS138" s="548"/>
      <c r="AMT138" s="547"/>
      <c r="AMU138" s="547"/>
      <c r="AMV138" s="547"/>
      <c r="AMW138" s="547"/>
      <c r="AMX138" s="548"/>
      <c r="AMY138" s="547"/>
      <c r="AMZ138" s="547"/>
      <c r="ANA138" s="547"/>
      <c r="ANB138" s="547"/>
      <c r="ANC138" s="548"/>
      <c r="AND138" s="547"/>
      <c r="ANE138" s="547"/>
      <c r="ANF138" s="547"/>
      <c r="ANG138" s="552"/>
      <c r="ANH138" s="548"/>
      <c r="ANI138" s="552"/>
      <c r="ANJ138" s="552"/>
      <c r="ANK138" s="552"/>
      <c r="ANL138" s="552"/>
      <c r="ANM138" s="548"/>
      <c r="ANN138" s="553"/>
      <c r="ANO138" s="553"/>
      <c r="ANP138" s="553"/>
      <c r="ANQ138" s="8"/>
      <c r="ANR138" s="8"/>
      <c r="ANS138" s="458"/>
      <c r="ANT138" s="8"/>
      <c r="ANU138" s="8"/>
      <c r="ANV138" s="547"/>
      <c r="ANW138" s="547"/>
      <c r="ANX138" s="547"/>
      <c r="ANY138" s="547"/>
      <c r="ANZ138" s="548"/>
      <c r="AOA138" s="547"/>
      <c r="AOB138" s="547"/>
      <c r="AOC138" s="547"/>
      <c r="AOD138" s="547"/>
      <c r="AOE138" s="548"/>
      <c r="AOF138" s="547"/>
      <c r="AOG138" s="547"/>
      <c r="AOH138" s="547"/>
      <c r="AOI138" s="547"/>
      <c r="AOJ138" s="548"/>
      <c r="AOK138" s="547"/>
      <c r="AOL138" s="547"/>
      <c r="AOM138" s="547"/>
      <c r="AON138" s="552"/>
      <c r="AOO138" s="548"/>
      <c r="AOP138" s="552"/>
      <c r="AOQ138" s="552"/>
      <c r="AOR138" s="552"/>
      <c r="AOS138" s="552"/>
      <c r="AOT138" s="548"/>
      <c r="AOU138" s="553"/>
      <c r="AOV138" s="553"/>
      <c r="AOW138" s="553"/>
      <c r="AOX138" s="8"/>
      <c r="AOY138" s="8"/>
      <c r="AOZ138" s="458"/>
      <c r="APA138" s="8"/>
      <c r="APB138" s="8"/>
      <c r="APC138" s="547"/>
      <c r="APD138" s="547"/>
      <c r="APE138" s="547"/>
      <c r="APF138" s="547"/>
      <c r="APG138" s="548"/>
      <c r="APH138" s="547"/>
      <c r="API138" s="547"/>
      <c r="APJ138" s="547"/>
      <c r="APK138" s="547"/>
      <c r="APL138" s="548"/>
      <c r="APM138" s="547"/>
      <c r="APN138" s="547"/>
      <c r="APO138" s="547"/>
      <c r="APP138" s="547"/>
      <c r="APQ138" s="548"/>
      <c r="APR138" s="547"/>
      <c r="APS138" s="547"/>
      <c r="APT138" s="547"/>
      <c r="APU138" s="552"/>
      <c r="APV138" s="548"/>
      <c r="APW138" s="552"/>
      <c r="APX138" s="552"/>
      <c r="APY138" s="552"/>
      <c r="APZ138" s="552"/>
      <c r="AQA138" s="548"/>
      <c r="AQB138" s="553"/>
      <c r="AQC138" s="553"/>
      <c r="AQD138" s="553"/>
      <c r="AQE138" s="8"/>
      <c r="AQF138" s="8"/>
      <c r="AQG138" s="458"/>
      <c r="AQH138" s="8"/>
      <c r="AQI138" s="8"/>
      <c r="AQJ138" s="547"/>
      <c r="AQK138" s="547"/>
      <c r="AQL138" s="547"/>
      <c r="AQM138" s="547"/>
      <c r="AQN138" s="548"/>
      <c r="AQO138" s="547"/>
      <c r="AQP138" s="547"/>
      <c r="AQQ138" s="547"/>
      <c r="AQR138" s="547"/>
      <c r="AQS138" s="548"/>
      <c r="AQT138" s="547"/>
      <c r="AQU138" s="547"/>
      <c r="AQV138" s="547"/>
      <c r="AQW138" s="547"/>
      <c r="AQX138" s="548"/>
      <c r="AQY138" s="547"/>
      <c r="AQZ138" s="547"/>
      <c r="ARA138" s="547"/>
      <c r="ARB138" s="552"/>
      <c r="ARC138" s="548"/>
      <c r="ARD138" s="552"/>
      <c r="ARE138" s="552"/>
      <c r="ARF138" s="552"/>
      <c r="ARG138" s="552"/>
      <c r="ARH138" s="548"/>
      <c r="ARI138" s="553"/>
      <c r="ARJ138" s="553"/>
      <c r="ARK138" s="553"/>
      <c r="ARL138" s="8"/>
      <c r="ARM138" s="8"/>
      <c r="ARN138" s="458"/>
      <c r="ARO138" s="8"/>
      <c r="ARP138" s="8"/>
      <c r="ARQ138" s="547"/>
      <c r="ARR138" s="547"/>
      <c r="ARS138" s="547"/>
      <c r="ART138" s="547"/>
      <c r="ARU138" s="548"/>
      <c r="ARV138" s="547"/>
      <c r="ARW138" s="547"/>
      <c r="ARX138" s="547"/>
      <c r="ARY138" s="547"/>
      <c r="ARZ138" s="548"/>
      <c r="ASA138" s="547"/>
      <c r="ASB138" s="547"/>
      <c r="ASC138" s="547"/>
      <c r="ASD138" s="547"/>
      <c r="ASE138" s="548"/>
      <c r="ASF138" s="547"/>
      <c r="ASG138" s="547"/>
      <c r="ASH138" s="547"/>
      <c r="ASI138" s="552"/>
      <c r="ASJ138" s="548"/>
      <c r="ASK138" s="552"/>
      <c r="ASL138" s="552"/>
      <c r="ASM138" s="552"/>
      <c r="ASN138" s="552"/>
      <c r="ASO138" s="548"/>
      <c r="ASP138" s="553"/>
      <c r="ASQ138" s="553"/>
      <c r="ASR138" s="553"/>
      <c r="ASS138" s="8"/>
      <c r="AST138" s="8"/>
      <c r="ASU138" s="458"/>
      <c r="ASV138" s="8"/>
      <c r="ASW138" s="8"/>
      <c r="ASX138" s="547"/>
      <c r="ASY138" s="547"/>
      <c r="ASZ138" s="547"/>
      <c r="ATA138" s="547"/>
      <c r="ATB138" s="548"/>
      <c r="ATC138" s="547"/>
      <c r="ATD138" s="547"/>
      <c r="ATE138" s="547"/>
      <c r="ATF138" s="547"/>
      <c r="ATG138" s="548"/>
      <c r="ATH138" s="547"/>
      <c r="ATI138" s="547"/>
      <c r="ATJ138" s="547"/>
      <c r="ATK138" s="547"/>
      <c r="ATL138" s="548"/>
      <c r="ATM138" s="547"/>
      <c r="ATN138" s="547"/>
      <c r="ATO138" s="547"/>
      <c r="ATP138" s="552"/>
      <c r="ATQ138" s="548"/>
      <c r="ATR138" s="552"/>
      <c r="ATS138" s="552"/>
      <c r="ATT138" s="552"/>
      <c r="ATU138" s="552"/>
      <c r="ATV138" s="548"/>
      <c r="ATW138" s="553"/>
      <c r="ATX138" s="553"/>
      <c r="ATY138" s="553"/>
      <c r="ATZ138" s="8"/>
      <c r="AUA138" s="8"/>
      <c r="AUB138" s="458"/>
      <c r="AUC138" s="8"/>
      <c r="AUD138" s="8"/>
      <c r="AUE138" s="547"/>
      <c r="AUF138" s="547"/>
      <c r="AUG138" s="547"/>
      <c r="AUH138" s="547"/>
      <c r="AUI138" s="548"/>
      <c r="AUJ138" s="547"/>
      <c r="AUK138" s="547"/>
      <c r="AUL138" s="547"/>
      <c r="AUM138" s="547"/>
      <c r="AUN138" s="548"/>
      <c r="AUO138" s="547"/>
      <c r="AUP138" s="547"/>
      <c r="AUQ138" s="547"/>
      <c r="AUR138" s="547"/>
      <c r="AUS138" s="548"/>
      <c r="AUT138" s="547"/>
      <c r="AUU138" s="547"/>
      <c r="AUV138" s="547"/>
      <c r="AUW138" s="552"/>
      <c r="AUX138" s="548"/>
      <c r="AUY138" s="552"/>
      <c r="AUZ138" s="552"/>
      <c r="AVA138" s="552"/>
      <c r="AVB138" s="552"/>
      <c r="AVC138" s="548"/>
      <c r="AVD138" s="553"/>
      <c r="AVE138" s="553"/>
      <c r="AVF138" s="553"/>
      <c r="AVG138" s="8"/>
      <c r="AVH138" s="8"/>
      <c r="AVI138" s="458"/>
      <c r="AVJ138" s="8"/>
      <c r="AVK138" s="8"/>
      <c r="AVL138" s="547"/>
      <c r="AVM138" s="547"/>
      <c r="AVN138" s="547"/>
      <c r="AVO138" s="547"/>
      <c r="AVP138" s="548"/>
      <c r="AVQ138" s="547"/>
      <c r="AVR138" s="547"/>
      <c r="AVS138" s="547"/>
      <c r="AVT138" s="547"/>
      <c r="AVU138" s="548"/>
      <c r="AVV138" s="547"/>
      <c r="AVW138" s="547"/>
      <c r="AVX138" s="547"/>
      <c r="AVY138" s="547"/>
      <c r="AVZ138" s="548"/>
      <c r="AWA138" s="547"/>
      <c r="AWB138" s="547"/>
      <c r="AWC138" s="547"/>
      <c r="AWD138" s="552"/>
      <c r="AWE138" s="548"/>
      <c r="AWF138" s="552"/>
      <c r="AWG138" s="552"/>
      <c r="AWH138" s="552"/>
      <c r="AWI138" s="552"/>
      <c r="AWJ138" s="548"/>
      <c r="AWK138" s="553"/>
      <c r="AWL138" s="553"/>
      <c r="AWM138" s="553"/>
      <c r="AWN138" s="8"/>
      <c r="AWO138" s="8"/>
      <c r="AWP138" s="458"/>
      <c r="AWQ138" s="8"/>
      <c r="AWR138" s="8"/>
      <c r="AWS138" s="547"/>
      <c r="AWT138" s="547"/>
      <c r="AWU138" s="547"/>
      <c r="AWV138" s="547"/>
      <c r="AWW138" s="548"/>
      <c r="AWX138" s="547"/>
      <c r="AWY138" s="547"/>
      <c r="AWZ138" s="547"/>
      <c r="AXA138" s="547"/>
      <c r="AXB138" s="548"/>
      <c r="AXC138" s="547"/>
      <c r="AXD138" s="547"/>
      <c r="AXE138" s="547"/>
      <c r="AXF138" s="547"/>
      <c r="AXG138" s="548"/>
      <c r="AXH138" s="547"/>
      <c r="AXI138" s="547"/>
      <c r="AXJ138" s="547"/>
      <c r="AXK138" s="552"/>
      <c r="AXL138" s="548"/>
      <c r="AXM138" s="552"/>
      <c r="AXN138" s="552"/>
      <c r="AXO138" s="552"/>
      <c r="AXP138" s="552"/>
      <c r="AXQ138" s="548"/>
      <c r="AXR138" s="553"/>
      <c r="AXS138" s="553"/>
      <c r="AXT138" s="553"/>
      <c r="AXU138" s="8"/>
      <c r="AXV138" s="8"/>
      <c r="AXW138" s="458"/>
      <c r="AXX138" s="8"/>
      <c r="AXY138" s="8"/>
      <c r="AXZ138" s="547"/>
      <c r="AYA138" s="547"/>
      <c r="AYB138" s="547"/>
      <c r="AYC138" s="547"/>
      <c r="AYD138" s="548"/>
      <c r="AYE138" s="547"/>
      <c r="AYF138" s="547"/>
      <c r="AYG138" s="547"/>
      <c r="AYH138" s="547"/>
      <c r="AYI138" s="548"/>
      <c r="AYJ138" s="547"/>
      <c r="AYK138" s="547"/>
      <c r="AYL138" s="547"/>
      <c r="AYM138" s="547"/>
      <c r="AYN138" s="548"/>
      <c r="AYO138" s="547"/>
      <c r="AYP138" s="547"/>
      <c r="AYQ138" s="547"/>
      <c r="AYR138" s="552"/>
      <c r="AYS138" s="548"/>
      <c r="AYT138" s="552"/>
      <c r="AYU138" s="552"/>
      <c r="AYV138" s="552"/>
      <c r="AYW138" s="552"/>
      <c r="AYX138" s="548"/>
      <c r="AYY138" s="553"/>
      <c r="AYZ138" s="553"/>
      <c r="AZA138" s="553"/>
      <c r="AZB138" s="8"/>
      <c r="AZC138" s="8"/>
      <c r="AZD138" s="458"/>
      <c r="AZE138" s="8"/>
      <c r="AZF138" s="8"/>
      <c r="AZG138" s="547"/>
      <c r="AZH138" s="547"/>
      <c r="AZI138" s="547"/>
      <c r="AZJ138" s="547"/>
      <c r="AZK138" s="548"/>
      <c r="AZL138" s="547"/>
      <c r="AZM138" s="547"/>
      <c r="AZN138" s="547"/>
      <c r="AZO138" s="547"/>
      <c r="AZP138" s="548"/>
      <c r="AZQ138" s="547"/>
      <c r="AZR138" s="547"/>
      <c r="AZS138" s="547"/>
      <c r="AZT138" s="547"/>
      <c r="AZU138" s="548"/>
      <c r="AZV138" s="547"/>
      <c r="AZW138" s="547"/>
      <c r="AZX138" s="547"/>
      <c r="AZY138" s="552"/>
      <c r="AZZ138" s="548"/>
      <c r="BAA138" s="552"/>
      <c r="BAB138" s="552"/>
      <c r="BAC138" s="552"/>
      <c r="BAD138" s="552"/>
      <c r="BAE138" s="548"/>
      <c r="BAF138" s="553"/>
      <c r="BAG138" s="553"/>
      <c r="BAH138" s="553"/>
      <c r="BAI138" s="8"/>
      <c r="BAJ138" s="8"/>
      <c r="BAK138" s="458"/>
      <c r="BAL138" s="8"/>
      <c r="BAM138" s="8"/>
      <c r="BAN138" s="547"/>
      <c r="BAO138" s="547"/>
      <c r="BAP138" s="547"/>
      <c r="BAQ138" s="547"/>
      <c r="BAR138" s="548"/>
      <c r="BAS138" s="547"/>
      <c r="BAT138" s="547"/>
      <c r="BAU138" s="547"/>
      <c r="BAV138" s="547"/>
      <c r="BAW138" s="548"/>
      <c r="BAX138" s="547"/>
      <c r="BAY138" s="547"/>
      <c r="BAZ138" s="547"/>
      <c r="BBA138" s="547"/>
      <c r="BBB138" s="548"/>
      <c r="BBC138" s="547"/>
      <c r="BBD138" s="547"/>
      <c r="BBE138" s="547"/>
      <c r="BBF138" s="552"/>
      <c r="BBG138" s="548"/>
      <c r="BBH138" s="552"/>
      <c r="BBI138" s="552"/>
      <c r="BBJ138" s="552"/>
      <c r="BBK138" s="552"/>
      <c r="BBL138" s="548"/>
      <c r="BBM138" s="553"/>
      <c r="BBN138" s="553"/>
      <c r="BBO138" s="553"/>
      <c r="BBP138" s="8"/>
      <c r="BBQ138" s="8"/>
      <c r="BBR138" s="458"/>
      <c r="BBS138" s="8"/>
      <c r="BBT138" s="8"/>
      <c r="BBU138" s="547"/>
      <c r="BBV138" s="547"/>
      <c r="BBW138" s="547"/>
      <c r="BBX138" s="547"/>
      <c r="BBY138" s="548"/>
      <c r="BBZ138" s="547"/>
      <c r="BCA138" s="547"/>
      <c r="BCB138" s="547"/>
      <c r="BCC138" s="547"/>
      <c r="BCD138" s="548"/>
      <c r="BCE138" s="547"/>
      <c r="BCF138" s="547"/>
      <c r="BCG138" s="547"/>
      <c r="BCH138" s="547"/>
      <c r="BCI138" s="548"/>
      <c r="BCJ138" s="547"/>
      <c r="BCK138" s="547"/>
      <c r="BCL138" s="547"/>
      <c r="BCM138" s="552"/>
      <c r="BCN138" s="548"/>
      <c r="BCO138" s="552"/>
      <c r="BCP138" s="552"/>
      <c r="BCQ138" s="552"/>
      <c r="BCR138" s="552"/>
      <c r="BCS138" s="548"/>
      <c r="BCT138" s="553"/>
      <c r="BCU138" s="553"/>
      <c r="BCV138" s="553"/>
      <c r="BCW138" s="8"/>
      <c r="BCX138" s="8"/>
      <c r="BCY138" s="458"/>
      <c r="BCZ138" s="8"/>
      <c r="BDA138" s="8"/>
      <c r="BDB138" s="547"/>
      <c r="BDC138" s="547"/>
      <c r="BDD138" s="547"/>
      <c r="BDE138" s="547"/>
      <c r="BDF138" s="548"/>
      <c r="BDG138" s="547"/>
      <c r="BDH138" s="547"/>
      <c r="BDI138" s="547"/>
      <c r="BDJ138" s="547"/>
      <c r="BDK138" s="548"/>
      <c r="BDL138" s="547"/>
      <c r="BDM138" s="547"/>
      <c r="BDN138" s="547"/>
      <c r="BDO138" s="547"/>
      <c r="BDP138" s="548"/>
      <c r="BDQ138" s="547"/>
      <c r="BDR138" s="547"/>
      <c r="BDS138" s="547"/>
      <c r="BDT138" s="552"/>
      <c r="BDU138" s="548"/>
      <c r="BDV138" s="552"/>
      <c r="BDW138" s="552"/>
      <c r="BDX138" s="552"/>
      <c r="BDY138" s="552"/>
      <c r="BDZ138" s="548"/>
      <c r="BEA138" s="553"/>
      <c r="BEB138" s="553"/>
      <c r="BEC138" s="553"/>
      <c r="BED138" s="8"/>
      <c r="BEE138" s="8"/>
      <c r="BEF138" s="458"/>
      <c r="BEG138" s="8"/>
      <c r="BEH138" s="8"/>
      <c r="BEI138" s="547"/>
      <c r="BEJ138" s="547"/>
      <c r="BEK138" s="547"/>
      <c r="BEL138" s="547"/>
      <c r="BEM138" s="548"/>
      <c r="BEN138" s="547"/>
      <c r="BEO138" s="547"/>
      <c r="BEP138" s="547"/>
      <c r="BEQ138" s="547"/>
      <c r="BER138" s="548"/>
      <c r="BES138" s="547"/>
      <c r="BET138" s="547"/>
      <c r="BEU138" s="547"/>
      <c r="BEV138" s="547"/>
      <c r="BEW138" s="548"/>
      <c r="BEX138" s="547"/>
      <c r="BEY138" s="547"/>
      <c r="BEZ138" s="547"/>
      <c r="BFA138" s="552"/>
      <c r="BFB138" s="548"/>
      <c r="BFC138" s="552"/>
      <c r="BFD138" s="552"/>
      <c r="BFE138" s="552"/>
      <c r="BFF138" s="552"/>
      <c r="BFG138" s="548"/>
      <c r="BFH138" s="553"/>
      <c r="BFI138" s="553"/>
      <c r="BFJ138" s="553"/>
      <c r="BFK138" s="8"/>
      <c r="BFL138" s="8"/>
      <c r="BFM138" s="458"/>
      <c r="BFN138" s="8"/>
      <c r="BFO138" s="8"/>
      <c r="BFP138" s="547"/>
      <c r="BFQ138" s="547"/>
      <c r="BFR138" s="547"/>
      <c r="BFS138" s="547"/>
      <c r="BFT138" s="548"/>
      <c r="BFU138" s="547"/>
      <c r="BFV138" s="547"/>
      <c r="BFW138" s="547"/>
      <c r="BFX138" s="547"/>
      <c r="BFY138" s="548"/>
      <c r="BFZ138" s="547"/>
      <c r="BGA138" s="547"/>
      <c r="BGB138" s="547"/>
      <c r="BGC138" s="547"/>
      <c r="BGD138" s="548"/>
      <c r="BGE138" s="547"/>
      <c r="BGF138" s="547"/>
      <c r="BGG138" s="547"/>
      <c r="BGH138" s="552"/>
      <c r="BGI138" s="548"/>
      <c r="BGJ138" s="552"/>
      <c r="BGK138" s="552"/>
      <c r="BGL138" s="552"/>
      <c r="BGM138" s="552"/>
      <c r="BGN138" s="548"/>
      <c r="BGO138" s="553"/>
      <c r="BGP138" s="553"/>
      <c r="BGQ138" s="553"/>
      <c r="BGR138" s="8"/>
      <c r="BGS138" s="8"/>
      <c r="BGT138" s="458"/>
      <c r="BGU138" s="8"/>
      <c r="BGV138" s="8"/>
      <c r="BGW138" s="547"/>
      <c r="BGX138" s="547"/>
      <c r="BGY138" s="547"/>
      <c r="BGZ138" s="547"/>
      <c r="BHA138" s="548"/>
      <c r="BHB138" s="547"/>
      <c r="BHC138" s="547"/>
      <c r="BHD138" s="547"/>
      <c r="BHE138" s="547"/>
      <c r="BHF138" s="548"/>
      <c r="BHG138" s="547"/>
      <c r="BHH138" s="547"/>
      <c r="BHI138" s="547"/>
      <c r="BHJ138" s="547"/>
      <c r="BHK138" s="548"/>
      <c r="BHL138" s="547"/>
      <c r="BHM138" s="547"/>
      <c r="BHN138" s="547"/>
      <c r="BHO138" s="552"/>
      <c r="BHP138" s="548"/>
      <c r="BHQ138" s="552"/>
      <c r="BHR138" s="552"/>
      <c r="BHS138" s="552"/>
      <c r="BHT138" s="552"/>
      <c r="BHU138" s="548"/>
      <c r="BHV138" s="553"/>
      <c r="BHW138" s="553"/>
      <c r="BHX138" s="553"/>
      <c r="BHY138" s="8"/>
      <c r="BHZ138" s="8"/>
      <c r="BIA138" s="458"/>
      <c r="BIB138" s="8"/>
      <c r="BIC138" s="8"/>
      <c r="BID138" s="547"/>
      <c r="BIE138" s="547"/>
      <c r="BIF138" s="547"/>
      <c r="BIG138" s="547"/>
      <c r="BIH138" s="548"/>
      <c r="BII138" s="547"/>
      <c r="BIJ138" s="547"/>
      <c r="BIK138" s="547"/>
      <c r="BIL138" s="547"/>
      <c r="BIM138" s="548"/>
      <c r="BIN138" s="547"/>
      <c r="BIO138" s="547"/>
      <c r="BIP138" s="547"/>
      <c r="BIQ138" s="547"/>
      <c r="BIR138" s="548"/>
      <c r="BIS138" s="547"/>
      <c r="BIT138" s="547"/>
      <c r="BIU138" s="547"/>
      <c r="BIV138" s="552"/>
      <c r="BIW138" s="548"/>
      <c r="BIX138" s="552"/>
      <c r="BIY138" s="552"/>
      <c r="BIZ138" s="552"/>
      <c r="BJA138" s="552"/>
      <c r="BJB138" s="548"/>
      <c r="BJC138" s="553"/>
      <c r="BJD138" s="553"/>
      <c r="BJE138" s="553"/>
      <c r="BJF138" s="8"/>
      <c r="BJG138" s="8"/>
      <c r="BJH138" s="458"/>
      <c r="BJI138" s="8"/>
      <c r="BJJ138" s="8"/>
      <c r="BJK138" s="547"/>
      <c r="BJL138" s="547"/>
      <c r="BJM138" s="547"/>
      <c r="BJN138" s="547"/>
      <c r="BJO138" s="548"/>
      <c r="BJP138" s="547"/>
      <c r="BJQ138" s="547"/>
      <c r="BJR138" s="547"/>
      <c r="BJS138" s="547"/>
      <c r="BJT138" s="548"/>
      <c r="BJU138" s="547"/>
      <c r="BJV138" s="547"/>
      <c r="BJW138" s="547"/>
      <c r="BJX138" s="547"/>
      <c r="BJY138" s="548"/>
      <c r="BJZ138" s="547"/>
      <c r="BKA138" s="547"/>
      <c r="BKB138" s="547"/>
      <c r="BKC138" s="552"/>
      <c r="BKD138" s="548"/>
      <c r="BKE138" s="552"/>
      <c r="BKF138" s="552"/>
      <c r="BKG138" s="552"/>
      <c r="BKH138" s="552"/>
      <c r="BKI138" s="548"/>
      <c r="BKJ138" s="553"/>
      <c r="BKK138" s="553"/>
      <c r="BKL138" s="553"/>
      <c r="BKM138" s="8"/>
      <c r="BKN138" s="8"/>
      <c r="BKO138" s="458"/>
      <c r="BKP138" s="8"/>
      <c r="BKQ138" s="8"/>
      <c r="BKR138" s="547"/>
      <c r="BKS138" s="547"/>
      <c r="BKT138" s="547"/>
      <c r="BKU138" s="547"/>
      <c r="BKV138" s="548"/>
      <c r="BKW138" s="547"/>
      <c r="BKX138" s="547"/>
      <c r="BKY138" s="547"/>
      <c r="BKZ138" s="547"/>
      <c r="BLA138" s="548"/>
      <c r="BLB138" s="547"/>
      <c r="BLC138" s="547"/>
      <c r="BLD138" s="547"/>
      <c r="BLE138" s="547"/>
      <c r="BLF138" s="548"/>
      <c r="BLG138" s="547"/>
      <c r="BLH138" s="547"/>
      <c r="BLI138" s="547"/>
      <c r="BLJ138" s="552"/>
      <c r="BLK138" s="548"/>
      <c r="BLL138" s="552"/>
      <c r="BLM138" s="552"/>
      <c r="BLN138" s="552"/>
      <c r="BLO138" s="552"/>
      <c r="BLP138" s="548"/>
      <c r="BLQ138" s="553"/>
      <c r="BLR138" s="553"/>
      <c r="BLS138" s="553"/>
      <c r="BLT138" s="8"/>
      <c r="BLU138" s="8"/>
      <c r="BLV138" s="458"/>
      <c r="BLW138" s="8"/>
      <c r="BLX138" s="8"/>
      <c r="BLY138" s="547"/>
      <c r="BLZ138" s="547"/>
      <c r="BMA138" s="547"/>
      <c r="BMB138" s="547"/>
      <c r="BMC138" s="548"/>
      <c r="BMD138" s="547"/>
      <c r="BME138" s="547"/>
      <c r="BMF138" s="547"/>
      <c r="BMG138" s="547"/>
      <c r="BMH138" s="548"/>
      <c r="BMI138" s="547"/>
      <c r="BMJ138" s="547"/>
      <c r="BMK138" s="547"/>
      <c r="BML138" s="547"/>
      <c r="BMM138" s="548"/>
      <c r="BMN138" s="547"/>
      <c r="BMO138" s="547"/>
      <c r="BMP138" s="547"/>
      <c r="BMQ138" s="552"/>
      <c r="BMR138" s="548"/>
      <c r="BMS138" s="552"/>
      <c r="BMT138" s="552"/>
      <c r="BMU138" s="552"/>
      <c r="BMV138" s="552"/>
      <c r="BMW138" s="548"/>
      <c r="BMX138" s="553"/>
      <c r="BMY138" s="553"/>
      <c r="BMZ138" s="553"/>
      <c r="BNA138" s="8"/>
      <c r="BNB138" s="8"/>
      <c r="BNC138" s="458"/>
      <c r="BND138" s="8"/>
      <c r="BNE138" s="8"/>
      <c r="BNF138" s="547"/>
      <c r="BNG138" s="547"/>
      <c r="BNH138" s="547"/>
      <c r="BNI138" s="547"/>
      <c r="BNJ138" s="548"/>
      <c r="BNK138" s="547"/>
      <c r="BNL138" s="547"/>
      <c r="BNM138" s="547"/>
      <c r="BNN138" s="547"/>
      <c r="BNO138" s="548"/>
      <c r="BNP138" s="547"/>
      <c r="BNQ138" s="547"/>
      <c r="BNR138" s="547"/>
      <c r="BNS138" s="547"/>
      <c r="BNT138" s="548"/>
      <c r="BNU138" s="547"/>
      <c r="BNV138" s="547"/>
      <c r="BNW138" s="547"/>
      <c r="BNX138" s="552"/>
      <c r="BNY138" s="548"/>
      <c r="BNZ138" s="552"/>
      <c r="BOA138" s="552"/>
      <c r="BOB138" s="552"/>
      <c r="BOC138" s="552"/>
      <c r="BOD138" s="548"/>
      <c r="BOE138" s="553"/>
      <c r="BOF138" s="553"/>
      <c r="BOG138" s="553"/>
      <c r="BOH138" s="8"/>
      <c r="BOI138" s="8"/>
      <c r="BOJ138" s="458"/>
      <c r="BOK138" s="8"/>
      <c r="BOL138" s="8"/>
      <c r="BOM138" s="547"/>
      <c r="BON138" s="547"/>
      <c r="BOO138" s="547"/>
      <c r="BOP138" s="547"/>
      <c r="BOQ138" s="548"/>
      <c r="BOR138" s="547"/>
      <c r="BOS138" s="547"/>
      <c r="BOT138" s="547"/>
      <c r="BOU138" s="547"/>
      <c r="BOV138" s="548"/>
      <c r="BOW138" s="547"/>
      <c r="BOX138" s="547"/>
      <c r="BOY138" s="547"/>
      <c r="BOZ138" s="547"/>
      <c r="BPA138" s="548"/>
      <c r="BPB138" s="547"/>
      <c r="BPC138" s="547"/>
      <c r="BPD138" s="547"/>
      <c r="BPE138" s="552"/>
      <c r="BPF138" s="548"/>
      <c r="BPG138" s="552"/>
      <c r="BPH138" s="552"/>
      <c r="BPI138" s="552"/>
      <c r="BPJ138" s="552"/>
      <c r="BPK138" s="548"/>
      <c r="BPL138" s="553"/>
      <c r="BPM138" s="553"/>
      <c r="BPN138" s="553"/>
      <c r="BPO138" s="8"/>
      <c r="BPP138" s="8"/>
      <c r="BPQ138" s="458"/>
      <c r="BPR138" s="8"/>
      <c r="BPS138" s="8"/>
      <c r="BPT138" s="547"/>
      <c r="BPU138" s="547"/>
      <c r="BPV138" s="547"/>
      <c r="BPW138" s="547"/>
      <c r="BPX138" s="548"/>
      <c r="BPY138" s="547"/>
      <c r="BPZ138" s="547"/>
      <c r="BQA138" s="547"/>
      <c r="BQB138" s="547"/>
      <c r="BQC138" s="548"/>
      <c r="BQD138" s="547"/>
      <c r="BQE138" s="547"/>
      <c r="BQF138" s="547"/>
      <c r="BQG138" s="547"/>
      <c r="BQH138" s="548"/>
      <c r="BQI138" s="547"/>
      <c r="BQJ138" s="547"/>
      <c r="BQK138" s="547"/>
      <c r="BQL138" s="552"/>
      <c r="BQM138" s="548"/>
      <c r="BQN138" s="552"/>
      <c r="BQO138" s="552"/>
      <c r="BQP138" s="552"/>
      <c r="BQQ138" s="552"/>
      <c r="BQR138" s="548"/>
      <c r="BQS138" s="553"/>
      <c r="BQT138" s="553"/>
      <c r="BQU138" s="553"/>
      <c r="BQV138" s="8"/>
      <c r="BQW138" s="8"/>
      <c r="BQX138" s="458"/>
      <c r="BQY138" s="8"/>
      <c r="BQZ138" s="8"/>
      <c r="BRA138" s="547"/>
      <c r="BRB138" s="547"/>
      <c r="BRC138" s="547"/>
      <c r="BRD138" s="547"/>
      <c r="BRE138" s="548"/>
      <c r="BRF138" s="547"/>
      <c r="BRG138" s="547"/>
      <c r="BRH138" s="547"/>
      <c r="BRI138" s="547"/>
      <c r="BRJ138" s="548"/>
      <c r="BRK138" s="547"/>
      <c r="BRL138" s="547"/>
      <c r="BRM138" s="547"/>
      <c r="BRN138" s="547"/>
      <c r="BRO138" s="548"/>
      <c r="BRP138" s="547"/>
      <c r="BRQ138" s="547"/>
      <c r="BRR138" s="547"/>
      <c r="BRS138" s="552"/>
      <c r="BRT138" s="548"/>
      <c r="BRU138" s="552"/>
      <c r="BRV138" s="552"/>
      <c r="BRW138" s="552"/>
      <c r="BRX138" s="552"/>
      <c r="BRY138" s="548"/>
      <c r="BRZ138" s="553"/>
      <c r="BSA138" s="553"/>
      <c r="BSB138" s="553"/>
      <c r="BSC138" s="8"/>
      <c r="BSD138" s="8"/>
      <c r="BSE138" s="458"/>
      <c r="BSF138" s="8"/>
      <c r="BSG138" s="8"/>
      <c r="BSH138" s="547"/>
      <c r="BSI138" s="547"/>
      <c r="BSJ138" s="547"/>
      <c r="BSK138" s="547"/>
      <c r="BSL138" s="548"/>
      <c r="BSM138" s="547"/>
      <c r="BSN138" s="547"/>
      <c r="BSO138" s="547"/>
      <c r="BSP138" s="547"/>
      <c r="BSQ138" s="548"/>
      <c r="BSR138" s="547"/>
      <c r="BSS138" s="547"/>
      <c r="BST138" s="547"/>
      <c r="BSU138" s="547"/>
      <c r="BSV138" s="548"/>
      <c r="BSW138" s="547"/>
      <c r="BSX138" s="547"/>
      <c r="BSY138" s="547"/>
      <c r="BSZ138" s="552"/>
      <c r="BTA138" s="548"/>
      <c r="BTB138" s="552"/>
      <c r="BTC138" s="552"/>
      <c r="BTD138" s="552"/>
      <c r="BTE138" s="552"/>
      <c r="BTF138" s="548"/>
      <c r="BTG138" s="553"/>
      <c r="BTH138" s="553"/>
      <c r="BTI138" s="553"/>
      <c r="BTJ138" s="8"/>
      <c r="BTK138" s="8"/>
      <c r="BTL138" s="458"/>
      <c r="BTM138" s="8"/>
      <c r="BTN138" s="8"/>
      <c r="BTO138" s="547"/>
      <c r="BTP138" s="547"/>
      <c r="BTQ138" s="547"/>
      <c r="BTR138" s="547"/>
      <c r="BTS138" s="548"/>
      <c r="BTT138" s="547"/>
      <c r="BTU138" s="547"/>
      <c r="BTV138" s="547"/>
      <c r="BTW138" s="547"/>
      <c r="BTX138" s="548"/>
      <c r="BTY138" s="547"/>
      <c r="BTZ138" s="547"/>
      <c r="BUA138" s="547"/>
      <c r="BUB138" s="547"/>
      <c r="BUC138" s="548"/>
      <c r="BUD138" s="547"/>
      <c r="BUE138" s="547"/>
      <c r="BUF138" s="547"/>
      <c r="BUG138" s="552"/>
      <c r="BUH138" s="548"/>
      <c r="BUI138" s="552"/>
      <c r="BUJ138" s="552"/>
      <c r="BUK138" s="552"/>
      <c r="BUL138" s="552"/>
      <c r="BUM138" s="548"/>
      <c r="BUN138" s="553"/>
      <c r="BUO138" s="553"/>
      <c r="BUP138" s="553"/>
      <c r="BUQ138" s="8"/>
      <c r="BUR138" s="8"/>
      <c r="BUS138" s="458"/>
      <c r="BUT138" s="8"/>
      <c r="BUU138" s="8"/>
      <c r="BUV138" s="547"/>
      <c r="BUW138" s="547"/>
      <c r="BUX138" s="547"/>
      <c r="BUY138" s="547"/>
      <c r="BUZ138" s="548"/>
      <c r="BVA138" s="547"/>
      <c r="BVB138" s="547"/>
      <c r="BVC138" s="547"/>
      <c r="BVD138" s="547"/>
      <c r="BVE138" s="548"/>
      <c r="BVF138" s="547"/>
      <c r="BVG138" s="547"/>
      <c r="BVH138" s="547"/>
      <c r="BVI138" s="547"/>
      <c r="BVJ138" s="548"/>
      <c r="BVK138" s="547"/>
      <c r="BVL138" s="547"/>
      <c r="BVM138" s="547"/>
      <c r="BVN138" s="552"/>
      <c r="BVO138" s="548"/>
      <c r="BVP138" s="552"/>
      <c r="BVQ138" s="552"/>
      <c r="BVR138" s="552"/>
      <c r="BVS138" s="552"/>
      <c r="BVT138" s="548"/>
      <c r="BVU138" s="553"/>
      <c r="BVV138" s="553"/>
      <c r="BVW138" s="553"/>
      <c r="BVX138" s="8"/>
      <c r="BVY138" s="8"/>
      <c r="BVZ138" s="458"/>
      <c r="BWA138" s="8"/>
      <c r="BWB138" s="8"/>
      <c r="BWC138" s="547"/>
      <c r="BWD138" s="547"/>
      <c r="BWE138" s="547"/>
      <c r="BWF138" s="547"/>
      <c r="BWG138" s="548"/>
      <c r="BWH138" s="547"/>
      <c r="BWI138" s="547"/>
      <c r="BWJ138" s="547"/>
      <c r="BWK138" s="547"/>
      <c r="BWL138" s="548"/>
      <c r="BWM138" s="547"/>
      <c r="BWN138" s="547"/>
      <c r="BWO138" s="547"/>
      <c r="BWP138" s="547"/>
      <c r="BWQ138" s="548"/>
      <c r="BWR138" s="547"/>
      <c r="BWS138" s="547"/>
      <c r="BWT138" s="547"/>
      <c r="BWU138" s="552"/>
      <c r="BWV138" s="548"/>
      <c r="BWW138" s="552"/>
      <c r="BWX138" s="552"/>
      <c r="BWY138" s="552"/>
      <c r="BWZ138" s="552"/>
      <c r="BXA138" s="548"/>
      <c r="BXB138" s="553"/>
      <c r="BXC138" s="553"/>
      <c r="BXD138" s="553"/>
      <c r="BXE138" s="8"/>
      <c r="BXF138" s="8"/>
      <c r="BXG138" s="458"/>
      <c r="BXH138" s="8"/>
      <c r="BXI138" s="8"/>
      <c r="BXJ138" s="547"/>
      <c r="BXK138" s="547"/>
      <c r="BXL138" s="547"/>
      <c r="BXM138" s="547"/>
      <c r="BXN138" s="548"/>
      <c r="BXO138" s="547"/>
      <c r="BXP138" s="547"/>
      <c r="BXQ138" s="547"/>
      <c r="BXR138" s="547"/>
      <c r="BXS138" s="548"/>
      <c r="BXT138" s="547"/>
      <c r="BXU138" s="547"/>
      <c r="BXV138" s="547"/>
      <c r="BXW138" s="547"/>
      <c r="BXX138" s="548"/>
      <c r="BXY138" s="547"/>
      <c r="BXZ138" s="547"/>
      <c r="BYA138" s="547"/>
      <c r="BYB138" s="552"/>
      <c r="BYC138" s="548"/>
      <c r="BYD138" s="552"/>
      <c r="BYE138" s="552"/>
      <c r="BYF138" s="552"/>
      <c r="BYG138" s="552"/>
      <c r="BYH138" s="548"/>
      <c r="BYI138" s="553"/>
      <c r="BYJ138" s="553"/>
      <c r="BYK138" s="553"/>
      <c r="BYL138" s="8"/>
      <c r="BYM138" s="8"/>
      <c r="BYN138" s="458"/>
      <c r="BYO138" s="8"/>
      <c r="BYP138" s="8"/>
      <c r="BYQ138" s="547"/>
      <c r="BYR138" s="547"/>
      <c r="BYS138" s="547"/>
      <c r="BYT138" s="547"/>
      <c r="BYU138" s="548"/>
      <c r="BYV138" s="547"/>
      <c r="BYW138" s="547"/>
      <c r="BYX138" s="547"/>
      <c r="BYY138" s="547"/>
      <c r="BYZ138" s="548"/>
      <c r="BZA138" s="547"/>
      <c r="BZB138" s="547"/>
      <c r="BZC138" s="547"/>
      <c r="BZD138" s="547"/>
      <c r="BZE138" s="548"/>
      <c r="BZF138" s="547"/>
      <c r="BZG138" s="547"/>
      <c r="BZH138" s="547"/>
      <c r="BZI138" s="552"/>
      <c r="BZJ138" s="548"/>
      <c r="BZK138" s="552"/>
      <c r="BZL138" s="552"/>
      <c r="BZM138" s="552"/>
      <c r="BZN138" s="552"/>
      <c r="BZO138" s="548"/>
      <c r="BZP138" s="553"/>
      <c r="BZQ138" s="553"/>
      <c r="BZR138" s="553"/>
      <c r="BZS138" s="8"/>
      <c r="BZT138" s="8"/>
      <c r="BZU138" s="458"/>
      <c r="BZV138" s="8"/>
      <c r="BZW138" s="8"/>
      <c r="BZX138" s="547"/>
      <c r="BZY138" s="547"/>
      <c r="BZZ138" s="547"/>
      <c r="CAA138" s="547"/>
      <c r="CAB138" s="548"/>
      <c r="CAC138" s="547"/>
      <c r="CAD138" s="547"/>
      <c r="CAE138" s="547"/>
      <c r="CAF138" s="547"/>
      <c r="CAG138" s="548"/>
      <c r="CAH138" s="547"/>
      <c r="CAI138" s="547"/>
      <c r="CAJ138" s="547"/>
      <c r="CAK138" s="547"/>
      <c r="CAL138" s="548"/>
      <c r="CAM138" s="547"/>
      <c r="CAN138" s="547"/>
      <c r="CAO138" s="547"/>
      <c r="CAP138" s="552"/>
      <c r="CAQ138" s="548"/>
      <c r="CAR138" s="552"/>
      <c r="CAS138" s="552"/>
      <c r="CAT138" s="552"/>
      <c r="CAU138" s="552"/>
      <c r="CAV138" s="548"/>
      <c r="CAW138" s="553"/>
      <c r="CAX138" s="553"/>
      <c r="CAY138" s="553"/>
      <c r="CAZ138" s="8"/>
      <c r="CBA138" s="8"/>
      <c r="CBB138" s="458"/>
      <c r="CBC138" s="8"/>
      <c r="CBD138" s="8"/>
      <c r="CBE138" s="547"/>
      <c r="CBF138" s="547"/>
      <c r="CBG138" s="547"/>
      <c r="CBH138" s="547"/>
      <c r="CBI138" s="548"/>
      <c r="CBJ138" s="547"/>
      <c r="CBK138" s="547"/>
      <c r="CBL138" s="547"/>
      <c r="CBM138" s="547"/>
      <c r="CBN138" s="548"/>
      <c r="CBO138" s="547"/>
      <c r="CBP138" s="547"/>
      <c r="CBQ138" s="547"/>
      <c r="CBR138" s="547"/>
      <c r="CBS138" s="548"/>
      <c r="CBT138" s="547"/>
      <c r="CBU138" s="547"/>
      <c r="CBV138" s="547"/>
      <c r="CBW138" s="552"/>
      <c r="CBX138" s="548"/>
      <c r="CBY138" s="552"/>
      <c r="CBZ138" s="552"/>
      <c r="CCA138" s="552"/>
      <c r="CCB138" s="552"/>
      <c r="CCC138" s="548"/>
      <c r="CCD138" s="553"/>
      <c r="CCE138" s="553"/>
      <c r="CCF138" s="553"/>
      <c r="CCG138" s="8"/>
      <c r="CCH138" s="8"/>
      <c r="CCI138" s="458"/>
      <c r="CCJ138" s="8"/>
      <c r="CCK138" s="8"/>
      <c r="CCL138" s="547"/>
      <c r="CCM138" s="547"/>
      <c r="CCN138" s="547"/>
      <c r="CCO138" s="547"/>
      <c r="CCP138" s="548"/>
      <c r="CCQ138" s="547"/>
      <c r="CCR138" s="547"/>
      <c r="CCS138" s="547"/>
      <c r="CCT138" s="547"/>
      <c r="CCU138" s="548"/>
      <c r="CCV138" s="547"/>
      <c r="CCW138" s="547"/>
      <c r="CCX138" s="547"/>
      <c r="CCY138" s="547"/>
      <c r="CCZ138" s="548"/>
      <c r="CDA138" s="547"/>
      <c r="CDB138" s="547"/>
      <c r="CDC138" s="547"/>
      <c r="CDD138" s="552"/>
      <c r="CDE138" s="548"/>
      <c r="CDF138" s="552"/>
      <c r="CDG138" s="552"/>
      <c r="CDH138" s="552"/>
      <c r="CDI138" s="552"/>
      <c r="CDJ138" s="548"/>
      <c r="CDK138" s="553"/>
      <c r="CDL138" s="553"/>
      <c r="CDM138" s="553"/>
      <c r="CDN138" s="8"/>
      <c r="CDO138" s="8"/>
      <c r="CDP138" s="458"/>
      <c r="CDQ138" s="8"/>
      <c r="CDR138" s="8"/>
      <c r="CDS138" s="547"/>
      <c r="CDT138" s="547"/>
      <c r="CDU138" s="547"/>
      <c r="CDV138" s="547"/>
      <c r="CDW138" s="548"/>
      <c r="CDX138" s="547"/>
      <c r="CDY138" s="547"/>
      <c r="CDZ138" s="547"/>
      <c r="CEA138" s="547"/>
      <c r="CEB138" s="548"/>
      <c r="CEC138" s="547"/>
      <c r="CED138" s="547"/>
      <c r="CEE138" s="547"/>
      <c r="CEF138" s="547"/>
      <c r="CEG138" s="548"/>
      <c r="CEH138" s="547"/>
      <c r="CEI138" s="547"/>
      <c r="CEJ138" s="547"/>
      <c r="CEK138" s="552"/>
      <c r="CEL138" s="548"/>
      <c r="CEM138" s="552"/>
      <c r="CEN138" s="552"/>
      <c r="CEO138" s="552"/>
      <c r="CEP138" s="552"/>
      <c r="CEQ138" s="548"/>
      <c r="CER138" s="553"/>
      <c r="CES138" s="553"/>
      <c r="CET138" s="553"/>
      <c r="CEU138" s="8"/>
      <c r="CEV138" s="8"/>
      <c r="CEW138" s="458"/>
      <c r="CEX138" s="8"/>
      <c r="CEY138" s="8"/>
      <c r="CEZ138" s="547"/>
      <c r="CFA138" s="547"/>
      <c r="CFB138" s="547"/>
      <c r="CFC138" s="547"/>
      <c r="CFD138" s="548"/>
      <c r="CFE138" s="547"/>
      <c r="CFF138" s="547"/>
      <c r="CFG138" s="547"/>
      <c r="CFH138" s="547"/>
      <c r="CFI138" s="548"/>
      <c r="CFJ138" s="547"/>
      <c r="CFK138" s="547"/>
      <c r="CFL138" s="547"/>
      <c r="CFM138" s="547"/>
      <c r="CFN138" s="548"/>
      <c r="CFO138" s="547"/>
      <c r="CFP138" s="547"/>
      <c r="CFQ138" s="547"/>
      <c r="CFR138" s="552"/>
      <c r="CFS138" s="548"/>
      <c r="CFT138" s="552"/>
      <c r="CFU138" s="552"/>
      <c r="CFV138" s="552"/>
      <c r="CFW138" s="552"/>
      <c r="CFX138" s="548"/>
      <c r="CFY138" s="553"/>
      <c r="CFZ138" s="553"/>
      <c r="CGA138" s="553"/>
      <c r="CGB138" s="8"/>
      <c r="CGC138" s="8"/>
      <c r="CGD138" s="458"/>
      <c r="CGE138" s="8"/>
      <c r="CGF138" s="8"/>
      <c r="CGG138" s="547"/>
      <c r="CGH138" s="547"/>
      <c r="CGI138" s="547"/>
      <c r="CGJ138" s="547"/>
      <c r="CGK138" s="548"/>
      <c r="CGL138" s="547"/>
      <c r="CGM138" s="547"/>
      <c r="CGN138" s="547"/>
      <c r="CGO138" s="547"/>
      <c r="CGP138" s="548"/>
      <c r="CGQ138" s="547"/>
      <c r="CGR138" s="547"/>
      <c r="CGS138" s="547"/>
      <c r="CGT138" s="547"/>
      <c r="CGU138" s="548"/>
      <c r="CGV138" s="547"/>
      <c r="CGW138" s="547"/>
      <c r="CGX138" s="547"/>
      <c r="CGY138" s="552"/>
      <c r="CGZ138" s="548"/>
      <c r="CHA138" s="552"/>
      <c r="CHB138" s="552"/>
      <c r="CHC138" s="552"/>
      <c r="CHD138" s="552"/>
      <c r="CHE138" s="548"/>
      <c r="CHF138" s="553"/>
      <c r="CHG138" s="553"/>
      <c r="CHH138" s="553"/>
      <c r="CHI138" s="8"/>
      <c r="CHJ138" s="8"/>
      <c r="CHK138" s="458"/>
      <c r="CHL138" s="8"/>
      <c r="CHM138" s="8"/>
      <c r="CHN138" s="547"/>
      <c r="CHO138" s="547"/>
      <c r="CHP138" s="547"/>
      <c r="CHQ138" s="547"/>
      <c r="CHR138" s="548"/>
      <c r="CHS138" s="547"/>
      <c r="CHT138" s="547"/>
      <c r="CHU138" s="547"/>
      <c r="CHV138" s="547"/>
      <c r="CHW138" s="548"/>
      <c r="CHX138" s="547"/>
      <c r="CHY138" s="547"/>
      <c r="CHZ138" s="547"/>
      <c r="CIA138" s="547"/>
      <c r="CIB138" s="548"/>
      <c r="CIC138" s="547"/>
      <c r="CID138" s="547"/>
      <c r="CIE138" s="547"/>
      <c r="CIF138" s="552"/>
      <c r="CIG138" s="548"/>
      <c r="CIH138" s="552"/>
      <c r="CII138" s="552"/>
      <c r="CIJ138" s="552"/>
      <c r="CIK138" s="552"/>
      <c r="CIL138" s="548"/>
      <c r="CIM138" s="553"/>
      <c r="CIN138" s="553"/>
      <c r="CIO138" s="553"/>
      <c r="CIP138" s="8"/>
      <c r="CIQ138" s="8"/>
      <c r="CIR138" s="458"/>
      <c r="CIS138" s="8"/>
      <c r="CIT138" s="8"/>
      <c r="CIU138" s="547"/>
      <c r="CIV138" s="547"/>
      <c r="CIW138" s="547"/>
      <c r="CIX138" s="547"/>
      <c r="CIY138" s="548"/>
      <c r="CIZ138" s="547"/>
      <c r="CJA138" s="547"/>
      <c r="CJB138" s="547"/>
      <c r="CJC138" s="547"/>
      <c r="CJD138" s="548"/>
      <c r="CJE138" s="547"/>
      <c r="CJF138" s="547"/>
      <c r="CJG138" s="547"/>
      <c r="CJH138" s="547"/>
      <c r="CJI138" s="548"/>
      <c r="CJJ138" s="547"/>
      <c r="CJK138" s="547"/>
      <c r="CJL138" s="547"/>
      <c r="CJM138" s="552"/>
      <c r="CJN138" s="548"/>
      <c r="CJO138" s="552"/>
      <c r="CJP138" s="552"/>
      <c r="CJQ138" s="552"/>
      <c r="CJR138" s="552"/>
      <c r="CJS138" s="548"/>
      <c r="CJT138" s="553"/>
      <c r="CJU138" s="553"/>
      <c r="CJV138" s="553"/>
      <c r="CJW138" s="8"/>
      <c r="CJX138" s="8"/>
      <c r="CJY138" s="458"/>
      <c r="CJZ138" s="8"/>
      <c r="CKA138" s="8"/>
      <c r="CKB138" s="547"/>
      <c r="CKC138" s="547"/>
      <c r="CKD138" s="547"/>
      <c r="CKE138" s="547"/>
      <c r="CKF138" s="548"/>
      <c r="CKG138" s="547"/>
      <c r="CKH138" s="547"/>
      <c r="CKI138" s="547"/>
      <c r="CKJ138" s="547"/>
      <c r="CKK138" s="548"/>
      <c r="CKL138" s="547"/>
      <c r="CKM138" s="547"/>
      <c r="CKN138" s="547"/>
      <c r="CKO138" s="547"/>
      <c r="CKP138" s="548"/>
      <c r="CKQ138" s="547"/>
      <c r="CKR138" s="547"/>
      <c r="CKS138" s="547"/>
      <c r="CKT138" s="552"/>
      <c r="CKU138" s="548"/>
      <c r="CKV138" s="552"/>
      <c r="CKW138" s="552"/>
      <c r="CKX138" s="552"/>
      <c r="CKY138" s="552"/>
      <c r="CKZ138" s="548"/>
      <c r="CLA138" s="553"/>
      <c r="CLB138" s="553"/>
      <c r="CLC138" s="553"/>
      <c r="CLD138" s="8"/>
      <c r="CLE138" s="8"/>
      <c r="CLF138" s="458"/>
      <c r="CLG138" s="8"/>
      <c r="CLH138" s="8"/>
      <c r="CLI138" s="547"/>
      <c r="CLJ138" s="547"/>
      <c r="CLK138" s="547"/>
      <c r="CLL138" s="547"/>
      <c r="CLM138" s="548"/>
      <c r="CLN138" s="547"/>
      <c r="CLO138" s="547"/>
      <c r="CLP138" s="547"/>
      <c r="CLQ138" s="547"/>
      <c r="CLR138" s="548"/>
      <c r="CLS138" s="547"/>
      <c r="CLT138" s="547"/>
      <c r="CLU138" s="547"/>
      <c r="CLV138" s="547"/>
      <c r="CLW138" s="548"/>
      <c r="CLX138" s="547"/>
      <c r="CLY138" s="547"/>
      <c r="CLZ138" s="547"/>
      <c r="CMA138" s="552"/>
      <c r="CMB138" s="548"/>
      <c r="CMC138" s="552"/>
      <c r="CMD138" s="552"/>
      <c r="CME138" s="552"/>
      <c r="CMF138" s="552"/>
      <c r="CMG138" s="548"/>
      <c r="CMH138" s="553"/>
      <c r="CMI138" s="553"/>
      <c r="CMJ138" s="553"/>
      <c r="CMK138" s="8"/>
      <c r="CML138" s="8"/>
      <c r="CMM138" s="458"/>
      <c r="CMN138" s="8"/>
      <c r="CMO138" s="8"/>
      <c r="CMP138" s="547"/>
      <c r="CMQ138" s="547"/>
      <c r="CMR138" s="547"/>
      <c r="CMS138" s="547"/>
      <c r="CMT138" s="548"/>
      <c r="CMU138" s="547"/>
      <c r="CMV138" s="547"/>
      <c r="CMW138" s="547"/>
      <c r="CMX138" s="547"/>
      <c r="CMY138" s="548"/>
      <c r="CMZ138" s="547"/>
      <c r="CNA138" s="547"/>
      <c r="CNB138" s="547"/>
      <c r="CNC138" s="547"/>
      <c r="CND138" s="548"/>
      <c r="CNE138" s="547"/>
      <c r="CNF138" s="547"/>
      <c r="CNG138" s="547"/>
      <c r="CNH138" s="552"/>
      <c r="CNI138" s="548"/>
      <c r="CNJ138" s="552"/>
      <c r="CNK138" s="552"/>
      <c r="CNL138" s="552"/>
      <c r="CNM138" s="552"/>
      <c r="CNN138" s="548"/>
      <c r="CNO138" s="553"/>
      <c r="CNP138" s="553"/>
      <c r="CNQ138" s="553"/>
      <c r="CNR138" s="8"/>
      <c r="CNS138" s="8"/>
      <c r="CNT138" s="458"/>
      <c r="CNU138" s="8"/>
      <c r="CNV138" s="8"/>
      <c r="CNW138" s="547"/>
      <c r="CNX138" s="547"/>
      <c r="CNY138" s="547"/>
      <c r="CNZ138" s="547"/>
      <c r="COA138" s="548"/>
      <c r="COB138" s="547"/>
      <c r="COC138" s="547"/>
      <c r="COD138" s="547"/>
      <c r="COE138" s="547"/>
      <c r="COF138" s="548"/>
      <c r="COG138" s="547"/>
      <c r="COH138" s="547"/>
      <c r="COI138" s="547"/>
      <c r="COJ138" s="547"/>
      <c r="COK138" s="548"/>
      <c r="COL138" s="547"/>
      <c r="COM138" s="547"/>
      <c r="CON138" s="547"/>
      <c r="COO138" s="552"/>
      <c r="COP138" s="548"/>
      <c r="COQ138" s="552"/>
      <c r="COR138" s="552"/>
      <c r="COS138" s="552"/>
      <c r="COT138" s="552"/>
      <c r="COU138" s="548"/>
      <c r="COV138" s="553"/>
      <c r="COW138" s="553"/>
      <c r="COX138" s="553"/>
      <c r="COY138" s="8"/>
      <c r="COZ138" s="8"/>
      <c r="CPA138" s="458"/>
      <c r="CPB138" s="8"/>
      <c r="CPC138" s="8"/>
      <c r="CPD138" s="547"/>
      <c r="CPE138" s="547"/>
      <c r="CPF138" s="547"/>
      <c r="CPG138" s="547"/>
      <c r="CPH138" s="548"/>
      <c r="CPI138" s="547"/>
      <c r="CPJ138" s="547"/>
      <c r="CPK138" s="547"/>
      <c r="CPL138" s="547"/>
      <c r="CPM138" s="548"/>
      <c r="CPN138" s="547"/>
      <c r="CPO138" s="547"/>
      <c r="CPP138" s="547"/>
      <c r="CPQ138" s="547"/>
      <c r="CPR138" s="548"/>
      <c r="CPS138" s="547"/>
      <c r="CPT138" s="547"/>
      <c r="CPU138" s="547"/>
      <c r="CPV138" s="552"/>
      <c r="CPW138" s="548"/>
      <c r="CPX138" s="552"/>
      <c r="CPY138" s="552"/>
      <c r="CPZ138" s="552"/>
      <c r="CQA138" s="552"/>
      <c r="CQB138" s="548"/>
      <c r="CQC138" s="553"/>
      <c r="CQD138" s="553"/>
      <c r="CQE138" s="553"/>
      <c r="CQF138" s="8"/>
      <c r="CQG138" s="8"/>
      <c r="CQH138" s="458"/>
      <c r="CQI138" s="8"/>
      <c r="CQJ138" s="8"/>
      <c r="CQK138" s="547"/>
      <c r="CQL138" s="547"/>
      <c r="CQM138" s="547"/>
      <c r="CQN138" s="547"/>
      <c r="CQO138" s="548"/>
      <c r="CQP138" s="547"/>
      <c r="CQQ138" s="547"/>
      <c r="CQR138" s="547"/>
      <c r="CQS138" s="547"/>
      <c r="CQT138" s="548"/>
      <c r="CQU138" s="547"/>
      <c r="CQV138" s="547"/>
      <c r="CQW138" s="547"/>
      <c r="CQX138" s="547"/>
      <c r="CQY138" s="548"/>
      <c r="CQZ138" s="547"/>
      <c r="CRA138" s="547"/>
      <c r="CRB138" s="547"/>
      <c r="CRC138" s="552"/>
      <c r="CRD138" s="548"/>
      <c r="CRE138" s="552"/>
      <c r="CRF138" s="552"/>
      <c r="CRG138" s="552"/>
      <c r="CRH138" s="552"/>
      <c r="CRI138" s="548"/>
      <c r="CRJ138" s="553"/>
      <c r="CRK138" s="553"/>
      <c r="CRL138" s="553"/>
      <c r="CRM138" s="8"/>
      <c r="CRN138" s="8"/>
      <c r="CRO138" s="458"/>
      <c r="CRP138" s="8"/>
      <c r="CRQ138" s="8"/>
      <c r="CRR138" s="547"/>
      <c r="CRS138" s="547"/>
      <c r="CRT138" s="547"/>
      <c r="CRU138" s="547"/>
      <c r="CRV138" s="548"/>
      <c r="CRW138" s="547"/>
      <c r="CRX138" s="547"/>
      <c r="CRY138" s="547"/>
      <c r="CRZ138" s="547"/>
      <c r="CSA138" s="548"/>
      <c r="CSB138" s="547"/>
      <c r="CSC138" s="547"/>
      <c r="CSD138" s="547"/>
      <c r="CSE138" s="547"/>
      <c r="CSF138" s="548"/>
      <c r="CSG138" s="547"/>
      <c r="CSH138" s="547"/>
      <c r="CSI138" s="547"/>
      <c r="CSJ138" s="552"/>
      <c r="CSK138" s="548"/>
      <c r="CSL138" s="552"/>
      <c r="CSM138" s="552"/>
      <c r="CSN138" s="552"/>
      <c r="CSO138" s="552"/>
      <c r="CSP138" s="548"/>
      <c r="CSQ138" s="553"/>
      <c r="CSR138" s="553"/>
      <c r="CSS138" s="553"/>
      <c r="CST138" s="8"/>
      <c r="CSU138" s="8"/>
      <c r="CSV138" s="458"/>
      <c r="CSW138" s="8"/>
      <c r="CSX138" s="8"/>
      <c r="CSY138" s="547"/>
      <c r="CSZ138" s="547"/>
      <c r="CTA138" s="547"/>
      <c r="CTB138" s="547"/>
      <c r="CTC138" s="548"/>
      <c r="CTD138" s="547"/>
      <c r="CTE138" s="547"/>
      <c r="CTF138" s="547"/>
      <c r="CTG138" s="547"/>
      <c r="CTH138" s="548"/>
      <c r="CTI138" s="547"/>
      <c r="CTJ138" s="547"/>
      <c r="CTK138" s="547"/>
      <c r="CTL138" s="547"/>
      <c r="CTM138" s="548"/>
      <c r="CTN138" s="547"/>
      <c r="CTO138" s="547"/>
      <c r="CTP138" s="547"/>
      <c r="CTQ138" s="552"/>
      <c r="CTR138" s="548"/>
      <c r="CTS138" s="552"/>
      <c r="CTT138" s="552"/>
      <c r="CTU138" s="552"/>
      <c r="CTV138" s="552"/>
      <c r="CTW138" s="548"/>
      <c r="CTX138" s="553"/>
      <c r="CTY138" s="553"/>
      <c r="CTZ138" s="553"/>
      <c r="CUA138" s="8"/>
      <c r="CUB138" s="8"/>
      <c r="CUC138" s="458"/>
      <c r="CUD138" s="8"/>
      <c r="CUE138" s="8"/>
      <c r="CUF138" s="547"/>
      <c r="CUG138" s="547"/>
      <c r="CUH138" s="547"/>
      <c r="CUI138" s="547"/>
      <c r="CUJ138" s="548"/>
      <c r="CUK138" s="547"/>
      <c r="CUL138" s="547"/>
      <c r="CUM138" s="547"/>
      <c r="CUN138" s="547"/>
      <c r="CUO138" s="548"/>
      <c r="CUP138" s="547"/>
      <c r="CUQ138" s="547"/>
      <c r="CUR138" s="547"/>
      <c r="CUS138" s="547"/>
      <c r="CUT138" s="548"/>
      <c r="CUU138" s="547"/>
      <c r="CUV138" s="547"/>
      <c r="CUW138" s="547"/>
      <c r="CUX138" s="552"/>
      <c r="CUY138" s="548"/>
      <c r="CUZ138" s="552"/>
      <c r="CVA138" s="552"/>
      <c r="CVB138" s="552"/>
      <c r="CVC138" s="552"/>
      <c r="CVD138" s="548"/>
      <c r="CVE138" s="553"/>
      <c r="CVF138" s="553"/>
      <c r="CVG138" s="553"/>
      <c r="CVH138" s="8"/>
      <c r="CVI138" s="8"/>
      <c r="CVJ138" s="458"/>
      <c r="CVK138" s="8"/>
      <c r="CVL138" s="8"/>
      <c r="CVM138" s="547"/>
      <c r="CVN138" s="547"/>
      <c r="CVO138" s="547"/>
      <c r="CVP138" s="547"/>
      <c r="CVQ138" s="548"/>
      <c r="CVR138" s="547"/>
      <c r="CVS138" s="547"/>
      <c r="CVT138" s="547"/>
      <c r="CVU138" s="547"/>
      <c r="CVV138" s="548"/>
      <c r="CVW138" s="547"/>
      <c r="CVX138" s="547"/>
      <c r="CVY138" s="547"/>
      <c r="CVZ138" s="547"/>
      <c r="CWA138" s="548"/>
      <c r="CWB138" s="547"/>
      <c r="CWC138" s="547"/>
      <c r="CWD138" s="547"/>
      <c r="CWE138" s="552"/>
      <c r="CWF138" s="548"/>
      <c r="CWG138" s="552"/>
      <c r="CWH138" s="552"/>
      <c r="CWI138" s="552"/>
      <c r="CWJ138" s="552"/>
      <c r="CWK138" s="548"/>
      <c r="CWL138" s="553"/>
      <c r="CWM138" s="553"/>
      <c r="CWN138" s="553"/>
      <c r="CWO138" s="8"/>
      <c r="CWP138" s="8"/>
      <c r="CWQ138" s="458"/>
      <c r="CWR138" s="8"/>
      <c r="CWS138" s="8"/>
      <c r="CWT138" s="547"/>
      <c r="CWU138" s="547"/>
      <c r="CWV138" s="547"/>
      <c r="CWW138" s="547"/>
      <c r="CWX138" s="548"/>
      <c r="CWY138" s="547"/>
      <c r="CWZ138" s="547"/>
      <c r="CXA138" s="547"/>
      <c r="CXB138" s="547"/>
      <c r="CXC138" s="548"/>
      <c r="CXD138" s="547"/>
      <c r="CXE138" s="547"/>
      <c r="CXF138" s="547"/>
      <c r="CXG138" s="547"/>
      <c r="CXH138" s="548"/>
      <c r="CXI138" s="547"/>
      <c r="CXJ138" s="547"/>
      <c r="CXK138" s="547"/>
      <c r="CXL138" s="552"/>
      <c r="CXM138" s="548"/>
      <c r="CXN138" s="552"/>
      <c r="CXO138" s="552"/>
      <c r="CXP138" s="552"/>
      <c r="CXQ138" s="552"/>
      <c r="CXR138" s="548"/>
      <c r="CXS138" s="553"/>
      <c r="CXT138" s="553"/>
      <c r="CXU138" s="553"/>
      <c r="CXV138" s="8"/>
      <c r="CXW138" s="8"/>
      <c r="CXX138" s="458"/>
      <c r="CXY138" s="8"/>
      <c r="CXZ138" s="8"/>
      <c r="CYA138" s="547"/>
      <c r="CYB138" s="547"/>
      <c r="CYC138" s="547"/>
      <c r="CYD138" s="547"/>
      <c r="CYE138" s="548"/>
      <c r="CYF138" s="547"/>
      <c r="CYG138" s="547"/>
      <c r="CYH138" s="547"/>
      <c r="CYI138" s="547"/>
      <c r="CYJ138" s="548"/>
      <c r="CYK138" s="547"/>
      <c r="CYL138" s="547"/>
      <c r="CYM138" s="547"/>
      <c r="CYN138" s="547"/>
      <c r="CYO138" s="548"/>
      <c r="CYP138" s="547"/>
      <c r="CYQ138" s="547"/>
      <c r="CYR138" s="547"/>
      <c r="CYS138" s="552"/>
      <c r="CYT138" s="548"/>
      <c r="CYU138" s="552"/>
      <c r="CYV138" s="552"/>
      <c r="CYW138" s="552"/>
      <c r="CYX138" s="552"/>
      <c r="CYY138" s="548"/>
      <c r="CYZ138" s="553"/>
      <c r="CZA138" s="553"/>
      <c r="CZB138" s="553"/>
      <c r="CZC138" s="8"/>
      <c r="CZD138" s="8"/>
      <c r="CZE138" s="458"/>
      <c r="CZF138" s="8"/>
      <c r="CZG138" s="8"/>
      <c r="CZH138" s="547"/>
      <c r="CZI138" s="547"/>
      <c r="CZJ138" s="547"/>
      <c r="CZK138" s="547"/>
      <c r="CZL138" s="548"/>
      <c r="CZM138" s="547"/>
      <c r="CZN138" s="547"/>
      <c r="CZO138" s="547"/>
      <c r="CZP138" s="547"/>
      <c r="CZQ138" s="548"/>
      <c r="CZR138" s="547"/>
      <c r="CZS138" s="547"/>
      <c r="CZT138" s="547"/>
      <c r="CZU138" s="547"/>
      <c r="CZV138" s="548"/>
      <c r="CZW138" s="547"/>
      <c r="CZX138" s="547"/>
      <c r="CZY138" s="547"/>
      <c r="CZZ138" s="552"/>
      <c r="DAA138" s="548"/>
      <c r="DAB138" s="552"/>
      <c r="DAC138" s="552"/>
      <c r="DAD138" s="552"/>
      <c r="DAE138" s="552"/>
      <c r="DAF138" s="548"/>
      <c r="DAG138" s="553"/>
      <c r="DAH138" s="553"/>
      <c r="DAI138" s="553"/>
      <c r="DAJ138" s="8"/>
      <c r="DAK138" s="8"/>
      <c r="DAL138" s="458"/>
      <c r="DAM138" s="8"/>
      <c r="DAN138" s="8"/>
      <c r="DAO138" s="547"/>
      <c r="DAP138" s="547"/>
      <c r="DAQ138" s="547"/>
      <c r="DAR138" s="547"/>
      <c r="DAS138" s="548"/>
      <c r="DAT138" s="547"/>
      <c r="DAU138" s="547"/>
      <c r="DAV138" s="547"/>
      <c r="DAW138" s="547"/>
      <c r="DAX138" s="548"/>
      <c r="DAY138" s="547"/>
      <c r="DAZ138" s="547"/>
      <c r="DBA138" s="547"/>
      <c r="DBB138" s="547"/>
      <c r="DBC138" s="548"/>
      <c r="DBD138" s="547"/>
      <c r="DBE138" s="547"/>
      <c r="DBF138" s="547"/>
      <c r="DBG138" s="552"/>
      <c r="DBH138" s="548"/>
      <c r="DBI138" s="552"/>
      <c r="DBJ138" s="552"/>
      <c r="DBK138" s="552"/>
      <c r="DBL138" s="552"/>
      <c r="DBM138" s="548"/>
      <c r="DBN138" s="553"/>
      <c r="DBO138" s="553"/>
      <c r="DBP138" s="553"/>
      <c r="DBQ138" s="8"/>
      <c r="DBR138" s="8"/>
      <c r="DBS138" s="458"/>
      <c r="DBT138" s="8"/>
      <c r="DBU138" s="8"/>
      <c r="DBV138" s="547"/>
      <c r="DBW138" s="547"/>
      <c r="DBX138" s="547"/>
      <c r="DBY138" s="547"/>
      <c r="DBZ138" s="548"/>
      <c r="DCA138" s="547"/>
      <c r="DCB138" s="547"/>
      <c r="DCC138" s="547"/>
      <c r="DCD138" s="547"/>
      <c r="DCE138" s="548"/>
      <c r="DCF138" s="547"/>
      <c r="DCG138" s="547"/>
      <c r="DCH138" s="547"/>
      <c r="DCI138" s="547"/>
      <c r="DCJ138" s="548"/>
      <c r="DCK138" s="547"/>
      <c r="DCL138" s="547"/>
      <c r="DCM138" s="547"/>
      <c r="DCN138" s="552"/>
      <c r="DCO138" s="548"/>
      <c r="DCP138" s="552"/>
      <c r="DCQ138" s="552"/>
      <c r="DCR138" s="552"/>
      <c r="DCS138" s="552"/>
      <c r="DCT138" s="548"/>
      <c r="DCU138" s="553"/>
      <c r="DCV138" s="553"/>
      <c r="DCW138" s="553"/>
      <c r="DCX138" s="8"/>
      <c r="DCY138" s="8"/>
      <c r="DCZ138" s="458"/>
      <c r="DDA138" s="8"/>
      <c r="DDB138" s="8"/>
      <c r="DDC138" s="547"/>
      <c r="DDD138" s="547"/>
      <c r="DDE138" s="547"/>
      <c r="DDF138" s="547"/>
      <c r="DDG138" s="548"/>
      <c r="DDH138" s="547"/>
      <c r="DDI138" s="547"/>
      <c r="DDJ138" s="547"/>
      <c r="DDK138" s="547"/>
      <c r="DDL138" s="548"/>
      <c r="DDM138" s="547"/>
      <c r="DDN138" s="547"/>
      <c r="DDO138" s="547"/>
      <c r="DDP138" s="547"/>
      <c r="DDQ138" s="548"/>
      <c r="DDR138" s="547"/>
      <c r="DDS138" s="547"/>
      <c r="DDT138" s="547"/>
      <c r="DDU138" s="552"/>
      <c r="DDV138" s="548"/>
      <c r="DDW138" s="552"/>
      <c r="DDX138" s="552"/>
      <c r="DDY138" s="552"/>
      <c r="DDZ138" s="552"/>
      <c r="DEA138" s="548"/>
      <c r="DEB138" s="553"/>
      <c r="DEC138" s="553"/>
      <c r="DED138" s="553"/>
      <c r="DEE138" s="8"/>
      <c r="DEF138" s="8"/>
      <c r="DEG138" s="458"/>
      <c r="DEH138" s="8"/>
      <c r="DEI138" s="8"/>
      <c r="DEJ138" s="547"/>
      <c r="DEK138" s="547"/>
      <c r="DEL138" s="547"/>
      <c r="DEM138" s="547"/>
      <c r="DEN138" s="548"/>
      <c r="DEO138" s="547"/>
      <c r="DEP138" s="547"/>
      <c r="DEQ138" s="547"/>
      <c r="DER138" s="547"/>
      <c r="DES138" s="548"/>
      <c r="DET138" s="547"/>
      <c r="DEU138" s="547"/>
      <c r="DEV138" s="547"/>
      <c r="DEW138" s="547"/>
      <c r="DEX138" s="548"/>
      <c r="DEY138" s="547"/>
      <c r="DEZ138" s="547"/>
      <c r="DFA138" s="547"/>
      <c r="DFB138" s="552"/>
      <c r="DFC138" s="548"/>
      <c r="DFD138" s="552"/>
      <c r="DFE138" s="552"/>
      <c r="DFF138" s="552"/>
      <c r="DFG138" s="552"/>
      <c r="DFH138" s="548"/>
      <c r="DFI138" s="553"/>
      <c r="DFJ138" s="553"/>
      <c r="DFK138" s="553"/>
      <c r="DFL138" s="8"/>
      <c r="DFM138" s="8"/>
      <c r="DFN138" s="458"/>
      <c r="DFO138" s="8"/>
      <c r="DFP138" s="8"/>
      <c r="DFQ138" s="547"/>
      <c r="DFR138" s="547"/>
      <c r="DFS138" s="547"/>
      <c r="DFT138" s="547"/>
      <c r="DFU138" s="548"/>
      <c r="DFV138" s="547"/>
      <c r="DFW138" s="547"/>
      <c r="DFX138" s="547"/>
      <c r="DFY138" s="547"/>
      <c r="DFZ138" s="548"/>
      <c r="DGA138" s="547"/>
      <c r="DGB138" s="547"/>
      <c r="DGC138" s="547"/>
      <c r="DGD138" s="547"/>
      <c r="DGE138" s="548"/>
      <c r="DGF138" s="547"/>
      <c r="DGG138" s="547"/>
      <c r="DGH138" s="547"/>
      <c r="DGI138" s="552"/>
      <c r="DGJ138" s="548"/>
      <c r="DGK138" s="552"/>
      <c r="DGL138" s="552"/>
      <c r="DGM138" s="552"/>
      <c r="DGN138" s="552"/>
      <c r="DGO138" s="548"/>
      <c r="DGP138" s="553"/>
      <c r="DGQ138" s="553"/>
      <c r="DGR138" s="553"/>
      <c r="DGS138" s="8"/>
      <c r="DGT138" s="8"/>
      <c r="DGU138" s="458"/>
      <c r="DGV138" s="8"/>
      <c r="DGW138" s="8"/>
      <c r="DGX138" s="547"/>
      <c r="DGY138" s="547"/>
      <c r="DGZ138" s="547"/>
      <c r="DHA138" s="547"/>
      <c r="DHB138" s="548"/>
      <c r="DHC138" s="547"/>
      <c r="DHD138" s="547"/>
      <c r="DHE138" s="547"/>
      <c r="DHF138" s="547"/>
      <c r="DHG138" s="548"/>
      <c r="DHH138" s="547"/>
      <c r="DHI138" s="547"/>
      <c r="DHJ138" s="547"/>
      <c r="DHK138" s="547"/>
      <c r="DHL138" s="548"/>
      <c r="DHM138" s="547"/>
      <c r="DHN138" s="547"/>
      <c r="DHO138" s="547"/>
      <c r="DHP138" s="552"/>
      <c r="DHQ138" s="548"/>
      <c r="DHR138" s="552"/>
      <c r="DHS138" s="552"/>
      <c r="DHT138" s="552"/>
      <c r="DHU138" s="552"/>
      <c r="DHV138" s="548"/>
      <c r="DHW138" s="553"/>
      <c r="DHX138" s="553"/>
      <c r="DHY138" s="553"/>
      <c r="DHZ138" s="8"/>
      <c r="DIA138" s="8"/>
      <c r="DIB138" s="458"/>
      <c r="DIC138" s="8"/>
      <c r="DID138" s="8"/>
      <c r="DIE138" s="547"/>
      <c r="DIF138" s="547"/>
      <c r="DIG138" s="547"/>
      <c r="DIH138" s="547"/>
      <c r="DII138" s="548"/>
      <c r="DIJ138" s="547"/>
      <c r="DIK138" s="547"/>
      <c r="DIL138" s="547"/>
      <c r="DIM138" s="547"/>
      <c r="DIN138" s="548"/>
      <c r="DIO138" s="547"/>
      <c r="DIP138" s="547"/>
      <c r="DIQ138" s="547"/>
      <c r="DIR138" s="547"/>
      <c r="DIS138" s="548"/>
      <c r="DIT138" s="547"/>
      <c r="DIU138" s="547"/>
      <c r="DIV138" s="547"/>
      <c r="DIW138" s="552"/>
      <c r="DIX138" s="548"/>
      <c r="DIY138" s="552"/>
      <c r="DIZ138" s="552"/>
      <c r="DJA138" s="552"/>
      <c r="DJB138" s="552"/>
      <c r="DJC138" s="548"/>
      <c r="DJD138" s="553"/>
      <c r="DJE138" s="553"/>
      <c r="DJF138" s="553"/>
      <c r="DJG138" s="8"/>
      <c r="DJH138" s="8"/>
      <c r="DJI138" s="458"/>
      <c r="DJJ138" s="8"/>
      <c r="DJK138" s="8"/>
      <c r="DJL138" s="547"/>
      <c r="DJM138" s="547"/>
      <c r="DJN138" s="547"/>
      <c r="DJO138" s="547"/>
      <c r="DJP138" s="548"/>
      <c r="DJQ138" s="547"/>
      <c r="DJR138" s="547"/>
      <c r="DJS138" s="547"/>
      <c r="DJT138" s="547"/>
      <c r="DJU138" s="548"/>
      <c r="DJV138" s="547"/>
      <c r="DJW138" s="547"/>
      <c r="DJX138" s="547"/>
      <c r="DJY138" s="547"/>
      <c r="DJZ138" s="548"/>
      <c r="DKA138" s="547"/>
      <c r="DKB138" s="547"/>
      <c r="DKC138" s="547"/>
      <c r="DKD138" s="552"/>
      <c r="DKE138" s="548"/>
      <c r="DKF138" s="552"/>
      <c r="DKG138" s="552"/>
      <c r="DKH138" s="552"/>
      <c r="DKI138" s="552"/>
      <c r="DKJ138" s="548"/>
      <c r="DKK138" s="553"/>
      <c r="DKL138" s="553"/>
      <c r="DKM138" s="553"/>
      <c r="DKN138" s="8"/>
      <c r="DKO138" s="8"/>
      <c r="DKP138" s="458"/>
      <c r="DKQ138" s="8"/>
      <c r="DKR138" s="8"/>
      <c r="DKS138" s="547"/>
      <c r="DKT138" s="547"/>
      <c r="DKU138" s="547"/>
      <c r="DKV138" s="547"/>
      <c r="DKW138" s="548"/>
      <c r="DKX138" s="547"/>
      <c r="DKY138" s="547"/>
      <c r="DKZ138" s="547"/>
      <c r="DLA138" s="547"/>
      <c r="DLB138" s="548"/>
      <c r="DLC138" s="547"/>
      <c r="DLD138" s="547"/>
      <c r="DLE138" s="547"/>
      <c r="DLF138" s="547"/>
      <c r="DLG138" s="548"/>
      <c r="DLH138" s="547"/>
      <c r="DLI138" s="547"/>
      <c r="DLJ138" s="547"/>
      <c r="DLK138" s="552"/>
      <c r="DLL138" s="548"/>
      <c r="DLM138" s="552"/>
      <c r="DLN138" s="552"/>
      <c r="DLO138" s="552"/>
      <c r="DLP138" s="552"/>
      <c r="DLQ138" s="548"/>
      <c r="DLR138" s="553"/>
      <c r="DLS138" s="553"/>
      <c r="DLT138" s="553"/>
      <c r="DLU138" s="8"/>
      <c r="DLV138" s="8"/>
      <c r="DLW138" s="458"/>
      <c r="DLX138" s="8"/>
      <c r="DLY138" s="8"/>
      <c r="DLZ138" s="547"/>
      <c r="DMA138" s="547"/>
      <c r="DMB138" s="547"/>
      <c r="DMC138" s="547"/>
      <c r="DMD138" s="548"/>
      <c r="DME138" s="547"/>
      <c r="DMF138" s="547"/>
      <c r="DMG138" s="547"/>
      <c r="DMH138" s="547"/>
      <c r="DMI138" s="548"/>
      <c r="DMJ138" s="547"/>
      <c r="DMK138" s="547"/>
      <c r="DML138" s="547"/>
      <c r="DMM138" s="547"/>
      <c r="DMN138" s="548"/>
      <c r="DMO138" s="547"/>
      <c r="DMP138" s="547"/>
      <c r="DMQ138" s="547"/>
      <c r="DMR138" s="552"/>
      <c r="DMS138" s="548"/>
      <c r="DMT138" s="552"/>
      <c r="DMU138" s="552"/>
      <c r="DMV138" s="552"/>
      <c r="DMW138" s="552"/>
      <c r="DMX138" s="548"/>
      <c r="DMY138" s="553"/>
      <c r="DMZ138" s="553"/>
      <c r="DNA138" s="553"/>
      <c r="DNB138" s="8"/>
      <c r="DNC138" s="8"/>
      <c r="DND138" s="458"/>
      <c r="DNE138" s="8"/>
      <c r="DNF138" s="8"/>
      <c r="DNG138" s="547"/>
      <c r="DNH138" s="547"/>
      <c r="DNI138" s="547"/>
      <c r="DNJ138" s="547"/>
      <c r="DNK138" s="548"/>
      <c r="DNL138" s="547"/>
      <c r="DNM138" s="547"/>
      <c r="DNN138" s="547"/>
      <c r="DNO138" s="547"/>
      <c r="DNP138" s="548"/>
      <c r="DNQ138" s="547"/>
      <c r="DNR138" s="547"/>
      <c r="DNS138" s="547"/>
      <c r="DNT138" s="547"/>
      <c r="DNU138" s="548"/>
      <c r="DNV138" s="547"/>
      <c r="DNW138" s="547"/>
      <c r="DNX138" s="547"/>
      <c r="DNY138" s="552"/>
      <c r="DNZ138" s="548"/>
      <c r="DOA138" s="552"/>
      <c r="DOB138" s="552"/>
      <c r="DOC138" s="552"/>
      <c r="DOD138" s="552"/>
      <c r="DOE138" s="548"/>
      <c r="DOF138" s="553"/>
      <c r="DOG138" s="553"/>
      <c r="DOH138" s="553"/>
      <c r="DOI138" s="8"/>
      <c r="DOJ138" s="8"/>
      <c r="DOK138" s="458"/>
      <c r="DOL138" s="8"/>
      <c r="DOM138" s="8"/>
      <c r="DON138" s="547"/>
      <c r="DOO138" s="547"/>
      <c r="DOP138" s="547"/>
      <c r="DOQ138" s="547"/>
      <c r="DOR138" s="548"/>
      <c r="DOS138" s="547"/>
      <c r="DOT138" s="547"/>
      <c r="DOU138" s="547"/>
      <c r="DOV138" s="547"/>
      <c r="DOW138" s="548"/>
      <c r="DOX138" s="547"/>
      <c r="DOY138" s="547"/>
      <c r="DOZ138" s="547"/>
      <c r="DPA138" s="547"/>
      <c r="DPB138" s="548"/>
      <c r="DPC138" s="547"/>
      <c r="DPD138" s="547"/>
      <c r="DPE138" s="547"/>
      <c r="DPF138" s="552"/>
      <c r="DPG138" s="548"/>
      <c r="DPH138" s="552"/>
      <c r="DPI138" s="552"/>
      <c r="DPJ138" s="552"/>
      <c r="DPK138" s="552"/>
      <c r="DPL138" s="548"/>
      <c r="DPM138" s="553"/>
      <c r="DPN138" s="553"/>
      <c r="DPO138" s="553"/>
      <c r="DPP138" s="8"/>
      <c r="DPQ138" s="8"/>
      <c r="DPR138" s="458"/>
      <c r="DPS138" s="8"/>
      <c r="DPT138" s="8"/>
      <c r="DPU138" s="547"/>
      <c r="DPV138" s="547"/>
      <c r="DPW138" s="547"/>
      <c r="DPX138" s="547"/>
      <c r="DPY138" s="548"/>
      <c r="DPZ138" s="547"/>
      <c r="DQA138" s="547"/>
      <c r="DQB138" s="547"/>
      <c r="DQC138" s="547"/>
      <c r="DQD138" s="548"/>
      <c r="DQE138" s="547"/>
      <c r="DQF138" s="547"/>
      <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
      <c r="DQZ138" s="8"/>
      <c r="DRA138" s="8"/>
      <c r="DRB138" s="547"/>
      <c r="DRC138" s="547"/>
      <c r="DRD138" s="547"/>
      <c r="DRE138" s="547"/>
      <c r="DRF138" s="548"/>
      <c r="DRG138" s="547"/>
      <c r="DRH138" s="547"/>
      <c r="DRI138" s="547"/>
      <c r="DRJ138" s="547"/>
      <c r="DRK138" s="548"/>
      <c r="DRL138" s="547"/>
      <c r="DRM138" s="547"/>
      <c r="DRN138" s="547"/>
      <c r="DRO138" s="547"/>
      <c r="DRP138" s="548"/>
      <c r="DRQ138" s="547"/>
      <c r="DRR138" s="547"/>
      <c r="DRS138" s="547"/>
      <c r="DRT138" s="552"/>
      <c r="DRU138" s="548"/>
      <c r="DRV138" s="552"/>
      <c r="DRW138" s="552"/>
      <c r="DRX138" s="552"/>
      <c r="DRY138" s="552"/>
      <c r="DRZ138" s="548"/>
      <c r="DSA138" s="553"/>
      <c r="DSB138" s="553"/>
      <c r="DSC138" s="553"/>
      <c r="DSD138" s="8"/>
      <c r="DSE138" s="8"/>
      <c r="DSF138" s="458"/>
      <c r="DSG138" s="8"/>
      <c r="DSH138" s="8"/>
      <c r="DSI138" s="547"/>
      <c r="DSJ138" s="547"/>
      <c r="DSK138" s="547"/>
      <c r="DSL138" s="547"/>
      <c r="DSM138" s="548"/>
      <c r="DSN138" s="547"/>
      <c r="DSO138" s="547"/>
      <c r="DSP138" s="547"/>
      <c r="DSQ138" s="547"/>
      <c r="DSR138" s="548"/>
      <c r="DSS138" s="547"/>
      <c r="DST138" s="547"/>
      <c r="DSU138" s="547"/>
      <c r="DSV138" s="547"/>
      <c r="DSW138" s="548"/>
      <c r="DSX138" s="547"/>
      <c r="DSY138" s="547"/>
      <c r="DSZ138" s="547"/>
      <c r="DTA138" s="552"/>
      <c r="DTB138" s="548"/>
      <c r="DTC138" s="552"/>
      <c r="DTD138" s="552"/>
      <c r="DTE138" s="552"/>
      <c r="DTF138" s="552"/>
      <c r="DTG138" s="548"/>
      <c r="DTH138" s="553"/>
      <c r="DTI138" s="553"/>
      <c r="DTJ138" s="553"/>
      <c r="DTK138" s="8"/>
      <c r="DTL138" s="8"/>
      <c r="DTM138" s="458"/>
      <c r="DTN138" s="8"/>
      <c r="DTO138" s="8"/>
      <c r="DTP138" s="547"/>
      <c r="DTQ138" s="547"/>
      <c r="DTR138" s="547"/>
      <c r="DTS138" s="547"/>
      <c r="DTT138" s="548"/>
      <c r="DTU138" s="547"/>
      <c r="DTV138" s="547"/>
      <c r="DTW138" s="547"/>
      <c r="DTX138" s="547"/>
      <c r="DTY138" s="548"/>
      <c r="DTZ138" s="547"/>
      <c r="DUA138" s="547"/>
      <c r="DUB138" s="547"/>
      <c r="DUC138" s="547"/>
      <c r="DUD138" s="548"/>
      <c r="DUE138" s="547"/>
      <c r="DUF138" s="547"/>
      <c r="DUG138" s="547"/>
      <c r="DUH138" s="552"/>
      <c r="DUI138" s="548"/>
      <c r="DUJ138" s="552"/>
      <c r="DUK138" s="552"/>
      <c r="DUL138" s="552"/>
      <c r="DUM138" s="552"/>
      <c r="DUN138" s="548"/>
      <c r="DUO138" s="553"/>
      <c r="DUP138" s="553"/>
      <c r="DUQ138" s="553"/>
      <c r="DUR138" s="8"/>
      <c r="DUS138" s="8"/>
      <c r="DUT138" s="458"/>
      <c r="DUU138" s="8"/>
      <c r="DUV138" s="8"/>
      <c r="DUW138" s="547"/>
      <c r="DUX138" s="547"/>
      <c r="DUY138" s="547"/>
      <c r="DUZ138" s="547"/>
      <c r="DVA138" s="548"/>
      <c r="DVB138" s="547"/>
      <c r="DVC138" s="547"/>
      <c r="DVD138" s="547"/>
      <c r="DVE138" s="547"/>
      <c r="DVF138" s="548"/>
      <c r="DVG138" s="547"/>
      <c r="DVH138" s="547"/>
      <c r="DVI138" s="547"/>
      <c r="DVJ138" s="547"/>
      <c r="DVK138" s="548"/>
      <c r="DVL138" s="547"/>
      <c r="DVM138" s="547"/>
      <c r="DVN138" s="547"/>
      <c r="DVO138" s="552"/>
      <c r="DVP138" s="548"/>
      <c r="DVQ138" s="552"/>
      <c r="DVR138" s="552"/>
      <c r="DVS138" s="552"/>
      <c r="DVT138" s="552"/>
      <c r="DVU138" s="548"/>
      <c r="DVV138" s="553"/>
      <c r="DVW138" s="553"/>
      <c r="DVX138" s="553"/>
      <c r="DVY138" s="8"/>
      <c r="DVZ138" s="8"/>
      <c r="DWA138" s="458"/>
      <c r="DWB138" s="8"/>
      <c r="DWC138" s="8"/>
      <c r="DWD138" s="547"/>
      <c r="DWE138" s="547"/>
      <c r="DWF138" s="547"/>
      <c r="DWG138" s="547"/>
      <c r="DWH138" s="548"/>
      <c r="DWI138" s="547"/>
      <c r="DWJ138" s="547"/>
      <c r="DWK138" s="547"/>
      <c r="DWL138" s="547"/>
      <c r="DWM138" s="548"/>
      <c r="DWN138" s="547"/>
      <c r="DWO138" s="547"/>
      <c r="DWP138" s="547"/>
      <c r="DWQ138" s="547"/>
      <c r="DWR138" s="548"/>
      <c r="DWS138" s="547"/>
      <c r="DWT138" s="547"/>
      <c r="DWU138" s="547"/>
      <c r="DWV138" s="552"/>
      <c r="DWW138" s="548"/>
      <c r="DWX138" s="552"/>
      <c r="DWY138" s="552"/>
      <c r="DWZ138" s="552"/>
      <c r="DXA138" s="552"/>
      <c r="DXB138" s="548"/>
      <c r="DXC138" s="553"/>
      <c r="DXD138" s="553"/>
      <c r="DXE138" s="553"/>
      <c r="DXF138" s="8"/>
      <c r="DXG138" s="8"/>
      <c r="DXH138" s="458"/>
      <c r="DXI138" s="8"/>
      <c r="DXJ138" s="8"/>
      <c r="DXK138" s="547"/>
      <c r="DXL138" s="547"/>
      <c r="DXM138" s="547"/>
      <c r="DXN138" s="547"/>
      <c r="DXO138" s="548"/>
      <c r="DXP138" s="547"/>
      <c r="DXQ138" s="547"/>
      <c r="DXR138" s="547"/>
      <c r="DXS138" s="547"/>
      <c r="DXT138" s="548"/>
      <c r="DXU138" s="547"/>
      <c r="DXV138" s="547"/>
      <c r="DXW138" s="547"/>
      <c r="DXX138" s="547"/>
      <c r="DXY138" s="548"/>
      <c r="DXZ138" s="547"/>
      <c r="DYA138" s="547"/>
      <c r="DYB138" s="547"/>
      <c r="DYC138" s="552"/>
      <c r="DYD138" s="548"/>
      <c r="DYE138" s="552"/>
      <c r="DYF138" s="552"/>
      <c r="DYG138" s="552"/>
      <c r="DYH138" s="552"/>
      <c r="DYI138" s="548"/>
      <c r="DYJ138" s="553"/>
      <c r="DYK138" s="553"/>
      <c r="DYL138" s="553"/>
      <c r="DYM138" s="8"/>
      <c r="DYN138" s="8"/>
      <c r="DYO138" s="458"/>
      <c r="DYP138" s="8"/>
      <c r="DYQ138" s="8"/>
      <c r="DYR138" s="547"/>
      <c r="DYS138" s="547"/>
      <c r="DYT138" s="547"/>
      <c r="DYU138" s="547"/>
      <c r="DYV138" s="548"/>
      <c r="DYW138" s="547"/>
      <c r="DYX138" s="547"/>
      <c r="DYY138" s="547"/>
      <c r="DYZ138" s="547"/>
      <c r="DZA138" s="548"/>
      <c r="DZB138" s="547"/>
      <c r="DZC138" s="547"/>
      <c r="DZD138" s="547"/>
      <c r="DZE138" s="547"/>
      <c r="DZF138" s="548"/>
      <c r="DZG138" s="547"/>
      <c r="DZH138" s="547"/>
      <c r="DZI138" s="547"/>
      <c r="DZJ138" s="552"/>
      <c r="DZK138" s="548"/>
      <c r="DZL138" s="552"/>
      <c r="DZM138" s="552"/>
      <c r="DZN138" s="552"/>
      <c r="DZO138" s="552"/>
      <c r="DZP138" s="548"/>
      <c r="DZQ138" s="553"/>
      <c r="DZR138" s="553"/>
      <c r="DZS138" s="553"/>
      <c r="DZT138" s="8"/>
      <c r="DZU138" s="8"/>
      <c r="DZV138" s="458"/>
      <c r="DZW138" s="8"/>
      <c r="DZX138" s="8"/>
      <c r="DZY138" s="547"/>
      <c r="DZZ138" s="547"/>
      <c r="EAA138" s="547"/>
      <c r="EAB138" s="547"/>
      <c r="EAC138" s="548"/>
      <c r="EAD138" s="547"/>
      <c r="EAE138" s="547"/>
      <c r="EAF138" s="547"/>
      <c r="EAG138" s="547"/>
      <c r="EAH138" s="548"/>
      <c r="EAI138" s="547"/>
      <c r="EAJ138" s="547"/>
      <c r="EAK138" s="547"/>
      <c r="EAL138" s="547"/>
      <c r="EAM138" s="548"/>
      <c r="EAN138" s="547"/>
      <c r="EAO138" s="547"/>
      <c r="EAP138" s="547"/>
      <c r="EAQ138" s="552"/>
      <c r="EAR138" s="548"/>
      <c r="EAS138" s="552"/>
      <c r="EAT138" s="552"/>
      <c r="EAU138" s="552"/>
      <c r="EAV138" s="552"/>
      <c r="EAW138" s="548"/>
      <c r="EAX138" s="553"/>
      <c r="EAY138" s="553"/>
      <c r="EAZ138" s="553"/>
      <c r="EBA138" s="8"/>
      <c r="EBB138" s="8"/>
      <c r="EBC138" s="458"/>
      <c r="EBD138" s="8"/>
      <c r="EBE138" s="8"/>
      <c r="EBF138" s="547"/>
      <c r="EBG138" s="547"/>
      <c r="EBH138" s="547"/>
      <c r="EBI138" s="547"/>
      <c r="EBJ138" s="548"/>
      <c r="EBK138" s="547"/>
      <c r="EBL138" s="547"/>
      <c r="EBM138" s="547"/>
      <c r="EBN138" s="547"/>
      <c r="EBO138" s="548"/>
      <c r="EBP138" s="547"/>
      <c r="EBQ138" s="547"/>
      <c r="EBR138" s="547"/>
      <c r="EBS138" s="547"/>
      <c r="EBT138" s="548"/>
      <c r="EBU138" s="547"/>
      <c r="EBV138" s="547"/>
      <c r="EBW138" s="547"/>
      <c r="EBX138" s="552"/>
      <c r="EBY138" s="548"/>
      <c r="EBZ138" s="552"/>
      <c r="ECA138" s="552"/>
      <c r="ECB138" s="552"/>
      <c r="ECC138" s="552"/>
      <c r="ECD138" s="548"/>
      <c r="ECE138" s="553"/>
      <c r="ECF138" s="553"/>
      <c r="ECG138" s="553"/>
      <c r="ECH138" s="8"/>
      <c r="ECI138" s="8"/>
      <c r="ECJ138" s="458"/>
      <c r="ECK138" s="8"/>
      <c r="ECL138" s="8"/>
      <c r="ECM138" s="547"/>
      <c r="ECN138" s="547"/>
      <c r="ECO138" s="547"/>
      <c r="ECP138" s="547"/>
      <c r="ECQ138" s="548"/>
      <c r="ECR138" s="547"/>
      <c r="ECS138" s="547"/>
      <c r="ECT138" s="547"/>
      <c r="ECU138" s="547"/>
      <c r="ECV138" s="548"/>
      <c r="ECW138" s="547"/>
      <c r="ECX138" s="547"/>
      <c r="ECY138" s="547"/>
      <c r="ECZ138" s="547"/>
      <c r="EDA138" s="548"/>
      <c r="EDB138" s="547"/>
      <c r="EDC138" s="547"/>
      <c r="EDD138" s="547"/>
      <c r="EDE138" s="552"/>
      <c r="EDF138" s="548"/>
      <c r="EDG138" s="552"/>
      <c r="EDH138" s="552"/>
      <c r="EDI138" s="552"/>
      <c r="EDJ138" s="552"/>
      <c r="EDK138" s="548"/>
      <c r="EDL138" s="553"/>
      <c r="EDM138" s="553"/>
      <c r="EDN138" s="553"/>
      <c r="EDO138" s="8"/>
      <c r="EDP138" s="8"/>
      <c r="EDQ138" s="458"/>
      <c r="EDR138" s="8"/>
      <c r="EDS138" s="8"/>
      <c r="EDT138" s="547"/>
      <c r="EDU138" s="547"/>
      <c r="EDV138" s="547"/>
      <c r="EDW138" s="547"/>
      <c r="EDX138" s="548"/>
      <c r="EDY138" s="547"/>
      <c r="EDZ138" s="547"/>
      <c r="EEA138" s="547"/>
      <c r="EEB138" s="547"/>
      <c r="EEC138" s="548"/>
      <c r="EED138" s="547"/>
      <c r="EEE138" s="547"/>
      <c r="EEF138" s="547"/>
      <c r="EEG138" s="547"/>
      <c r="EEH138" s="548"/>
      <c r="EEI138" s="547"/>
      <c r="EEJ138" s="547"/>
      <c r="EEK138" s="547"/>
      <c r="EEL138" s="552"/>
      <c r="EEM138" s="548"/>
      <c r="EEN138" s="552"/>
      <c r="EEO138" s="552"/>
      <c r="EEP138" s="552"/>
      <c r="EEQ138" s="552"/>
      <c r="EER138" s="548"/>
      <c r="EES138" s="553"/>
      <c r="EET138" s="553"/>
      <c r="EEU138" s="553"/>
      <c r="EEV138" s="8"/>
      <c r="EEW138" s="8"/>
      <c r="EEX138" s="458"/>
      <c r="EEY138" s="8"/>
      <c r="EEZ138" s="8"/>
      <c r="EFA138" s="547"/>
      <c r="EFB138" s="547"/>
      <c r="EFC138" s="547"/>
      <c r="EFD138" s="547"/>
      <c r="EFE138" s="548"/>
      <c r="EFF138" s="547"/>
      <c r="EFG138" s="547"/>
      <c r="EFH138" s="547"/>
      <c r="EFI138" s="547"/>
      <c r="EFJ138" s="548"/>
      <c r="EFK138" s="547"/>
      <c r="EFL138" s="547"/>
      <c r="EFM138" s="547"/>
      <c r="EFN138" s="547"/>
      <c r="EFO138" s="548"/>
      <c r="EFP138" s="547"/>
      <c r="EFQ138" s="547"/>
      <c r="EFR138" s="547"/>
      <c r="EFS138" s="552"/>
      <c r="EFT138" s="548"/>
      <c r="EFU138" s="552"/>
      <c r="EFV138" s="552"/>
      <c r="EFW138" s="552"/>
      <c r="EFX138" s="552"/>
      <c r="EFY138" s="548"/>
      <c r="EFZ138" s="553"/>
      <c r="EGA138" s="553"/>
      <c r="EGB138" s="553"/>
      <c r="EGC138" s="8"/>
      <c r="EGD138" s="8"/>
      <c r="EGE138" s="458"/>
      <c r="EGF138" s="8"/>
      <c r="EGG138" s="8"/>
      <c r="EGH138" s="547"/>
      <c r="EGI138" s="547"/>
      <c r="EGJ138" s="547"/>
      <c r="EGK138" s="547"/>
      <c r="EGL138" s="548"/>
      <c r="EGM138" s="547"/>
      <c r="EGN138" s="547"/>
      <c r="EGO138" s="547"/>
      <c r="EGP138" s="547"/>
      <c r="EGQ138" s="548"/>
      <c r="EGR138" s="547"/>
      <c r="EGS138" s="547"/>
      <c r="EGT138" s="547"/>
      <c r="EGU138" s="547"/>
      <c r="EGV138" s="548"/>
      <c r="EGW138" s="547"/>
      <c r="EGX138" s="547"/>
      <c r="EGY138" s="547"/>
      <c r="EGZ138" s="552"/>
      <c r="EHA138" s="548"/>
      <c r="EHB138" s="552"/>
      <c r="EHC138" s="552"/>
      <c r="EHD138" s="552"/>
      <c r="EHE138" s="552"/>
      <c r="EHF138" s="548"/>
      <c r="EHG138" s="553"/>
      <c r="EHH138" s="553"/>
      <c r="EHI138" s="553"/>
      <c r="EHJ138" s="8"/>
      <c r="EHK138" s="8"/>
      <c r="EHL138" s="458"/>
      <c r="EHM138" s="8"/>
      <c r="EHN138" s="8"/>
      <c r="EHO138" s="547"/>
      <c r="EHP138" s="547"/>
      <c r="EHQ138" s="547"/>
      <c r="EHR138" s="547"/>
      <c r="EHS138" s="548"/>
      <c r="EHT138" s="547"/>
      <c r="EHU138" s="547"/>
      <c r="EHV138" s="547"/>
      <c r="EHW138" s="547"/>
      <c r="EHX138" s="548"/>
      <c r="EHY138" s="547"/>
      <c r="EHZ138" s="547"/>
      <c r="EIA138" s="547"/>
      <c r="EIB138" s="547"/>
      <c r="EIC138" s="548"/>
      <c r="EID138" s="547"/>
      <c r="EIE138" s="547"/>
      <c r="EIF138" s="547"/>
      <c r="EIG138" s="552"/>
      <c r="EIH138" s="548"/>
      <c r="EII138" s="552"/>
      <c r="EIJ138" s="552"/>
      <c r="EIK138" s="552"/>
      <c r="EIL138" s="552"/>
      <c r="EIM138" s="548"/>
      <c r="EIN138" s="553"/>
      <c r="EIO138" s="553"/>
      <c r="EIP138" s="553"/>
      <c r="EIQ138" s="8"/>
      <c r="EIR138" s="8"/>
      <c r="EIS138" s="458"/>
      <c r="EIT138" s="8"/>
      <c r="EIU138" s="8"/>
      <c r="EIV138" s="547"/>
      <c r="EIW138" s="547"/>
      <c r="EIX138" s="547"/>
      <c r="EIY138" s="547"/>
      <c r="EIZ138" s="548"/>
      <c r="EJA138" s="547"/>
      <c r="EJB138" s="547"/>
      <c r="EJC138" s="547"/>
      <c r="EJD138" s="547"/>
      <c r="EJE138" s="548"/>
      <c r="EJF138" s="547"/>
      <c r="EJG138" s="547"/>
      <c r="EJH138" s="547"/>
      <c r="EJI138" s="547"/>
      <c r="EJJ138" s="548"/>
      <c r="EJK138" s="547"/>
      <c r="EJL138" s="547"/>
      <c r="EJM138" s="547"/>
      <c r="EJN138" s="552"/>
      <c r="EJO138" s="548"/>
      <c r="EJP138" s="552"/>
      <c r="EJQ138" s="552"/>
      <c r="EJR138" s="552"/>
      <c r="EJS138" s="552"/>
      <c r="EJT138" s="548"/>
      <c r="EJU138" s="553"/>
      <c r="EJV138" s="553"/>
      <c r="EJW138" s="553"/>
      <c r="EJX138" s="8"/>
      <c r="EJY138" s="8"/>
      <c r="EJZ138" s="458"/>
      <c r="EKA138" s="8"/>
      <c r="EKB138" s="8"/>
      <c r="EKC138" s="547"/>
      <c r="EKD138" s="547"/>
      <c r="EKE138" s="547"/>
      <c r="EKF138" s="547"/>
      <c r="EKG138" s="548"/>
      <c r="EKH138" s="547"/>
      <c r="EKI138" s="547"/>
      <c r="EKJ138" s="547"/>
      <c r="EKK138" s="547"/>
      <c r="EKL138" s="548"/>
      <c r="EKM138" s="547"/>
      <c r="EKN138" s="547"/>
      <c r="EKO138" s="547"/>
      <c r="EKP138" s="547"/>
      <c r="EKQ138" s="548"/>
      <c r="EKR138" s="547"/>
      <c r="EKS138" s="547"/>
      <c r="EKT138" s="547"/>
      <c r="EKU138" s="552"/>
      <c r="EKV138" s="548"/>
      <c r="EKW138" s="552"/>
      <c r="EKX138" s="552"/>
      <c r="EKY138" s="552"/>
      <c r="EKZ138" s="552"/>
      <c r="ELA138" s="548"/>
      <c r="ELB138" s="553"/>
      <c r="ELC138" s="553"/>
      <c r="ELD138" s="553"/>
      <c r="ELE138" s="8"/>
      <c r="ELF138" s="8"/>
      <c r="ELG138" s="458"/>
      <c r="ELH138" s="8"/>
      <c r="ELI138" s="8"/>
      <c r="ELJ138" s="547"/>
      <c r="ELK138" s="547"/>
      <c r="ELL138" s="547"/>
      <c r="ELM138" s="547"/>
      <c r="ELN138" s="548"/>
      <c r="ELO138" s="547"/>
      <c r="ELP138" s="547"/>
      <c r="ELQ138" s="547"/>
      <c r="ELR138" s="547"/>
      <c r="ELS138" s="548"/>
      <c r="ELT138" s="547"/>
      <c r="ELU138" s="547"/>
      <c r="ELV138" s="547"/>
      <c r="ELW138" s="547"/>
      <c r="ELX138" s="548"/>
      <c r="ELY138" s="547"/>
      <c r="ELZ138" s="547"/>
      <c r="EMA138" s="547"/>
      <c r="EMB138" s="552"/>
      <c r="EMC138" s="548"/>
      <c r="EMD138" s="552"/>
      <c r="EME138" s="552"/>
      <c r="EMF138" s="552"/>
      <c r="EMG138" s="552"/>
      <c r="EMH138" s="548"/>
      <c r="EMI138" s="553"/>
      <c r="EMJ138" s="553"/>
      <c r="EMK138" s="553"/>
      <c r="EML138" s="8"/>
      <c r="EMM138" s="8"/>
      <c r="EMN138" s="458"/>
      <c r="EMO138" s="8"/>
      <c r="EMP138" s="8"/>
      <c r="EMQ138" s="547"/>
      <c r="EMR138" s="547"/>
      <c r="EMS138" s="547"/>
      <c r="EMT138" s="547"/>
      <c r="EMU138" s="548"/>
      <c r="EMV138" s="547"/>
      <c r="EMW138" s="547"/>
      <c r="EMX138" s="547"/>
      <c r="EMY138" s="547"/>
      <c r="EMZ138" s="548"/>
      <c r="ENA138" s="547"/>
      <c r="ENB138" s="547"/>
      <c r="ENC138" s="547"/>
      <c r="END138" s="547"/>
      <c r="ENE138" s="548"/>
      <c r="ENF138" s="547"/>
      <c r="ENG138" s="547"/>
      <c r="ENH138" s="547"/>
      <c r="ENI138" s="552"/>
      <c r="ENJ138" s="548"/>
      <c r="ENK138" s="552"/>
      <c r="ENL138" s="552"/>
      <c r="ENM138" s="552"/>
      <c r="ENN138" s="552"/>
      <c r="ENO138" s="548"/>
      <c r="ENP138" s="553"/>
      <c r="ENQ138" s="553"/>
      <c r="ENR138" s="553"/>
      <c r="ENS138" s="8"/>
      <c r="ENT138" s="8"/>
      <c r="ENU138" s="458"/>
      <c r="ENV138" s="8"/>
      <c r="ENW138" s="8"/>
      <c r="ENX138" s="547"/>
      <c r="ENY138" s="547"/>
      <c r="ENZ138" s="547"/>
      <c r="EOA138" s="547"/>
      <c r="EOB138" s="548"/>
      <c r="EOC138" s="547"/>
      <c r="EOD138" s="547"/>
      <c r="EOE138" s="547"/>
      <c r="EOF138" s="547"/>
      <c r="EOG138" s="548"/>
      <c r="EOH138" s="547"/>
      <c r="EOI138" s="547"/>
      <c r="EOJ138" s="547"/>
      <c r="EOK138" s="547"/>
      <c r="EOL138" s="548"/>
      <c r="EOM138" s="547"/>
      <c r="EON138" s="547"/>
      <c r="EOO138" s="547"/>
      <c r="EOP138" s="552"/>
      <c r="EOQ138" s="548"/>
      <c r="EOR138" s="552"/>
      <c r="EOS138" s="552"/>
      <c r="EOT138" s="552"/>
      <c r="EOU138" s="552"/>
      <c r="EOV138" s="548"/>
      <c r="EOW138" s="553"/>
      <c r="EOX138" s="553"/>
      <c r="EOY138" s="553"/>
      <c r="EOZ138" s="8"/>
      <c r="EPA138" s="8"/>
      <c r="EPB138" s="458"/>
      <c r="EPC138" s="8"/>
      <c r="EPD138" s="8"/>
      <c r="EPE138" s="547"/>
      <c r="EPF138" s="547"/>
      <c r="EPG138" s="547"/>
      <c r="EPH138" s="547"/>
      <c r="EPI138" s="548"/>
      <c r="EPJ138" s="547"/>
      <c r="EPK138" s="547"/>
      <c r="EPL138" s="547"/>
      <c r="EPM138" s="547"/>
      <c r="EPN138" s="548"/>
      <c r="EPO138" s="547"/>
      <c r="EPP138" s="547"/>
      <c r="EPQ138" s="547"/>
      <c r="EPR138" s="547"/>
      <c r="EPS138" s="548"/>
      <c r="EPT138" s="547"/>
      <c r="EPU138" s="547"/>
      <c r="EPV138" s="547"/>
      <c r="EPW138" s="552"/>
      <c r="EPX138" s="548"/>
      <c r="EPY138" s="552"/>
      <c r="EPZ138" s="552"/>
      <c r="EQA138" s="552"/>
      <c r="EQB138" s="552"/>
      <c r="EQC138" s="548"/>
      <c r="EQD138" s="553"/>
      <c r="EQE138" s="553"/>
      <c r="EQF138" s="553"/>
      <c r="EQG138" s="8"/>
      <c r="EQH138" s="8"/>
      <c r="EQI138" s="458"/>
      <c r="EQJ138" s="8"/>
      <c r="EQK138" s="8"/>
      <c r="EQL138" s="547"/>
      <c r="EQM138" s="547"/>
      <c r="EQN138" s="547"/>
      <c r="EQO138" s="547"/>
      <c r="EQP138" s="548"/>
      <c r="EQQ138" s="547"/>
      <c r="EQR138" s="547"/>
      <c r="EQS138" s="547"/>
      <c r="EQT138" s="547"/>
      <c r="EQU138" s="548"/>
      <c r="EQV138" s="547"/>
      <c r="EQW138" s="547"/>
      <c r="EQX138" s="547"/>
      <c r="EQY138" s="547"/>
      <c r="EQZ138" s="548"/>
      <c r="ERA138" s="547"/>
      <c r="ERB138" s="547"/>
      <c r="ERC138" s="547"/>
      <c r="ERD138" s="552"/>
      <c r="ERE138" s="548"/>
      <c r="ERF138" s="552"/>
      <c r="ERG138" s="552"/>
      <c r="ERH138" s="552"/>
      <c r="ERI138" s="552"/>
      <c r="ERJ138" s="548"/>
      <c r="ERK138" s="553"/>
      <c r="ERL138" s="553"/>
      <c r="ERM138" s="553"/>
      <c r="ERN138" s="8"/>
      <c r="ERO138" s="8"/>
      <c r="ERP138" s="458"/>
      <c r="ERQ138" s="8"/>
      <c r="ERR138" s="8"/>
      <c r="ERS138" s="547"/>
      <c r="ERT138" s="547"/>
      <c r="ERU138" s="547"/>
      <c r="ERV138" s="547"/>
      <c r="ERW138" s="548"/>
      <c r="ERX138" s="547"/>
      <c r="ERY138" s="547"/>
      <c r="ERZ138" s="547"/>
      <c r="ESA138" s="547"/>
      <c r="ESB138" s="548"/>
      <c r="ESC138" s="547"/>
      <c r="ESD138" s="547"/>
      <c r="ESE138" s="547"/>
      <c r="ESF138" s="547"/>
      <c r="ESG138" s="548"/>
      <c r="ESH138" s="547"/>
      <c r="ESI138" s="547"/>
      <c r="ESJ138" s="547"/>
      <c r="ESK138" s="552"/>
      <c r="ESL138" s="548"/>
      <c r="ESM138" s="552"/>
      <c r="ESN138" s="552"/>
      <c r="ESO138" s="552"/>
      <c r="ESP138" s="552"/>
      <c r="ESQ138" s="548"/>
      <c r="ESR138" s="553"/>
      <c r="ESS138" s="553"/>
      <c r="EST138" s="553"/>
      <c r="ESU138" s="8"/>
      <c r="ESV138" s="8"/>
      <c r="ESW138" s="458"/>
      <c r="ESX138" s="8"/>
      <c r="ESY138" s="8"/>
      <c r="ESZ138" s="547"/>
      <c r="ETA138" s="547"/>
      <c r="ETB138" s="547"/>
      <c r="ETC138" s="547"/>
      <c r="ETD138" s="548"/>
      <c r="ETE138" s="547"/>
      <c r="ETF138" s="547"/>
      <c r="ETG138" s="547"/>
      <c r="ETH138" s="547"/>
      <c r="ETI138" s="548"/>
      <c r="ETJ138" s="547"/>
      <c r="ETK138" s="547"/>
      <c r="ETL138" s="547"/>
      <c r="ETM138" s="547"/>
      <c r="ETN138" s="548"/>
      <c r="ETO138" s="547"/>
      <c r="ETP138" s="547"/>
      <c r="ETQ138" s="547"/>
      <c r="ETR138" s="552"/>
      <c r="ETS138" s="548"/>
      <c r="ETT138" s="552"/>
      <c r="ETU138" s="552"/>
      <c r="ETV138" s="552"/>
      <c r="ETW138" s="552"/>
      <c r="ETX138" s="548"/>
      <c r="ETY138" s="553"/>
      <c r="ETZ138" s="553"/>
      <c r="EUA138" s="553"/>
      <c r="EUB138" s="8"/>
      <c r="EUC138" s="8"/>
      <c r="EUD138" s="458"/>
      <c r="EUE138" s="8"/>
      <c r="EUF138" s="8"/>
      <c r="EUG138" s="547"/>
      <c r="EUH138" s="547"/>
      <c r="EUI138" s="547"/>
      <c r="EUJ138" s="547"/>
      <c r="EUK138" s="548"/>
      <c r="EUL138" s="547"/>
      <c r="EUM138" s="547"/>
      <c r="EUN138" s="547"/>
      <c r="EUO138" s="547"/>
      <c r="EUP138" s="548"/>
      <c r="EUQ138" s="547"/>
      <c r="EUR138" s="547"/>
      <c r="EUS138" s="547"/>
      <c r="EUT138" s="547"/>
      <c r="EUU138" s="548"/>
      <c r="EUV138" s="547"/>
      <c r="EUW138" s="547"/>
      <c r="EUX138" s="547"/>
      <c r="EUY138" s="552"/>
      <c r="EUZ138" s="548"/>
      <c r="EVA138" s="552"/>
      <c r="EVB138" s="552"/>
      <c r="EVC138" s="552"/>
      <c r="EVD138" s="552"/>
      <c r="EVE138" s="548"/>
      <c r="EVF138" s="553"/>
      <c r="EVG138" s="553"/>
      <c r="EVH138" s="553"/>
      <c r="EVI138" s="8"/>
      <c r="EVJ138" s="8"/>
      <c r="EVK138" s="458"/>
      <c r="EVL138" s="8"/>
      <c r="EVM138" s="8"/>
      <c r="EVN138" s="547"/>
      <c r="EVO138" s="547"/>
      <c r="EVP138" s="547"/>
      <c r="EVQ138" s="547"/>
      <c r="EVR138" s="548"/>
      <c r="EVS138" s="547"/>
      <c r="EVT138" s="547"/>
      <c r="EVU138" s="547"/>
      <c r="EVV138" s="547"/>
      <c r="EVW138" s="548"/>
      <c r="EVX138" s="547"/>
      <c r="EVY138" s="547"/>
      <c r="EVZ138" s="547"/>
      <c r="EWA138" s="547"/>
      <c r="EWB138" s="548"/>
      <c r="EWC138" s="547"/>
      <c r="EWD138" s="547"/>
      <c r="EWE138" s="547"/>
      <c r="EWF138" s="552"/>
      <c r="EWG138" s="548"/>
      <c r="EWH138" s="552"/>
      <c r="EWI138" s="552"/>
      <c r="EWJ138" s="552"/>
      <c r="EWK138" s="552"/>
      <c r="EWL138" s="548"/>
      <c r="EWM138" s="553"/>
      <c r="EWN138" s="553"/>
      <c r="EWO138" s="553"/>
      <c r="EWP138" s="8"/>
      <c r="EWQ138" s="8"/>
      <c r="EWR138" s="458"/>
      <c r="EWS138" s="8"/>
      <c r="EWT138" s="8"/>
      <c r="EWU138" s="547"/>
      <c r="EWV138" s="547"/>
      <c r="EWW138" s="547"/>
      <c r="EWX138" s="547"/>
      <c r="EWY138" s="548"/>
      <c r="EWZ138" s="547"/>
      <c r="EXA138" s="547"/>
      <c r="EXB138" s="547"/>
      <c r="EXC138" s="547"/>
      <c r="EXD138" s="548"/>
      <c r="EXE138" s="547"/>
      <c r="EXF138" s="547"/>
      <c r="EXG138" s="547"/>
      <c r="EXH138" s="547"/>
      <c r="EXI138" s="548"/>
      <c r="EXJ138" s="547"/>
      <c r="EXK138" s="547"/>
      <c r="EXL138" s="547"/>
      <c r="EXM138" s="552"/>
      <c r="EXN138" s="548"/>
      <c r="EXO138" s="552"/>
      <c r="EXP138" s="552"/>
      <c r="EXQ138" s="552"/>
      <c r="EXR138" s="552"/>
      <c r="EXS138" s="548"/>
      <c r="EXT138" s="553"/>
      <c r="EXU138" s="553"/>
      <c r="EXV138" s="553"/>
      <c r="EXW138" s="8"/>
      <c r="EXX138" s="8"/>
      <c r="EXY138" s="458"/>
      <c r="EXZ138" s="8"/>
      <c r="EYA138" s="8"/>
      <c r="EYB138" s="547"/>
      <c r="EYC138" s="547"/>
      <c r="EYD138" s="547"/>
      <c r="EYE138" s="547"/>
      <c r="EYF138" s="548"/>
      <c r="EYG138" s="547"/>
      <c r="EYH138" s="547"/>
      <c r="EYI138" s="547"/>
      <c r="EYJ138" s="547"/>
      <c r="EYK138" s="548"/>
      <c r="EYL138" s="547"/>
      <c r="EYM138" s="547"/>
      <c r="EYN138" s="547"/>
      <c r="EYO138" s="547"/>
      <c r="EYP138" s="548"/>
      <c r="EYQ138" s="547"/>
      <c r="EYR138" s="547"/>
      <c r="EYS138" s="547"/>
      <c r="EYT138" s="552"/>
      <c r="EYU138" s="548"/>
      <c r="EYV138" s="552"/>
      <c r="EYW138" s="552"/>
      <c r="EYX138" s="552"/>
      <c r="EYY138" s="552"/>
      <c r="EYZ138" s="548"/>
      <c r="EZA138" s="553"/>
      <c r="EZB138" s="553"/>
      <c r="EZC138" s="553"/>
      <c r="EZD138" s="8"/>
      <c r="EZE138" s="8"/>
      <c r="EZF138" s="458"/>
      <c r="EZG138" s="8"/>
      <c r="EZH138" s="8"/>
      <c r="EZI138" s="547"/>
      <c r="EZJ138" s="547"/>
      <c r="EZK138" s="547"/>
      <c r="EZL138" s="547"/>
      <c r="EZM138" s="548"/>
      <c r="EZN138" s="547"/>
      <c r="EZO138" s="547"/>
      <c r="EZP138" s="547"/>
      <c r="EZQ138" s="547"/>
      <c r="EZR138" s="548"/>
      <c r="EZS138" s="547"/>
      <c r="EZT138" s="547"/>
      <c r="EZU138" s="547"/>
      <c r="EZV138" s="547"/>
      <c r="EZW138" s="548"/>
      <c r="EZX138" s="547"/>
      <c r="EZY138" s="547"/>
      <c r="EZZ138" s="547"/>
      <c r="FAA138" s="552"/>
      <c r="FAB138" s="548"/>
      <c r="FAC138" s="552"/>
      <c r="FAD138" s="552"/>
      <c r="FAE138" s="552"/>
      <c r="FAF138" s="552"/>
      <c r="FAG138" s="548"/>
      <c r="FAH138" s="553"/>
      <c r="FAI138" s="553"/>
      <c r="FAJ138" s="553"/>
      <c r="FAK138" s="8"/>
      <c r="FAL138" s="8"/>
      <c r="FAM138" s="458"/>
      <c r="FAN138" s="8"/>
      <c r="FAO138" s="8"/>
      <c r="FAP138" s="547"/>
      <c r="FAQ138" s="547"/>
      <c r="FAR138" s="547"/>
      <c r="FAS138" s="547"/>
      <c r="FAT138" s="548"/>
      <c r="FAU138" s="547"/>
      <c r="FAV138" s="547"/>
      <c r="FAW138" s="547"/>
      <c r="FAX138" s="547"/>
      <c r="FAY138" s="548"/>
      <c r="FAZ138" s="547"/>
      <c r="FBA138" s="547"/>
      <c r="FBB138" s="547"/>
      <c r="FBC138" s="547"/>
      <c r="FBD138" s="548"/>
      <c r="FBE138" s="547"/>
      <c r="FBF138" s="547"/>
      <c r="FBG138" s="547"/>
      <c r="FBH138" s="552"/>
      <c r="FBI138" s="548"/>
      <c r="FBJ138" s="552"/>
      <c r="FBK138" s="552"/>
      <c r="FBL138" s="552"/>
      <c r="FBM138" s="552"/>
      <c r="FBN138" s="548"/>
      <c r="FBO138" s="553"/>
      <c r="FBP138" s="553"/>
      <c r="FBQ138" s="553"/>
      <c r="FBR138" s="8"/>
      <c r="FBS138" s="8"/>
      <c r="FBT138" s="458"/>
      <c r="FBU138" s="8"/>
      <c r="FBV138" s="8"/>
      <c r="FBW138" s="547"/>
      <c r="FBX138" s="547"/>
      <c r="FBY138" s="547"/>
      <c r="FBZ138" s="547"/>
      <c r="FCA138" s="548"/>
      <c r="FCB138" s="547"/>
      <c r="FCC138" s="547"/>
      <c r="FCD138" s="547"/>
      <c r="FCE138" s="547"/>
      <c r="FCF138" s="548"/>
      <c r="FCG138" s="547"/>
      <c r="FCH138" s="547"/>
      <c r="FCI138" s="547"/>
      <c r="FCJ138" s="547"/>
      <c r="FCK138" s="548"/>
      <c r="FCL138" s="547"/>
      <c r="FCM138" s="547"/>
      <c r="FCN138" s="547"/>
      <c r="FCO138" s="552"/>
      <c r="FCP138" s="548"/>
      <c r="FCQ138" s="552"/>
      <c r="FCR138" s="552"/>
      <c r="FCS138" s="552"/>
      <c r="FCT138" s="552"/>
      <c r="FCU138" s="548"/>
      <c r="FCV138" s="553"/>
      <c r="FCW138" s="553"/>
      <c r="FCX138" s="553"/>
      <c r="FCY138" s="8"/>
      <c r="FCZ138" s="8"/>
      <c r="FDA138" s="458"/>
      <c r="FDB138" s="8"/>
      <c r="FDC138" s="8"/>
      <c r="FDD138" s="547"/>
      <c r="FDE138" s="547"/>
      <c r="FDF138" s="547"/>
      <c r="FDG138" s="547"/>
      <c r="FDH138" s="548"/>
      <c r="FDI138" s="547"/>
      <c r="FDJ138" s="547"/>
      <c r="FDK138" s="547"/>
      <c r="FDL138" s="547"/>
      <c r="FDM138" s="548"/>
      <c r="FDN138" s="547"/>
      <c r="FDO138" s="547"/>
      <c r="FDP138" s="547"/>
      <c r="FDQ138" s="547"/>
      <c r="FDR138" s="548"/>
      <c r="FDS138" s="547"/>
      <c r="FDT138" s="547"/>
      <c r="FDU138" s="547"/>
      <c r="FDV138" s="552"/>
      <c r="FDW138" s="548"/>
      <c r="FDX138" s="552"/>
      <c r="FDY138" s="552"/>
      <c r="FDZ138" s="552"/>
      <c r="FEA138" s="552"/>
      <c r="FEB138" s="548"/>
      <c r="FEC138" s="553"/>
      <c r="FED138" s="553"/>
      <c r="FEE138" s="553"/>
      <c r="FEF138" s="8"/>
      <c r="FEG138" s="8"/>
      <c r="FEH138" s="458"/>
      <c r="FEI138" s="8"/>
      <c r="FEJ138" s="8"/>
      <c r="FEK138" s="547"/>
      <c r="FEL138" s="547"/>
      <c r="FEM138" s="547"/>
      <c r="FEN138" s="547"/>
      <c r="FEO138" s="548"/>
      <c r="FEP138" s="547"/>
      <c r="FEQ138" s="547"/>
      <c r="FER138" s="547"/>
      <c r="FES138" s="547"/>
      <c r="FET138" s="548"/>
      <c r="FEU138" s="547"/>
      <c r="FEV138" s="547"/>
      <c r="FEW138" s="547"/>
      <c r="FEX138" s="547"/>
      <c r="FEY138" s="548"/>
      <c r="FEZ138" s="547"/>
      <c r="FFA138" s="547"/>
      <c r="FFB138" s="547"/>
      <c r="FFC138" s="552"/>
      <c r="FFD138" s="548"/>
      <c r="FFE138" s="552"/>
      <c r="FFF138" s="552"/>
      <c r="FFG138" s="552"/>
      <c r="FFH138" s="552"/>
      <c r="FFI138" s="548"/>
      <c r="FFJ138" s="553"/>
      <c r="FFK138" s="553"/>
      <c r="FFL138" s="553"/>
      <c r="FFM138" s="8"/>
      <c r="FFN138" s="8"/>
      <c r="FFO138" s="458"/>
      <c r="FFP138" s="8"/>
      <c r="FFQ138" s="8"/>
      <c r="FFR138" s="547"/>
      <c r="FFS138" s="547"/>
      <c r="FFT138" s="547"/>
      <c r="FFU138" s="547"/>
      <c r="FFV138" s="548"/>
      <c r="FFW138" s="547"/>
      <c r="FFX138" s="547"/>
      <c r="FFY138" s="547"/>
      <c r="FFZ138" s="547"/>
      <c r="FGA138" s="548"/>
      <c r="FGB138" s="547"/>
      <c r="FGC138" s="547"/>
      <c r="FGD138" s="547"/>
      <c r="FGE138" s="547"/>
      <c r="FGF138" s="548"/>
      <c r="FGG138" s="547"/>
      <c r="FGH138" s="547"/>
      <c r="FGI138" s="547"/>
      <c r="FGJ138" s="552"/>
      <c r="FGK138" s="548"/>
      <c r="FGL138" s="552"/>
      <c r="FGM138" s="552"/>
      <c r="FGN138" s="552"/>
      <c r="FGO138" s="552"/>
      <c r="FGP138" s="548"/>
      <c r="FGQ138" s="553"/>
      <c r="FGR138" s="553"/>
      <c r="FGS138" s="553"/>
      <c r="FGT138" s="8"/>
      <c r="FGU138" s="8"/>
      <c r="FGV138" s="458"/>
      <c r="FGW138" s="8"/>
      <c r="FGX138" s="8"/>
      <c r="FGY138" s="547"/>
      <c r="FGZ138" s="547"/>
      <c r="FHA138" s="547"/>
      <c r="FHB138" s="547"/>
      <c r="FHC138" s="548"/>
      <c r="FHD138" s="547"/>
      <c r="FHE138" s="547"/>
      <c r="FHF138" s="547"/>
      <c r="FHG138" s="547"/>
      <c r="FHH138" s="548"/>
      <c r="FHI138" s="547"/>
      <c r="FHJ138" s="547"/>
      <c r="FHK138" s="547"/>
      <c r="FHL138" s="547"/>
      <c r="FHM138" s="548"/>
      <c r="FHN138" s="547"/>
      <c r="FHO138" s="547"/>
      <c r="FHP138" s="547"/>
      <c r="FHQ138" s="552"/>
      <c r="FHR138" s="548"/>
      <c r="FHS138" s="552"/>
      <c r="FHT138" s="552"/>
      <c r="FHU138" s="552"/>
      <c r="FHV138" s="552"/>
      <c r="FHW138" s="548"/>
      <c r="FHX138" s="553"/>
      <c r="FHY138" s="553"/>
      <c r="FHZ138" s="553"/>
      <c r="FIA138" s="8"/>
      <c r="FIB138" s="8"/>
      <c r="FIC138" s="458"/>
      <c r="FID138" s="8"/>
      <c r="FIE138" s="8"/>
      <c r="FIF138" s="547"/>
      <c r="FIG138" s="547"/>
      <c r="FIH138" s="547"/>
      <c r="FII138" s="547"/>
      <c r="FIJ138" s="548"/>
      <c r="FIK138" s="547"/>
      <c r="FIL138" s="547"/>
      <c r="FIM138" s="547"/>
      <c r="FIN138" s="547"/>
      <c r="FIO138" s="548"/>
      <c r="FIP138" s="547"/>
      <c r="FIQ138" s="547"/>
      <c r="FIR138" s="547"/>
      <c r="FIS138" s="547"/>
      <c r="FIT138" s="548"/>
      <c r="FIU138" s="547"/>
      <c r="FIV138" s="547"/>
      <c r="FIW138" s="547"/>
      <c r="FIX138" s="552"/>
      <c r="FIY138" s="548"/>
      <c r="FIZ138" s="552"/>
      <c r="FJA138" s="552"/>
      <c r="FJB138" s="552"/>
      <c r="FJC138" s="552"/>
      <c r="FJD138" s="548"/>
      <c r="FJE138" s="553"/>
      <c r="FJF138" s="553"/>
      <c r="FJG138" s="553"/>
      <c r="FJH138" s="8"/>
      <c r="FJI138" s="8"/>
      <c r="FJJ138" s="458"/>
      <c r="FJK138" s="8"/>
      <c r="FJL138" s="8"/>
      <c r="FJM138" s="547"/>
      <c r="FJN138" s="547"/>
      <c r="FJO138" s="547"/>
      <c r="FJP138" s="547"/>
      <c r="FJQ138" s="548"/>
      <c r="FJR138" s="547"/>
      <c r="FJS138" s="547"/>
      <c r="FJT138" s="547"/>
      <c r="FJU138" s="547"/>
      <c r="FJV138" s="548"/>
      <c r="FJW138" s="547"/>
      <c r="FJX138" s="547"/>
      <c r="FJY138" s="547"/>
      <c r="FJZ138" s="547"/>
      <c r="FKA138" s="548"/>
      <c r="FKB138" s="547"/>
      <c r="FKC138" s="547"/>
      <c r="FKD138" s="547"/>
      <c r="FKE138" s="552"/>
      <c r="FKF138" s="548"/>
      <c r="FKG138" s="552"/>
      <c r="FKH138" s="552"/>
      <c r="FKI138" s="552"/>
      <c r="FKJ138" s="552"/>
      <c r="FKK138" s="548"/>
      <c r="FKL138" s="553"/>
      <c r="FKM138" s="553"/>
      <c r="FKN138" s="553"/>
      <c r="FKO138" s="8"/>
      <c r="FKP138" s="8"/>
      <c r="FKQ138" s="458"/>
      <c r="FKR138" s="8"/>
      <c r="FKS138" s="8"/>
      <c r="FKT138" s="547"/>
      <c r="FKU138" s="547"/>
      <c r="FKV138" s="547"/>
      <c r="FKW138" s="547"/>
      <c r="FKX138" s="548"/>
      <c r="FKY138" s="547"/>
      <c r="FKZ138" s="547"/>
      <c r="FLA138" s="547"/>
      <c r="FLB138" s="547"/>
      <c r="FLC138" s="548"/>
      <c r="FLD138" s="547"/>
      <c r="FLE138" s="547"/>
      <c r="FLF138" s="547"/>
      <c r="FLG138" s="547"/>
      <c r="FLH138" s="548"/>
      <c r="FLI138" s="547"/>
      <c r="FLJ138" s="547"/>
      <c r="FLK138" s="547"/>
      <c r="FLL138" s="552"/>
      <c r="FLM138" s="548"/>
      <c r="FLN138" s="552"/>
      <c r="FLO138" s="552"/>
      <c r="FLP138" s="552"/>
      <c r="FLQ138" s="552"/>
      <c r="FLR138" s="548"/>
      <c r="FLS138" s="553"/>
      <c r="FLT138" s="553"/>
      <c r="FLU138" s="553"/>
      <c r="FLV138" s="8"/>
      <c r="FLW138" s="8"/>
      <c r="FLX138" s="458"/>
      <c r="FLY138" s="8"/>
      <c r="FLZ138" s="8"/>
      <c r="FMA138" s="547"/>
      <c r="FMB138" s="547"/>
      <c r="FMC138" s="547"/>
      <c r="FMD138" s="547"/>
      <c r="FME138" s="548"/>
      <c r="FMF138" s="547"/>
      <c r="FMG138" s="547"/>
      <c r="FMH138" s="547"/>
      <c r="FMI138" s="547"/>
      <c r="FMJ138" s="548"/>
      <c r="FMK138" s="547"/>
      <c r="FML138" s="547"/>
      <c r="FMM138" s="547"/>
      <c r="FMN138" s="547"/>
      <c r="FMO138" s="548"/>
      <c r="FMP138" s="547"/>
      <c r="FMQ138" s="547"/>
      <c r="FMR138" s="547"/>
      <c r="FMS138" s="552"/>
      <c r="FMT138" s="548"/>
      <c r="FMU138" s="552"/>
      <c r="FMV138" s="552"/>
      <c r="FMW138" s="552"/>
      <c r="FMX138" s="552"/>
      <c r="FMY138" s="548"/>
      <c r="FMZ138" s="553"/>
      <c r="FNA138" s="553"/>
      <c r="FNB138" s="553"/>
      <c r="FNC138" s="8"/>
      <c r="FND138" s="8"/>
      <c r="FNE138" s="458"/>
      <c r="FNF138" s="8"/>
      <c r="FNG138" s="8"/>
      <c r="FNH138" s="547"/>
      <c r="FNI138" s="547"/>
      <c r="FNJ138" s="547"/>
      <c r="FNK138" s="547"/>
      <c r="FNL138" s="548"/>
      <c r="FNM138" s="547"/>
      <c r="FNN138" s="547"/>
      <c r="FNO138" s="547"/>
      <c r="FNP138" s="547"/>
      <c r="FNQ138" s="548"/>
      <c r="FNR138" s="547"/>
      <c r="FNS138" s="547"/>
      <c r="FNT138" s="547"/>
      <c r="FNU138" s="547"/>
      <c r="FNV138" s="548"/>
      <c r="FNW138" s="547"/>
      <c r="FNX138" s="547"/>
      <c r="FNY138" s="547"/>
      <c r="FNZ138" s="552"/>
      <c r="FOA138" s="548"/>
      <c r="FOB138" s="552"/>
      <c r="FOC138" s="552"/>
      <c r="FOD138" s="552"/>
      <c r="FOE138" s="552"/>
      <c r="FOF138" s="548"/>
      <c r="FOG138" s="553"/>
      <c r="FOH138" s="553"/>
      <c r="FOI138" s="553"/>
      <c r="FOJ138" s="8"/>
      <c r="FOK138" s="8"/>
      <c r="FOL138" s="458"/>
      <c r="FOM138" s="8"/>
      <c r="FON138" s="8"/>
      <c r="FOO138" s="547"/>
      <c r="FOP138" s="547"/>
      <c r="FOQ138" s="547"/>
      <c r="FOR138" s="547"/>
      <c r="FOS138" s="548"/>
      <c r="FOT138" s="547"/>
      <c r="FOU138" s="547"/>
      <c r="FOV138" s="547"/>
      <c r="FOW138" s="547"/>
      <c r="FOX138" s="548"/>
      <c r="FOY138" s="547"/>
      <c r="FOZ138" s="547"/>
      <c r="FPA138" s="547"/>
      <c r="FPB138" s="547"/>
      <c r="FPC138" s="548"/>
      <c r="FPD138" s="547"/>
      <c r="FPE138" s="547"/>
      <c r="FPF138" s="547"/>
      <c r="FPG138" s="552"/>
      <c r="FPH138" s="548"/>
      <c r="FPI138" s="552"/>
      <c r="FPJ138" s="552"/>
      <c r="FPK138" s="552"/>
      <c r="FPL138" s="552"/>
      <c r="FPM138" s="548"/>
      <c r="FPN138" s="553"/>
      <c r="FPO138" s="553"/>
      <c r="FPP138" s="553"/>
      <c r="FPQ138" s="8"/>
      <c r="FPR138" s="8"/>
      <c r="FPS138" s="458"/>
      <c r="FPT138" s="8"/>
      <c r="FPU138" s="8"/>
      <c r="FPV138" s="547"/>
      <c r="FPW138" s="547"/>
      <c r="FPX138" s="547"/>
      <c r="FPY138" s="547"/>
      <c r="FPZ138" s="548"/>
      <c r="FQA138" s="547"/>
      <c r="FQB138" s="547"/>
      <c r="FQC138" s="547"/>
      <c r="FQD138" s="547"/>
      <c r="FQE138" s="548"/>
      <c r="FQF138" s="547"/>
      <c r="FQG138" s="547"/>
      <c r="FQH138" s="547"/>
      <c r="FQI138" s="547"/>
      <c r="FQJ138" s="548"/>
      <c r="FQK138" s="547"/>
      <c r="FQL138" s="547"/>
      <c r="FQM138" s="547"/>
      <c r="FQN138" s="552"/>
      <c r="FQO138" s="548"/>
      <c r="FQP138" s="552"/>
      <c r="FQQ138" s="552"/>
      <c r="FQR138" s="552"/>
      <c r="FQS138" s="552"/>
      <c r="FQT138" s="548"/>
      <c r="FQU138" s="553"/>
      <c r="FQV138" s="553"/>
      <c r="FQW138" s="553"/>
      <c r="FQX138" s="8"/>
      <c r="FQY138" s="8"/>
      <c r="FQZ138" s="458"/>
      <c r="FRA138" s="8"/>
      <c r="FRB138" s="8"/>
      <c r="FRC138" s="547"/>
      <c r="FRD138" s="547"/>
      <c r="FRE138" s="547"/>
      <c r="FRF138" s="547"/>
      <c r="FRG138" s="548"/>
      <c r="FRH138" s="547"/>
      <c r="FRI138" s="547"/>
      <c r="FRJ138" s="547"/>
      <c r="FRK138" s="547"/>
      <c r="FRL138" s="548"/>
      <c r="FRM138" s="547"/>
      <c r="FRN138" s="547"/>
      <c r="FRO138" s="547"/>
      <c r="FRP138" s="547"/>
      <c r="FRQ138" s="548"/>
      <c r="FRR138" s="547"/>
      <c r="FRS138" s="547"/>
      <c r="FRT138" s="547"/>
      <c r="FRU138" s="552"/>
      <c r="FRV138" s="548"/>
      <c r="FRW138" s="552"/>
      <c r="FRX138" s="552"/>
      <c r="FRY138" s="552"/>
      <c r="FRZ138" s="552"/>
      <c r="FSA138" s="548"/>
      <c r="FSB138" s="553"/>
      <c r="FSC138" s="553"/>
      <c r="FSD138" s="553"/>
      <c r="FSE138" s="8"/>
      <c r="FSF138" s="8"/>
      <c r="FSG138" s="458"/>
      <c r="FSH138" s="8"/>
      <c r="FSI138" s="8"/>
      <c r="FSJ138" s="547"/>
      <c r="FSK138" s="547"/>
      <c r="FSL138" s="547"/>
      <c r="FSM138" s="547"/>
      <c r="FSN138" s="548"/>
      <c r="FSO138" s="547"/>
      <c r="FSP138" s="547"/>
      <c r="FSQ138" s="547"/>
      <c r="FSR138" s="547"/>
      <c r="FSS138" s="548"/>
      <c r="FST138" s="547"/>
      <c r="FSU138" s="547"/>
      <c r="FSV138" s="547"/>
      <c r="FSW138" s="547"/>
      <c r="FSX138" s="548"/>
      <c r="FSY138" s="547"/>
      <c r="FSZ138" s="547"/>
      <c r="FTA138" s="547"/>
      <c r="FTB138" s="552"/>
      <c r="FTC138" s="548"/>
      <c r="FTD138" s="552"/>
      <c r="FTE138" s="552"/>
      <c r="FTF138" s="552"/>
      <c r="FTG138" s="552"/>
      <c r="FTH138" s="548"/>
      <c r="FTI138" s="553"/>
      <c r="FTJ138" s="553"/>
      <c r="FTK138" s="553"/>
      <c r="FTL138" s="8"/>
      <c r="FTM138" s="8"/>
      <c r="FTN138" s="458"/>
      <c r="FTO138" s="8"/>
      <c r="FTP138" s="8"/>
      <c r="FTQ138" s="547"/>
      <c r="FTR138" s="547"/>
      <c r="FTS138" s="547"/>
      <c r="FTT138" s="547"/>
      <c r="FTU138" s="548"/>
      <c r="FTV138" s="547"/>
      <c r="FTW138" s="547"/>
      <c r="FTX138" s="547"/>
      <c r="FTY138" s="547"/>
      <c r="FTZ138" s="548"/>
      <c r="FUA138" s="547"/>
      <c r="FUB138" s="547"/>
      <c r="FUC138" s="547"/>
      <c r="FUD138" s="547"/>
      <c r="FUE138" s="548"/>
      <c r="FUF138" s="547"/>
      <c r="FUG138" s="547"/>
      <c r="FUH138" s="547"/>
      <c r="FUI138" s="552"/>
      <c r="FUJ138" s="548"/>
      <c r="FUK138" s="552"/>
      <c r="FUL138" s="552"/>
      <c r="FUM138" s="552"/>
      <c r="FUN138" s="552"/>
      <c r="FUO138" s="548"/>
      <c r="FUP138" s="553"/>
      <c r="FUQ138" s="553"/>
      <c r="FUR138" s="553"/>
      <c r="FUS138" s="8"/>
      <c r="FUT138" s="8"/>
      <c r="FUU138" s="458"/>
      <c r="FUV138" s="8"/>
      <c r="FUW138" s="8"/>
      <c r="FUX138" s="547"/>
      <c r="FUY138" s="547"/>
      <c r="FUZ138" s="547"/>
      <c r="FVA138" s="547"/>
      <c r="FVB138" s="548"/>
      <c r="FVC138" s="547"/>
      <c r="FVD138" s="547"/>
      <c r="FVE138" s="547"/>
      <c r="FVF138" s="547"/>
      <c r="FVG138" s="548"/>
      <c r="FVH138" s="547"/>
      <c r="FVI138" s="547"/>
      <c r="FVJ138" s="547"/>
      <c r="FVK138" s="547"/>
      <c r="FVL138" s="548"/>
      <c r="FVM138" s="547"/>
      <c r="FVN138" s="547"/>
      <c r="FVO138" s="547"/>
      <c r="FVP138" s="552"/>
      <c r="FVQ138" s="548"/>
      <c r="FVR138" s="552"/>
      <c r="FVS138" s="552"/>
      <c r="FVT138" s="552"/>
      <c r="FVU138" s="552"/>
      <c r="FVV138" s="548"/>
      <c r="FVW138" s="553"/>
      <c r="FVX138" s="553"/>
      <c r="FVY138" s="553"/>
      <c r="FVZ138" s="8"/>
      <c r="FWA138" s="8"/>
      <c r="FWB138" s="458"/>
      <c r="FWC138" s="8"/>
      <c r="FWD138" s="8"/>
      <c r="FWE138" s="547"/>
      <c r="FWF138" s="547"/>
      <c r="FWG138" s="547"/>
      <c r="FWH138" s="547"/>
      <c r="FWI138" s="548"/>
      <c r="FWJ138" s="547"/>
      <c r="FWK138" s="547"/>
      <c r="FWL138" s="547"/>
      <c r="FWM138" s="547"/>
      <c r="FWN138" s="548"/>
      <c r="FWO138" s="547"/>
      <c r="FWP138" s="547"/>
      <c r="FWQ138" s="547"/>
      <c r="FWR138" s="547"/>
      <c r="FWS138" s="548"/>
      <c r="FWT138" s="547"/>
      <c r="FWU138" s="547"/>
      <c r="FWV138" s="547"/>
      <c r="FWW138" s="552"/>
      <c r="FWX138" s="548"/>
      <c r="FWY138" s="552"/>
      <c r="FWZ138" s="552"/>
      <c r="FXA138" s="552"/>
      <c r="FXB138" s="552"/>
      <c r="FXC138" s="548"/>
      <c r="FXD138" s="553"/>
      <c r="FXE138" s="553"/>
      <c r="FXF138" s="553"/>
      <c r="FXG138" s="8"/>
      <c r="FXH138" s="8"/>
      <c r="FXI138" s="458"/>
      <c r="FXJ138" s="8"/>
      <c r="FXK138" s="8"/>
      <c r="FXL138" s="547"/>
      <c r="FXM138" s="547"/>
      <c r="FXN138" s="547"/>
      <c r="FXO138" s="547"/>
      <c r="FXP138" s="548"/>
      <c r="FXQ138" s="547"/>
      <c r="FXR138" s="547"/>
      <c r="FXS138" s="547"/>
      <c r="FXT138" s="547"/>
      <c r="FXU138" s="548"/>
      <c r="FXV138" s="547"/>
      <c r="FXW138" s="547"/>
      <c r="FXX138" s="547"/>
      <c r="FXY138" s="547"/>
      <c r="FXZ138" s="548"/>
      <c r="FYA138" s="547"/>
      <c r="FYB138" s="547"/>
      <c r="FYC138" s="547"/>
      <c r="FYD138" s="552"/>
      <c r="FYE138" s="548"/>
      <c r="FYF138" s="552"/>
      <c r="FYG138" s="552"/>
      <c r="FYH138" s="552"/>
      <c r="FYI138" s="552"/>
      <c r="FYJ138" s="548"/>
      <c r="FYK138" s="553"/>
      <c r="FYL138" s="553"/>
      <c r="FYM138" s="553"/>
      <c r="FYN138" s="8"/>
      <c r="FYO138" s="8"/>
      <c r="FYP138" s="458"/>
      <c r="FYQ138" s="8"/>
      <c r="FYR138" s="8"/>
      <c r="FYS138" s="547"/>
      <c r="FYT138" s="547"/>
      <c r="FYU138" s="547"/>
      <c r="FYV138" s="547"/>
      <c r="FYW138" s="548"/>
      <c r="FYX138" s="547"/>
      <c r="FYY138" s="547"/>
      <c r="FYZ138" s="547"/>
      <c r="FZA138" s="547"/>
      <c r="FZB138" s="548"/>
      <c r="FZC138" s="547"/>
      <c r="FZD138" s="547"/>
      <c r="FZE138" s="547"/>
      <c r="FZF138" s="547"/>
      <c r="FZG138" s="548"/>
      <c r="FZH138" s="547"/>
      <c r="FZI138" s="547"/>
      <c r="FZJ138" s="547"/>
      <c r="FZK138" s="552"/>
      <c r="FZL138" s="548"/>
      <c r="FZM138" s="552"/>
      <c r="FZN138" s="552"/>
      <c r="FZO138" s="552"/>
      <c r="FZP138" s="552"/>
      <c r="FZQ138" s="548"/>
      <c r="FZR138" s="553"/>
      <c r="FZS138" s="553"/>
      <c r="FZT138" s="553"/>
      <c r="FZU138" s="8"/>
      <c r="FZV138" s="8"/>
      <c r="FZW138" s="458"/>
      <c r="FZX138" s="8"/>
      <c r="FZY138" s="8"/>
      <c r="FZZ138" s="547"/>
      <c r="GAA138" s="547"/>
      <c r="GAB138" s="547"/>
      <c r="GAC138" s="547"/>
      <c r="GAD138" s="548"/>
      <c r="GAE138" s="547"/>
      <c r="GAF138" s="547"/>
      <c r="GAG138" s="547"/>
      <c r="GAH138" s="547"/>
      <c r="GAI138" s="548"/>
      <c r="GAJ138" s="547"/>
      <c r="GAK138" s="547"/>
      <c r="GAL138" s="547"/>
      <c r="GAM138" s="547"/>
      <c r="GAN138" s="548"/>
      <c r="GAO138" s="547"/>
      <c r="GAP138" s="547"/>
      <c r="GAQ138" s="547"/>
      <c r="GAR138" s="552"/>
      <c r="GAS138" s="548"/>
      <c r="GAT138" s="552"/>
      <c r="GAU138" s="552"/>
      <c r="GAV138" s="552"/>
      <c r="GAW138" s="552"/>
      <c r="GAX138" s="548"/>
      <c r="GAY138" s="553"/>
      <c r="GAZ138" s="553"/>
      <c r="GBA138" s="553"/>
      <c r="GBB138" s="8"/>
      <c r="GBC138" s="8"/>
      <c r="GBD138" s="458"/>
      <c r="GBE138" s="8"/>
      <c r="GBF138" s="8"/>
      <c r="GBG138" s="547"/>
      <c r="GBH138" s="547"/>
      <c r="GBI138" s="547"/>
      <c r="GBJ138" s="547"/>
      <c r="GBK138" s="548"/>
      <c r="GBL138" s="547"/>
      <c r="GBM138" s="547"/>
      <c r="GBN138" s="547"/>
      <c r="GBO138" s="547"/>
      <c r="GBP138" s="548"/>
      <c r="GBQ138" s="547"/>
      <c r="GBR138" s="547"/>
      <c r="GBS138" s="547"/>
      <c r="GBT138" s="547"/>
      <c r="GBU138" s="548"/>
      <c r="GBV138" s="547"/>
      <c r="GBW138" s="547"/>
      <c r="GBX138" s="547"/>
      <c r="GBY138" s="552"/>
      <c r="GBZ138" s="548"/>
      <c r="GCA138" s="552"/>
      <c r="GCB138" s="552"/>
      <c r="GCC138" s="552"/>
      <c r="GCD138" s="552"/>
      <c r="GCE138" s="548"/>
      <c r="GCF138" s="553"/>
      <c r="GCG138" s="553"/>
      <c r="GCH138" s="553"/>
      <c r="GCI138" s="8"/>
      <c r="GCJ138" s="8"/>
      <c r="GCK138" s="458"/>
      <c r="GCL138" s="8"/>
      <c r="GCM138" s="8"/>
      <c r="GCN138" s="547"/>
      <c r="GCO138" s="547"/>
      <c r="GCP138" s="547"/>
      <c r="GCQ138" s="547"/>
      <c r="GCR138" s="548"/>
      <c r="GCS138" s="547"/>
      <c r="GCT138" s="547"/>
      <c r="GCU138" s="547"/>
      <c r="GCV138" s="547"/>
      <c r="GCW138" s="548"/>
      <c r="GCX138" s="547"/>
      <c r="GCY138" s="547"/>
      <c r="GCZ138" s="547"/>
      <c r="GDA138" s="547"/>
      <c r="GDB138" s="548"/>
      <c r="GDC138" s="547"/>
      <c r="GDD138" s="547"/>
      <c r="GDE138" s="547"/>
      <c r="GDF138" s="552"/>
      <c r="GDG138" s="548"/>
      <c r="GDH138" s="552"/>
      <c r="GDI138" s="552"/>
      <c r="GDJ138" s="552"/>
      <c r="GDK138" s="552"/>
      <c r="GDL138" s="548"/>
      <c r="GDM138" s="553"/>
      <c r="GDN138" s="553"/>
      <c r="GDO138" s="553"/>
      <c r="GDP138" s="8"/>
      <c r="GDQ138" s="8"/>
      <c r="GDR138" s="458"/>
      <c r="GDS138" s="8"/>
      <c r="GDT138" s="8"/>
      <c r="GDU138" s="547"/>
      <c r="GDV138" s="547"/>
      <c r="GDW138" s="547"/>
      <c r="GDX138" s="547"/>
      <c r="GDY138" s="548"/>
      <c r="GDZ138" s="547"/>
      <c r="GEA138" s="547"/>
      <c r="GEB138" s="547"/>
      <c r="GEC138" s="547"/>
      <c r="GED138" s="548"/>
      <c r="GEE138" s="547"/>
      <c r="GEF138" s="547"/>
      <c r="GEG138" s="547"/>
      <c r="GEH138" s="547"/>
      <c r="GEI138" s="548"/>
      <c r="GEJ138" s="547"/>
      <c r="GEK138" s="547"/>
      <c r="GEL138" s="547"/>
      <c r="GEM138" s="552"/>
      <c r="GEN138" s="548"/>
      <c r="GEO138" s="552"/>
      <c r="GEP138" s="552"/>
      <c r="GEQ138" s="552"/>
      <c r="GER138" s="552"/>
      <c r="GES138" s="548"/>
      <c r="GET138" s="553"/>
      <c r="GEU138" s="553"/>
      <c r="GEV138" s="553"/>
      <c r="GEW138" s="8"/>
      <c r="GEX138" s="8"/>
      <c r="GEY138" s="458"/>
      <c r="GEZ138" s="8"/>
      <c r="GFA138" s="8"/>
      <c r="GFB138" s="547"/>
      <c r="GFC138" s="547"/>
      <c r="GFD138" s="547"/>
      <c r="GFE138" s="547"/>
      <c r="GFF138" s="548"/>
      <c r="GFG138" s="547"/>
      <c r="GFH138" s="547"/>
      <c r="GFI138" s="547"/>
      <c r="GFJ138" s="547"/>
      <c r="GFK138" s="548"/>
      <c r="GFL138" s="547"/>
      <c r="GFM138" s="547"/>
      <c r="GFN138" s="547"/>
      <c r="GFO138" s="547"/>
      <c r="GFP138" s="548"/>
      <c r="GFQ138" s="547"/>
      <c r="GFR138" s="547"/>
      <c r="GFS138" s="547"/>
      <c r="GFT138" s="552"/>
      <c r="GFU138" s="548"/>
      <c r="GFV138" s="552"/>
      <c r="GFW138" s="552"/>
      <c r="GFX138" s="552"/>
      <c r="GFY138" s="552"/>
      <c r="GFZ138" s="548"/>
      <c r="GGA138" s="553"/>
      <c r="GGB138" s="553"/>
      <c r="GGC138" s="553"/>
      <c r="GGD138" s="8"/>
      <c r="GGE138" s="8"/>
      <c r="GGF138" s="458"/>
      <c r="GGG138" s="8"/>
      <c r="GGH138" s="8"/>
      <c r="GGI138" s="547"/>
      <c r="GGJ138" s="547"/>
      <c r="GGK138" s="547"/>
      <c r="GGL138" s="547"/>
      <c r="GGM138" s="548"/>
      <c r="GGN138" s="547"/>
      <c r="GGO138" s="547"/>
      <c r="GGP138" s="547"/>
      <c r="GGQ138" s="547"/>
      <c r="GGR138" s="548"/>
      <c r="GGS138" s="547"/>
      <c r="GGT138" s="547"/>
      <c r="GGU138" s="547"/>
      <c r="GGV138" s="547"/>
      <c r="GGW138" s="548"/>
      <c r="GGX138" s="547"/>
      <c r="GGY138" s="547"/>
      <c r="GGZ138" s="547"/>
      <c r="GHA138" s="552"/>
      <c r="GHB138" s="548"/>
      <c r="GHC138" s="552"/>
      <c r="GHD138" s="552"/>
      <c r="GHE138" s="552"/>
      <c r="GHF138" s="552"/>
      <c r="GHG138" s="548"/>
      <c r="GHH138" s="553"/>
      <c r="GHI138" s="553"/>
      <c r="GHJ138" s="553"/>
      <c r="GHK138" s="8"/>
      <c r="GHL138" s="8"/>
      <c r="GHM138" s="458"/>
      <c r="GHN138" s="8"/>
      <c r="GHO138" s="8"/>
      <c r="GHP138" s="547"/>
      <c r="GHQ138" s="547"/>
      <c r="GHR138" s="547"/>
      <c r="GHS138" s="547"/>
      <c r="GHT138" s="548"/>
      <c r="GHU138" s="547"/>
      <c r="GHV138" s="547"/>
      <c r="GHW138" s="547"/>
      <c r="GHX138" s="547"/>
      <c r="GHY138" s="548"/>
      <c r="GHZ138" s="547"/>
      <c r="GIA138" s="547"/>
      <c r="GIB138" s="547"/>
      <c r="GIC138" s="547"/>
      <c r="GID138" s="548"/>
      <c r="GIE138" s="547"/>
      <c r="GIF138" s="547"/>
      <c r="GIG138" s="547"/>
      <c r="GIH138" s="552"/>
      <c r="GII138" s="548"/>
      <c r="GIJ138" s="552"/>
      <c r="GIK138" s="552"/>
      <c r="GIL138" s="552"/>
      <c r="GIM138" s="552"/>
      <c r="GIN138" s="548"/>
      <c r="GIO138" s="553"/>
      <c r="GIP138" s="553"/>
      <c r="GIQ138" s="553"/>
      <c r="GIR138" s="8"/>
      <c r="GIS138" s="8"/>
      <c r="GIT138" s="458"/>
      <c r="GIU138" s="8"/>
      <c r="GIV138" s="8"/>
      <c r="GIW138" s="547"/>
      <c r="GIX138" s="547"/>
      <c r="GIY138" s="547"/>
      <c r="GIZ138" s="547"/>
      <c r="GJA138" s="548"/>
      <c r="GJB138" s="547"/>
      <c r="GJC138" s="547"/>
      <c r="GJD138" s="547"/>
      <c r="GJE138" s="547"/>
      <c r="GJF138" s="548"/>
      <c r="GJG138" s="547"/>
      <c r="GJH138" s="547"/>
      <c r="GJI138" s="547"/>
      <c r="GJJ138" s="547"/>
      <c r="GJK138" s="548"/>
      <c r="GJL138" s="547"/>
      <c r="GJM138" s="547"/>
      <c r="GJN138" s="547"/>
      <c r="GJO138" s="552"/>
      <c r="GJP138" s="548"/>
      <c r="GJQ138" s="552"/>
      <c r="GJR138" s="552"/>
      <c r="GJS138" s="552"/>
      <c r="GJT138" s="552"/>
      <c r="GJU138" s="548"/>
      <c r="GJV138" s="553"/>
      <c r="GJW138" s="553"/>
      <c r="GJX138" s="553"/>
      <c r="GJY138" s="8"/>
      <c r="GJZ138" s="8"/>
      <c r="GKA138" s="458"/>
      <c r="GKB138" s="8"/>
      <c r="GKC138" s="8"/>
      <c r="GKD138" s="547"/>
      <c r="GKE138" s="547"/>
      <c r="GKF138" s="547"/>
      <c r="GKG138" s="547"/>
      <c r="GKH138" s="548"/>
      <c r="GKI138" s="547"/>
      <c r="GKJ138" s="547"/>
      <c r="GKK138" s="547"/>
      <c r="GKL138" s="547"/>
      <c r="GKM138" s="548"/>
      <c r="GKN138" s="547"/>
      <c r="GKO138" s="547"/>
      <c r="GKP138" s="547"/>
      <c r="GKQ138" s="547"/>
      <c r="GKR138" s="548"/>
      <c r="GKS138" s="547"/>
      <c r="GKT138" s="547"/>
      <c r="GKU138" s="547"/>
      <c r="GKV138" s="552"/>
      <c r="GKW138" s="548"/>
      <c r="GKX138" s="552"/>
      <c r="GKY138" s="552"/>
      <c r="GKZ138" s="552"/>
      <c r="GLA138" s="552"/>
      <c r="GLB138" s="548"/>
      <c r="GLC138" s="553"/>
      <c r="GLD138" s="553"/>
      <c r="GLE138" s="553"/>
      <c r="GLF138" s="8"/>
      <c r="GLG138" s="8"/>
      <c r="GLH138" s="458"/>
      <c r="GLI138" s="8"/>
      <c r="GLJ138" s="8"/>
      <c r="GLK138" s="547"/>
      <c r="GLL138" s="547"/>
      <c r="GLM138" s="547"/>
      <c r="GLN138" s="547"/>
      <c r="GLO138" s="548"/>
      <c r="GLP138" s="547"/>
      <c r="GLQ138" s="547"/>
      <c r="GLR138" s="547"/>
      <c r="GLS138" s="547"/>
      <c r="GLT138" s="548"/>
      <c r="GLU138" s="547"/>
      <c r="GLV138" s="547"/>
      <c r="GLW138" s="547"/>
      <c r="GLX138" s="547"/>
      <c r="GLY138" s="548"/>
      <c r="GLZ138" s="547"/>
      <c r="GMA138" s="547"/>
      <c r="GMB138" s="547"/>
      <c r="GMC138" s="552"/>
      <c r="GMD138" s="548"/>
      <c r="GME138" s="552"/>
      <c r="GMF138" s="552"/>
      <c r="GMG138" s="552"/>
      <c r="GMH138" s="552"/>
      <c r="GMI138" s="548"/>
      <c r="GMJ138" s="553"/>
      <c r="GMK138" s="553"/>
      <c r="GML138" s="553"/>
      <c r="GMM138" s="8"/>
      <c r="GMN138" s="8"/>
      <c r="GMO138" s="458"/>
      <c r="GMP138" s="8"/>
      <c r="GMQ138" s="8"/>
      <c r="GMR138" s="547"/>
      <c r="GMS138" s="547"/>
      <c r="GMT138" s="547"/>
      <c r="GMU138" s="547"/>
      <c r="GMV138" s="548"/>
      <c r="GMW138" s="547"/>
      <c r="GMX138" s="547"/>
      <c r="GMY138" s="547"/>
      <c r="GMZ138" s="547"/>
      <c r="GNA138" s="548"/>
      <c r="GNB138" s="547"/>
      <c r="GNC138" s="547"/>
      <c r="GND138" s="547"/>
      <c r="GNE138" s="547"/>
      <c r="GNF138" s="548"/>
      <c r="GNG138" s="547"/>
      <c r="GNH138" s="547"/>
      <c r="GNI138" s="547"/>
      <c r="GNJ138" s="552"/>
      <c r="GNK138" s="548"/>
      <c r="GNL138" s="552"/>
      <c r="GNM138" s="552"/>
      <c r="GNN138" s="552"/>
      <c r="GNO138" s="552"/>
      <c r="GNP138" s="548"/>
      <c r="GNQ138" s="553"/>
      <c r="GNR138" s="553"/>
      <c r="GNS138" s="553"/>
      <c r="GNT138" s="8"/>
      <c r="GNU138" s="8"/>
      <c r="GNV138" s="458"/>
      <c r="GNW138" s="8"/>
      <c r="GNX138" s="8"/>
      <c r="GNY138" s="547"/>
      <c r="GNZ138" s="547"/>
      <c r="GOA138" s="547"/>
      <c r="GOB138" s="547"/>
      <c r="GOC138" s="548"/>
      <c r="GOD138" s="547"/>
      <c r="GOE138" s="547"/>
      <c r="GOF138" s="547"/>
      <c r="GOG138" s="547"/>
      <c r="GOH138" s="548"/>
      <c r="GOI138" s="547"/>
      <c r="GOJ138" s="547"/>
      <c r="GOK138" s="547"/>
      <c r="GOL138" s="547"/>
      <c r="GOM138" s="548"/>
      <c r="GON138" s="547"/>
      <c r="GOO138" s="547"/>
      <c r="GOP138" s="547"/>
      <c r="GOQ138" s="552"/>
      <c r="GOR138" s="548"/>
      <c r="GOS138" s="552"/>
      <c r="GOT138" s="552"/>
      <c r="GOU138" s="552"/>
      <c r="GOV138" s="552"/>
      <c r="GOW138" s="548"/>
      <c r="GOX138" s="553"/>
      <c r="GOY138" s="553"/>
      <c r="GOZ138" s="553"/>
      <c r="GPA138" s="8"/>
      <c r="GPB138" s="8"/>
      <c r="GPC138" s="458"/>
      <c r="GPD138" s="8"/>
      <c r="GPE138" s="8"/>
      <c r="GPF138" s="547"/>
      <c r="GPG138" s="547"/>
      <c r="GPH138" s="547"/>
      <c r="GPI138" s="547"/>
      <c r="GPJ138" s="548"/>
      <c r="GPK138" s="547"/>
      <c r="GPL138" s="547"/>
      <c r="GPM138" s="547"/>
      <c r="GPN138" s="547"/>
      <c r="GPO138" s="548"/>
      <c r="GPP138" s="547"/>
      <c r="GPQ138" s="547"/>
      <c r="GPR138" s="547"/>
      <c r="GPS138" s="547"/>
      <c r="GPT138" s="548"/>
      <c r="GPU138" s="547"/>
      <c r="GPV138" s="547"/>
      <c r="GPW138" s="547"/>
      <c r="GPX138" s="552"/>
      <c r="GPY138" s="548"/>
      <c r="GPZ138" s="552"/>
      <c r="GQA138" s="552"/>
      <c r="GQB138" s="552"/>
      <c r="GQC138" s="552"/>
      <c r="GQD138" s="548"/>
      <c r="GQE138" s="553"/>
      <c r="GQF138" s="553"/>
      <c r="GQG138" s="553"/>
      <c r="GQH138" s="8"/>
      <c r="GQI138" s="8"/>
      <c r="GQJ138" s="458"/>
      <c r="GQK138" s="8"/>
      <c r="GQL138" s="8"/>
      <c r="GQM138" s="547"/>
      <c r="GQN138" s="547"/>
      <c r="GQO138" s="547"/>
      <c r="GQP138" s="547"/>
      <c r="GQQ138" s="548"/>
      <c r="GQR138" s="547"/>
      <c r="GQS138" s="547"/>
      <c r="GQT138" s="547"/>
      <c r="GQU138" s="547"/>
      <c r="GQV138" s="548"/>
      <c r="GQW138" s="547"/>
      <c r="GQX138" s="547"/>
      <c r="GQY138" s="547"/>
      <c r="GQZ138" s="547"/>
      <c r="GRA138" s="548"/>
      <c r="GRB138" s="547"/>
      <c r="GRC138" s="547"/>
      <c r="GRD138" s="547"/>
      <c r="GRE138" s="552"/>
      <c r="GRF138" s="548"/>
      <c r="GRG138" s="552"/>
      <c r="GRH138" s="552"/>
      <c r="GRI138" s="552"/>
      <c r="GRJ138" s="552"/>
      <c r="GRK138" s="548"/>
      <c r="GRL138" s="553"/>
      <c r="GRM138" s="553"/>
      <c r="GRN138" s="553"/>
      <c r="GRO138" s="8"/>
      <c r="GRP138" s="8"/>
      <c r="GRQ138" s="458"/>
      <c r="GRR138" s="8"/>
      <c r="GRS138" s="8"/>
      <c r="GRT138" s="547"/>
      <c r="GRU138" s="547"/>
      <c r="GRV138" s="547"/>
      <c r="GRW138" s="547"/>
      <c r="GRX138" s="548"/>
      <c r="GRY138" s="547"/>
      <c r="GRZ138" s="547"/>
      <c r="GSA138" s="547"/>
      <c r="GSB138" s="547"/>
      <c r="GSC138" s="548"/>
      <c r="GSD138" s="547"/>
      <c r="GSE138" s="547"/>
      <c r="GSF138" s="547"/>
      <c r="GSG138" s="547"/>
      <c r="GSH138" s="548"/>
      <c r="GSI138" s="547"/>
      <c r="GSJ138" s="547"/>
      <c r="GSK138" s="547"/>
      <c r="GSL138" s="552"/>
      <c r="GSM138" s="548"/>
      <c r="GSN138" s="552"/>
      <c r="GSO138" s="552"/>
      <c r="GSP138" s="552"/>
      <c r="GSQ138" s="552"/>
      <c r="GSR138" s="548"/>
      <c r="GSS138" s="553"/>
      <c r="GST138" s="553"/>
      <c r="GSU138" s="553"/>
      <c r="GSV138" s="8"/>
      <c r="GSW138" s="8"/>
      <c r="GSX138" s="458"/>
      <c r="GSY138" s="8"/>
      <c r="GSZ138" s="8"/>
      <c r="GTA138" s="547"/>
      <c r="GTB138" s="547"/>
      <c r="GTC138" s="547"/>
      <c r="GTD138" s="547"/>
      <c r="GTE138" s="548"/>
      <c r="GTF138" s="547"/>
      <c r="GTG138" s="547"/>
      <c r="GTH138" s="547"/>
      <c r="GTI138" s="547"/>
      <c r="GTJ138" s="548"/>
      <c r="GTK138" s="547"/>
      <c r="GTL138" s="547"/>
      <c r="GTM138" s="547"/>
      <c r="GTN138" s="547"/>
      <c r="GTO138" s="548"/>
      <c r="GTP138" s="547"/>
      <c r="GTQ138" s="547"/>
      <c r="GTR138" s="547"/>
      <c r="GTS138" s="552"/>
      <c r="GTT138" s="548"/>
      <c r="GTU138" s="552"/>
      <c r="GTV138" s="552"/>
      <c r="GTW138" s="552"/>
      <c r="GTX138" s="552"/>
      <c r="GTY138" s="548"/>
      <c r="GTZ138" s="553"/>
      <c r="GUA138" s="553"/>
      <c r="GUB138" s="553"/>
      <c r="GUC138" s="8"/>
      <c r="GUD138" s="8"/>
      <c r="GUE138" s="458"/>
      <c r="GUF138" s="8"/>
      <c r="GUG138" s="8"/>
      <c r="GUH138" s="547"/>
      <c r="GUI138" s="547"/>
      <c r="GUJ138" s="547"/>
      <c r="GUK138" s="547"/>
      <c r="GUL138" s="548"/>
      <c r="GUM138" s="547"/>
      <c r="GUN138" s="547"/>
      <c r="GUO138" s="547"/>
      <c r="GUP138" s="547"/>
      <c r="GUQ138" s="548"/>
      <c r="GUR138" s="547"/>
      <c r="GUS138" s="547"/>
      <c r="GUT138" s="547"/>
      <c r="GUU138" s="547"/>
      <c r="GUV138" s="548"/>
      <c r="GUW138" s="547"/>
      <c r="GUX138" s="547"/>
      <c r="GUY138" s="547"/>
      <c r="GUZ138" s="552"/>
      <c r="GVA138" s="548"/>
      <c r="GVB138" s="552"/>
      <c r="GVC138" s="552"/>
      <c r="GVD138" s="552"/>
      <c r="GVE138" s="552"/>
      <c r="GVF138" s="548"/>
      <c r="GVG138" s="553"/>
      <c r="GVH138" s="553"/>
      <c r="GVI138" s="553"/>
      <c r="GVJ138" s="8"/>
      <c r="GVK138" s="8"/>
      <c r="GVL138" s="458"/>
      <c r="GVM138" s="8"/>
      <c r="GVN138" s="8"/>
      <c r="GVO138" s="547"/>
      <c r="GVP138" s="547"/>
      <c r="GVQ138" s="547"/>
      <c r="GVR138" s="547"/>
      <c r="GVS138" s="548"/>
      <c r="GVT138" s="547"/>
      <c r="GVU138" s="547"/>
      <c r="GVV138" s="547"/>
      <c r="GVW138" s="547"/>
      <c r="GVX138" s="548"/>
      <c r="GVY138" s="547"/>
      <c r="GVZ138" s="547"/>
      <c r="GWA138" s="547"/>
      <c r="GWB138" s="547"/>
      <c r="GWC138" s="548"/>
      <c r="GWD138" s="547"/>
      <c r="GWE138" s="547"/>
      <c r="GWF138" s="547"/>
      <c r="GWG138" s="552"/>
      <c r="GWH138" s="548"/>
      <c r="GWI138" s="552"/>
      <c r="GWJ138" s="552"/>
      <c r="GWK138" s="552"/>
      <c r="GWL138" s="552"/>
      <c r="GWM138" s="548"/>
      <c r="GWN138" s="553"/>
      <c r="GWO138" s="553"/>
      <c r="GWP138" s="553"/>
      <c r="GWQ138" s="8"/>
      <c r="GWR138" s="8"/>
      <c r="GWS138" s="458"/>
      <c r="GWT138" s="8"/>
      <c r="GWU138" s="8"/>
      <c r="GWV138" s="547"/>
      <c r="GWW138" s="547"/>
      <c r="GWX138" s="547"/>
      <c r="GWY138" s="547"/>
      <c r="GWZ138" s="548"/>
      <c r="GXA138" s="547"/>
      <c r="GXB138" s="547"/>
      <c r="GXC138" s="547"/>
      <c r="GXD138" s="547"/>
      <c r="GXE138" s="548"/>
      <c r="GXF138" s="547"/>
      <c r="GXG138" s="547"/>
      <c r="GXH138" s="547"/>
      <c r="GXI138" s="547"/>
      <c r="GXJ138" s="548"/>
      <c r="GXK138" s="547"/>
      <c r="GXL138" s="547"/>
      <c r="GXM138" s="547"/>
      <c r="GXN138" s="552"/>
      <c r="GXO138" s="548"/>
      <c r="GXP138" s="552"/>
      <c r="GXQ138" s="552"/>
      <c r="GXR138" s="552"/>
      <c r="GXS138" s="552"/>
      <c r="GXT138" s="548"/>
      <c r="GXU138" s="553"/>
      <c r="GXV138" s="553"/>
      <c r="GXW138" s="553"/>
      <c r="GXX138" s="8"/>
      <c r="GXY138" s="8"/>
      <c r="GXZ138" s="458"/>
      <c r="GYA138" s="8"/>
      <c r="GYB138" s="8"/>
      <c r="GYC138" s="547"/>
      <c r="GYD138" s="547"/>
      <c r="GYE138" s="547"/>
      <c r="GYF138" s="547"/>
      <c r="GYG138" s="548"/>
      <c r="GYH138" s="547"/>
      <c r="GYI138" s="547"/>
      <c r="GYJ138" s="547"/>
      <c r="GYK138" s="547"/>
      <c r="GYL138" s="548"/>
      <c r="GYM138" s="547"/>
      <c r="GYN138" s="547"/>
      <c r="GYO138" s="547"/>
      <c r="GYP138" s="547"/>
      <c r="GYQ138" s="548"/>
      <c r="GYR138" s="547"/>
      <c r="GYS138" s="547"/>
      <c r="GYT138" s="547"/>
      <c r="GYU138" s="552"/>
      <c r="GYV138" s="548"/>
      <c r="GYW138" s="552"/>
      <c r="GYX138" s="552"/>
      <c r="GYY138" s="552"/>
      <c r="GYZ138" s="552"/>
      <c r="GZA138" s="548"/>
      <c r="GZB138" s="553"/>
      <c r="GZC138" s="553"/>
      <c r="GZD138" s="553"/>
      <c r="GZE138" s="8"/>
      <c r="GZF138" s="8"/>
      <c r="GZG138" s="458"/>
      <c r="GZH138" s="8"/>
      <c r="GZI138" s="8"/>
      <c r="GZJ138" s="547"/>
      <c r="GZK138" s="547"/>
      <c r="GZL138" s="547"/>
      <c r="GZM138" s="547"/>
      <c r="GZN138" s="548"/>
      <c r="GZO138" s="547"/>
      <c r="GZP138" s="547"/>
      <c r="GZQ138" s="547"/>
      <c r="GZR138" s="547"/>
      <c r="GZS138" s="548"/>
      <c r="GZT138" s="547"/>
      <c r="GZU138" s="547"/>
      <c r="GZV138" s="547"/>
      <c r="GZW138" s="547"/>
      <c r="GZX138" s="548"/>
      <c r="GZY138" s="547"/>
      <c r="GZZ138" s="547"/>
      <c r="HAA138" s="547"/>
      <c r="HAB138" s="552"/>
      <c r="HAC138" s="548"/>
      <c r="HAD138" s="552"/>
      <c r="HAE138" s="552"/>
      <c r="HAF138" s="552"/>
      <c r="HAG138" s="552"/>
      <c r="HAH138" s="548"/>
      <c r="HAI138" s="553"/>
      <c r="HAJ138" s="553"/>
      <c r="HAK138" s="553"/>
      <c r="HAL138" s="8"/>
      <c r="HAM138" s="8"/>
      <c r="HAN138" s="458"/>
      <c r="HAO138" s="8"/>
      <c r="HAP138" s="8"/>
      <c r="HAQ138" s="547"/>
      <c r="HAR138" s="547"/>
      <c r="HAS138" s="547"/>
      <c r="HAT138" s="547"/>
      <c r="HAU138" s="548"/>
      <c r="HAV138" s="547"/>
      <c r="HAW138" s="547"/>
      <c r="HAX138" s="547"/>
      <c r="HAY138" s="547"/>
      <c r="HAZ138" s="548"/>
      <c r="HBA138" s="547"/>
      <c r="HBB138" s="547"/>
      <c r="HBC138" s="547"/>
      <c r="HBD138" s="547"/>
      <c r="HBE138" s="548"/>
      <c r="HBF138" s="547"/>
      <c r="HBG138" s="547"/>
      <c r="HBH138" s="547"/>
      <c r="HBI138" s="552"/>
      <c r="HBJ138" s="548"/>
      <c r="HBK138" s="552"/>
      <c r="HBL138" s="552"/>
      <c r="HBM138" s="552"/>
      <c r="HBN138" s="552"/>
      <c r="HBO138" s="548"/>
      <c r="HBP138" s="553"/>
      <c r="HBQ138" s="553"/>
      <c r="HBR138" s="553"/>
      <c r="HBS138" s="8"/>
      <c r="HBT138" s="8"/>
      <c r="HBU138" s="458"/>
      <c r="HBV138" s="8"/>
      <c r="HBW138" s="8"/>
      <c r="HBX138" s="547"/>
      <c r="HBY138" s="547"/>
      <c r="HBZ138" s="547"/>
      <c r="HCA138" s="547"/>
      <c r="HCB138" s="548"/>
      <c r="HCC138" s="547"/>
      <c r="HCD138" s="547"/>
      <c r="HCE138" s="547"/>
      <c r="HCF138" s="547"/>
      <c r="HCG138" s="548"/>
      <c r="HCH138" s="547"/>
      <c r="HCI138" s="547"/>
      <c r="HCJ138" s="547"/>
      <c r="HCK138" s="547"/>
      <c r="HCL138" s="548"/>
      <c r="HCM138" s="547"/>
      <c r="HCN138" s="547"/>
      <c r="HCO138" s="547"/>
      <c r="HCP138" s="552"/>
      <c r="HCQ138" s="548"/>
      <c r="HCR138" s="552"/>
      <c r="HCS138" s="552"/>
      <c r="HCT138" s="552"/>
      <c r="HCU138" s="552"/>
      <c r="HCV138" s="548"/>
      <c r="HCW138" s="553"/>
      <c r="HCX138" s="553"/>
      <c r="HCY138" s="553"/>
      <c r="HCZ138" s="8"/>
      <c r="HDA138" s="8"/>
      <c r="HDB138" s="458"/>
      <c r="HDC138" s="8"/>
      <c r="HDD138" s="8"/>
      <c r="HDE138" s="547"/>
      <c r="HDF138" s="547"/>
      <c r="HDG138" s="547"/>
      <c r="HDH138" s="547"/>
      <c r="HDI138" s="548"/>
      <c r="HDJ138" s="547"/>
      <c r="HDK138" s="547"/>
      <c r="HDL138" s="547"/>
      <c r="HDM138" s="547"/>
      <c r="HDN138" s="548"/>
      <c r="HDO138" s="547"/>
      <c r="HDP138" s="547"/>
      <c r="HDQ138" s="547"/>
      <c r="HDR138" s="547"/>
      <c r="HDS138" s="548"/>
      <c r="HDT138" s="547"/>
      <c r="HDU138" s="547"/>
      <c r="HDV138" s="547"/>
      <c r="HDW138" s="552"/>
      <c r="HDX138" s="548"/>
      <c r="HDY138" s="552"/>
      <c r="HDZ138" s="552"/>
      <c r="HEA138" s="552"/>
      <c r="HEB138" s="552"/>
      <c r="HEC138" s="548"/>
      <c r="HED138" s="553"/>
      <c r="HEE138" s="553"/>
      <c r="HEF138" s="553"/>
      <c r="HEG138" s="8"/>
      <c r="HEH138" s="8"/>
      <c r="HEI138" s="458"/>
      <c r="HEJ138" s="8"/>
      <c r="HEK138" s="8"/>
      <c r="HEL138" s="547"/>
      <c r="HEM138" s="547"/>
      <c r="HEN138" s="547"/>
      <c r="HEO138" s="547"/>
      <c r="HEP138" s="548"/>
      <c r="HEQ138" s="547"/>
      <c r="HER138" s="547"/>
      <c r="HES138" s="547"/>
      <c r="HET138" s="547"/>
      <c r="HEU138" s="548"/>
      <c r="HEV138" s="547"/>
      <c r="HEW138" s="547"/>
      <c r="HEX138" s="547"/>
      <c r="HEY138" s="547"/>
      <c r="HEZ138" s="548"/>
      <c r="HFA138" s="547"/>
      <c r="HFB138" s="547"/>
      <c r="HFC138" s="547"/>
      <c r="HFD138" s="552"/>
      <c r="HFE138" s="548"/>
      <c r="HFF138" s="552"/>
      <c r="HFG138" s="552"/>
      <c r="HFH138" s="552"/>
      <c r="HFI138" s="552"/>
      <c r="HFJ138" s="548"/>
      <c r="HFK138" s="553"/>
      <c r="HFL138" s="553"/>
      <c r="HFM138" s="553"/>
      <c r="HFN138" s="8"/>
      <c r="HFO138" s="8"/>
      <c r="HFP138" s="458"/>
      <c r="HFQ138" s="8"/>
      <c r="HFR138" s="8"/>
      <c r="HFS138" s="547"/>
      <c r="HFT138" s="547"/>
      <c r="HFU138" s="547"/>
      <c r="HFV138" s="547"/>
      <c r="HFW138" s="548"/>
      <c r="HFX138" s="547"/>
      <c r="HFY138" s="547"/>
      <c r="HFZ138" s="547"/>
      <c r="HGA138" s="547"/>
      <c r="HGB138" s="548"/>
      <c r="HGC138" s="547"/>
      <c r="HGD138" s="547"/>
      <c r="HGE138" s="547"/>
      <c r="HGF138" s="547"/>
      <c r="HGG138" s="548"/>
      <c r="HGH138" s="547"/>
      <c r="HGI138" s="547"/>
      <c r="HGJ138" s="547"/>
      <c r="HGK138" s="552"/>
      <c r="HGL138" s="548"/>
      <c r="HGM138" s="552"/>
      <c r="HGN138" s="552"/>
      <c r="HGO138" s="552"/>
      <c r="HGP138" s="552"/>
      <c r="HGQ138" s="548"/>
      <c r="HGR138" s="553"/>
      <c r="HGS138" s="553"/>
      <c r="HGT138" s="553"/>
      <c r="HGU138" s="8"/>
      <c r="HGV138" s="8"/>
      <c r="HGW138" s="458"/>
      <c r="HGX138" s="8"/>
      <c r="HGY138" s="8"/>
      <c r="HGZ138" s="547"/>
      <c r="HHA138" s="547"/>
      <c r="HHB138" s="547"/>
      <c r="HHC138" s="547"/>
      <c r="HHD138" s="548"/>
      <c r="HHE138" s="547"/>
      <c r="HHF138" s="547"/>
      <c r="HHG138" s="547"/>
      <c r="HHH138" s="547"/>
      <c r="HHI138" s="548"/>
      <c r="HHJ138" s="547"/>
      <c r="HHK138" s="547"/>
      <c r="HHL138" s="547"/>
      <c r="HHM138" s="547"/>
      <c r="HHN138" s="548"/>
      <c r="HHO138" s="547"/>
      <c r="HHP138" s="547"/>
      <c r="HHQ138" s="547"/>
      <c r="HHR138" s="552"/>
      <c r="HHS138" s="548"/>
      <c r="HHT138" s="552"/>
      <c r="HHU138" s="552"/>
      <c r="HHV138" s="552"/>
      <c r="HHW138" s="552"/>
      <c r="HHX138" s="548"/>
      <c r="HHY138" s="553"/>
      <c r="HHZ138" s="553"/>
      <c r="HIA138" s="553"/>
      <c r="HIB138" s="8"/>
      <c r="HIC138" s="8"/>
      <c r="HID138" s="458"/>
      <c r="HIE138" s="8"/>
      <c r="HIF138" s="8"/>
      <c r="HIG138" s="547"/>
      <c r="HIH138" s="547"/>
      <c r="HII138" s="547"/>
      <c r="HIJ138" s="547"/>
      <c r="HIK138" s="548"/>
      <c r="HIL138" s="547"/>
      <c r="HIM138" s="547"/>
      <c r="HIN138" s="547"/>
      <c r="HIO138" s="547"/>
      <c r="HIP138" s="548"/>
      <c r="HIQ138" s="547"/>
      <c r="HIR138" s="547"/>
      <c r="HIS138" s="547"/>
      <c r="HIT138" s="547"/>
      <c r="HIU138" s="548"/>
      <c r="HIV138" s="547"/>
      <c r="HIW138" s="547"/>
      <c r="HIX138" s="547"/>
      <c r="HIY138" s="552"/>
      <c r="HIZ138" s="548"/>
      <c r="HJA138" s="552"/>
      <c r="HJB138" s="552"/>
      <c r="HJC138" s="552"/>
      <c r="HJD138" s="552"/>
      <c r="HJE138" s="548"/>
      <c r="HJF138" s="553"/>
      <c r="HJG138" s="553"/>
      <c r="HJH138" s="553"/>
      <c r="HJI138" s="8"/>
      <c r="HJJ138" s="8"/>
      <c r="HJK138" s="458"/>
      <c r="HJL138" s="8"/>
      <c r="HJM138" s="8"/>
      <c r="HJN138" s="547"/>
      <c r="HJO138" s="547"/>
      <c r="HJP138" s="547"/>
      <c r="HJQ138" s="547"/>
      <c r="HJR138" s="548"/>
      <c r="HJS138" s="547"/>
      <c r="HJT138" s="547"/>
      <c r="HJU138" s="547"/>
      <c r="HJV138" s="547"/>
      <c r="HJW138" s="548"/>
      <c r="HJX138" s="547"/>
      <c r="HJY138" s="547"/>
      <c r="HJZ138" s="547"/>
      <c r="HKA138" s="547"/>
      <c r="HKB138" s="548"/>
      <c r="HKC138" s="547"/>
      <c r="HKD138" s="547"/>
      <c r="HKE138" s="547"/>
      <c r="HKF138" s="552"/>
      <c r="HKG138" s="548"/>
      <c r="HKH138" s="552"/>
      <c r="HKI138" s="552"/>
      <c r="HKJ138" s="552"/>
      <c r="HKK138" s="552"/>
      <c r="HKL138" s="548"/>
      <c r="HKM138" s="553"/>
      <c r="HKN138" s="553"/>
      <c r="HKO138" s="553"/>
      <c r="HKP138" s="8"/>
      <c r="HKQ138" s="8"/>
      <c r="HKR138" s="458"/>
      <c r="HKS138" s="8"/>
      <c r="HKT138" s="8"/>
      <c r="HKU138" s="547"/>
      <c r="HKV138" s="547"/>
      <c r="HKW138" s="547"/>
      <c r="HKX138" s="547"/>
      <c r="HKY138" s="548"/>
      <c r="HKZ138" s="547"/>
      <c r="HLA138" s="547"/>
      <c r="HLB138" s="547"/>
      <c r="HLC138" s="547"/>
      <c r="HLD138" s="548"/>
      <c r="HLE138" s="547"/>
      <c r="HLF138" s="547"/>
      <c r="HLG138" s="547"/>
      <c r="HLH138" s="547"/>
      <c r="HLI138" s="548"/>
      <c r="HLJ138" s="547"/>
      <c r="HLK138" s="547"/>
      <c r="HLL138" s="547"/>
      <c r="HLM138" s="552"/>
      <c r="HLN138" s="548"/>
      <c r="HLO138" s="552"/>
      <c r="HLP138" s="552"/>
      <c r="HLQ138" s="552"/>
      <c r="HLR138" s="552"/>
      <c r="HLS138" s="548"/>
      <c r="HLT138" s="553"/>
      <c r="HLU138" s="553"/>
      <c r="HLV138" s="553"/>
      <c r="HLW138" s="8"/>
      <c r="HLX138" s="8"/>
      <c r="HLY138" s="458"/>
      <c r="HLZ138" s="8"/>
      <c r="HMA138" s="8"/>
      <c r="HMB138" s="547"/>
      <c r="HMC138" s="547"/>
      <c r="HMD138" s="547"/>
      <c r="HME138" s="547"/>
      <c r="HMF138" s="548"/>
      <c r="HMG138" s="547"/>
      <c r="HMH138" s="547"/>
      <c r="HMI138" s="547"/>
      <c r="HMJ138" s="547"/>
      <c r="HMK138" s="548"/>
      <c r="HML138" s="547"/>
      <c r="HMM138" s="547"/>
      <c r="HMN138" s="547"/>
      <c r="HMO138" s="547"/>
      <c r="HMP138" s="548"/>
      <c r="HMQ138" s="547"/>
      <c r="HMR138" s="547"/>
      <c r="HMS138" s="547"/>
      <c r="HMT138" s="552"/>
      <c r="HMU138" s="548"/>
      <c r="HMV138" s="552"/>
      <c r="HMW138" s="552"/>
      <c r="HMX138" s="552"/>
      <c r="HMY138" s="552"/>
      <c r="HMZ138" s="548"/>
      <c r="HNA138" s="553"/>
      <c r="HNB138" s="553"/>
      <c r="HNC138" s="553"/>
      <c r="HND138" s="8"/>
      <c r="HNE138" s="8"/>
      <c r="HNF138" s="458"/>
      <c r="HNG138" s="8"/>
      <c r="HNH138" s="8"/>
      <c r="HNI138" s="547"/>
      <c r="HNJ138" s="547"/>
      <c r="HNK138" s="547"/>
      <c r="HNL138" s="547"/>
      <c r="HNM138" s="548"/>
      <c r="HNN138" s="547"/>
      <c r="HNO138" s="547"/>
      <c r="HNP138" s="547"/>
      <c r="HNQ138" s="547"/>
      <c r="HNR138" s="548"/>
      <c r="HNS138" s="547"/>
      <c r="HNT138" s="547"/>
      <c r="HNU138" s="547"/>
      <c r="HNV138" s="547"/>
      <c r="HNW138" s="548"/>
      <c r="HNX138" s="547"/>
      <c r="HNY138" s="547"/>
      <c r="HNZ138" s="547"/>
      <c r="HOA138" s="552"/>
      <c r="HOB138" s="548"/>
      <c r="HOC138" s="552"/>
      <c r="HOD138" s="552"/>
      <c r="HOE138" s="552"/>
      <c r="HOF138" s="552"/>
      <c r="HOG138" s="548"/>
      <c r="HOH138" s="553"/>
      <c r="HOI138" s="553"/>
      <c r="HOJ138" s="553"/>
      <c r="HOK138" s="8"/>
      <c r="HOL138" s="8"/>
      <c r="HOM138" s="458"/>
      <c r="HON138" s="8"/>
      <c r="HOO138" s="8"/>
      <c r="HOP138" s="547"/>
      <c r="HOQ138" s="547"/>
      <c r="HOR138" s="547"/>
      <c r="HOS138" s="547"/>
      <c r="HOT138" s="548"/>
      <c r="HOU138" s="547"/>
      <c r="HOV138" s="547"/>
      <c r="HOW138" s="547"/>
      <c r="HOX138" s="547"/>
      <c r="HOY138" s="548"/>
      <c r="HOZ138" s="547"/>
      <c r="HPA138" s="547"/>
      <c r="HPB138" s="547"/>
      <c r="HPC138" s="547"/>
      <c r="HPD138" s="548"/>
      <c r="HPE138" s="547"/>
      <c r="HPF138" s="547"/>
      <c r="HPG138" s="547"/>
      <c r="HPH138" s="552"/>
      <c r="HPI138" s="548"/>
      <c r="HPJ138" s="552"/>
      <c r="HPK138" s="552"/>
      <c r="HPL138" s="552"/>
      <c r="HPM138" s="552"/>
      <c r="HPN138" s="548"/>
      <c r="HPO138" s="553"/>
      <c r="HPP138" s="553"/>
      <c r="HPQ138" s="553"/>
      <c r="HPR138" s="8"/>
      <c r="HPS138" s="8"/>
      <c r="HPT138" s="458"/>
      <c r="HPU138" s="8"/>
      <c r="HPV138" s="8"/>
      <c r="HPW138" s="547"/>
      <c r="HPX138" s="547"/>
      <c r="HPY138" s="547"/>
      <c r="HPZ138" s="547"/>
      <c r="HQA138" s="548"/>
      <c r="HQB138" s="547"/>
      <c r="HQC138" s="547"/>
      <c r="HQD138" s="547"/>
      <c r="HQE138" s="547"/>
      <c r="HQF138" s="548"/>
      <c r="HQG138" s="547"/>
      <c r="HQH138" s="547"/>
      <c r="HQI138" s="547"/>
      <c r="HQJ138" s="547"/>
      <c r="HQK138" s="548"/>
      <c r="HQL138" s="547"/>
      <c r="HQM138" s="547"/>
      <c r="HQN138" s="547"/>
      <c r="HQO138" s="552"/>
      <c r="HQP138" s="548"/>
      <c r="HQQ138" s="552"/>
      <c r="HQR138" s="552"/>
      <c r="HQS138" s="552"/>
      <c r="HQT138" s="552"/>
      <c r="HQU138" s="548"/>
      <c r="HQV138" s="553"/>
      <c r="HQW138" s="553"/>
      <c r="HQX138" s="553"/>
      <c r="HQY138" s="8"/>
      <c r="HQZ138" s="8"/>
      <c r="HRA138" s="458"/>
      <c r="HRB138" s="8"/>
      <c r="HRC138" s="8"/>
      <c r="HRD138" s="547"/>
      <c r="HRE138" s="547"/>
      <c r="HRF138" s="547"/>
      <c r="HRG138" s="547"/>
      <c r="HRH138" s="548"/>
      <c r="HRI138" s="547"/>
      <c r="HRJ138" s="547"/>
      <c r="HRK138" s="547"/>
      <c r="HRL138" s="547"/>
      <c r="HRM138" s="548"/>
      <c r="HRN138" s="547"/>
      <c r="HRO138" s="547"/>
      <c r="HRP138" s="547"/>
      <c r="HRQ138" s="547"/>
      <c r="HRR138" s="548"/>
      <c r="HRS138" s="547"/>
      <c r="HRT138" s="547"/>
      <c r="HRU138" s="547"/>
      <c r="HRV138" s="552"/>
      <c r="HRW138" s="548"/>
      <c r="HRX138" s="552"/>
      <c r="HRY138" s="552"/>
      <c r="HRZ138" s="552"/>
      <c r="HSA138" s="552"/>
      <c r="HSB138" s="548"/>
      <c r="HSC138" s="553"/>
      <c r="HSD138" s="553"/>
      <c r="HSE138" s="553"/>
      <c r="HSF138" s="8"/>
      <c r="HSG138" s="8"/>
      <c r="HSH138" s="458"/>
      <c r="HSI138" s="8"/>
      <c r="HSJ138" s="8"/>
      <c r="HSK138" s="547"/>
      <c r="HSL138" s="547"/>
      <c r="HSM138" s="547"/>
      <c r="HSN138" s="547"/>
      <c r="HSO138" s="548"/>
      <c r="HSP138" s="547"/>
      <c r="HSQ138" s="547"/>
      <c r="HSR138" s="547"/>
      <c r="HSS138" s="547"/>
      <c r="HST138" s="548"/>
      <c r="HSU138" s="547"/>
      <c r="HSV138" s="547"/>
      <c r="HSW138" s="547"/>
      <c r="HSX138" s="547"/>
      <c r="HSY138" s="548"/>
      <c r="HSZ138" s="547"/>
      <c r="HTA138" s="547"/>
      <c r="HTB138" s="547"/>
      <c r="HTC138" s="552"/>
      <c r="HTD138" s="548"/>
      <c r="HTE138" s="552"/>
      <c r="HTF138" s="552"/>
      <c r="HTG138" s="552"/>
      <c r="HTH138" s="552"/>
      <c r="HTI138" s="548"/>
      <c r="HTJ138" s="553"/>
      <c r="HTK138" s="553"/>
      <c r="HTL138" s="553"/>
      <c r="HTM138" s="8"/>
      <c r="HTN138" s="8"/>
      <c r="HTO138" s="458"/>
      <c r="HTP138" s="8"/>
      <c r="HTQ138" s="8"/>
      <c r="HTR138" s="547"/>
      <c r="HTS138" s="547"/>
      <c r="HTT138" s="547"/>
      <c r="HTU138" s="547"/>
      <c r="HTV138" s="548"/>
      <c r="HTW138" s="547"/>
      <c r="HTX138" s="547"/>
      <c r="HTY138" s="547"/>
      <c r="HTZ138" s="547"/>
      <c r="HUA138" s="548"/>
      <c r="HUB138" s="547"/>
      <c r="HUC138" s="547"/>
      <c r="HUD138" s="547"/>
      <c r="HUE138" s="547"/>
      <c r="HUF138" s="548"/>
      <c r="HUG138" s="547"/>
      <c r="HUH138" s="547"/>
      <c r="HUI138" s="547"/>
      <c r="HUJ138" s="552"/>
      <c r="HUK138" s="548"/>
      <c r="HUL138" s="552"/>
      <c r="HUM138" s="552"/>
      <c r="HUN138" s="552"/>
      <c r="HUO138" s="552"/>
      <c r="HUP138" s="548"/>
      <c r="HUQ138" s="553"/>
      <c r="HUR138" s="553"/>
      <c r="HUS138" s="553"/>
      <c r="HUT138" s="8"/>
      <c r="HUU138" s="8"/>
      <c r="HUV138" s="458"/>
      <c r="HUW138" s="8"/>
      <c r="HUX138" s="8"/>
      <c r="HUY138" s="547"/>
      <c r="HUZ138" s="547"/>
      <c r="HVA138" s="547"/>
      <c r="HVB138" s="547"/>
      <c r="HVC138" s="548"/>
      <c r="HVD138" s="547"/>
      <c r="HVE138" s="547"/>
      <c r="HVF138" s="547"/>
      <c r="HVG138" s="547"/>
      <c r="HVH138" s="548"/>
      <c r="HVI138" s="547"/>
      <c r="HVJ138" s="547"/>
      <c r="HVK138" s="547"/>
      <c r="HVL138" s="547"/>
      <c r="HVM138" s="548"/>
      <c r="HVN138" s="547"/>
      <c r="HVO138" s="547"/>
      <c r="HVP138" s="547"/>
      <c r="HVQ138" s="552"/>
      <c r="HVR138" s="548"/>
      <c r="HVS138" s="552"/>
      <c r="HVT138" s="552"/>
      <c r="HVU138" s="552"/>
      <c r="HVV138" s="552"/>
      <c r="HVW138" s="548"/>
      <c r="HVX138" s="553"/>
      <c r="HVY138" s="553"/>
      <c r="HVZ138" s="553"/>
      <c r="HWA138" s="8"/>
      <c r="HWB138" s="8"/>
      <c r="HWC138" s="458"/>
      <c r="HWD138" s="8"/>
      <c r="HWE138" s="8"/>
      <c r="HWF138" s="547"/>
      <c r="HWG138" s="547"/>
      <c r="HWH138" s="547"/>
      <c r="HWI138" s="547"/>
      <c r="HWJ138" s="548"/>
      <c r="HWK138" s="547"/>
      <c r="HWL138" s="547"/>
      <c r="HWM138" s="547"/>
      <c r="HWN138" s="547"/>
      <c r="HWO138" s="548"/>
      <c r="HWP138" s="547"/>
      <c r="HWQ138" s="547"/>
      <c r="HWR138" s="547"/>
      <c r="HWS138" s="547"/>
      <c r="HWT138" s="548"/>
      <c r="HWU138" s="547"/>
      <c r="HWV138" s="547"/>
      <c r="HWW138" s="547"/>
      <c r="HWX138" s="552"/>
      <c r="HWY138" s="548"/>
      <c r="HWZ138" s="552"/>
      <c r="HXA138" s="552"/>
      <c r="HXB138" s="552"/>
      <c r="HXC138" s="552"/>
      <c r="HXD138" s="548"/>
      <c r="HXE138" s="553"/>
      <c r="HXF138" s="553"/>
      <c r="HXG138" s="553"/>
      <c r="HXH138" s="8"/>
      <c r="HXI138" s="8"/>
      <c r="HXJ138" s="458"/>
      <c r="HXK138" s="8"/>
      <c r="HXL138" s="8"/>
      <c r="HXM138" s="547"/>
      <c r="HXN138" s="547"/>
      <c r="HXO138" s="547"/>
      <c r="HXP138" s="547"/>
      <c r="HXQ138" s="548"/>
      <c r="HXR138" s="547"/>
      <c r="HXS138" s="547"/>
      <c r="HXT138" s="547"/>
      <c r="HXU138" s="547"/>
      <c r="HXV138" s="548"/>
      <c r="HXW138" s="547"/>
      <c r="HXX138" s="547"/>
      <c r="HXY138" s="547"/>
      <c r="HXZ138" s="547"/>
      <c r="HYA138" s="548"/>
      <c r="HYB138" s="547"/>
      <c r="HYC138" s="547"/>
      <c r="HYD138" s="547"/>
      <c r="HYE138" s="552"/>
      <c r="HYF138" s="548"/>
      <c r="HYG138" s="552"/>
      <c r="HYH138" s="552"/>
      <c r="HYI138" s="552"/>
      <c r="HYJ138" s="552"/>
      <c r="HYK138" s="548"/>
      <c r="HYL138" s="553"/>
      <c r="HYM138" s="553"/>
      <c r="HYN138" s="553"/>
      <c r="HYO138" s="8"/>
      <c r="HYP138" s="8"/>
      <c r="HYQ138" s="458"/>
      <c r="HYR138" s="8"/>
      <c r="HYS138" s="8"/>
      <c r="HYT138" s="547"/>
      <c r="HYU138" s="547"/>
      <c r="HYV138" s="547"/>
      <c r="HYW138" s="547"/>
      <c r="HYX138" s="548"/>
      <c r="HYY138" s="547"/>
      <c r="HYZ138" s="547"/>
      <c r="HZA138" s="547"/>
      <c r="HZB138" s="547"/>
      <c r="HZC138" s="548"/>
      <c r="HZD138" s="547"/>
      <c r="HZE138" s="547"/>
      <c r="HZF138" s="547"/>
      <c r="HZG138" s="547"/>
      <c r="HZH138" s="548"/>
      <c r="HZI138" s="547"/>
      <c r="HZJ138" s="547"/>
      <c r="HZK138" s="547"/>
      <c r="HZL138" s="552"/>
      <c r="HZM138" s="548"/>
      <c r="HZN138" s="552"/>
      <c r="HZO138" s="552"/>
      <c r="HZP138" s="552"/>
      <c r="HZQ138" s="552"/>
      <c r="HZR138" s="548"/>
      <c r="HZS138" s="553"/>
      <c r="HZT138" s="553"/>
      <c r="HZU138" s="553"/>
      <c r="HZV138" s="8"/>
      <c r="HZW138" s="8"/>
      <c r="HZX138" s="458"/>
      <c r="HZY138" s="8"/>
      <c r="HZZ138" s="8"/>
      <c r="IAA138" s="547"/>
      <c r="IAB138" s="547"/>
      <c r="IAC138" s="547"/>
      <c r="IAD138" s="547"/>
      <c r="IAE138" s="548"/>
      <c r="IAF138" s="547"/>
      <c r="IAG138" s="547"/>
      <c r="IAH138" s="547"/>
      <c r="IAI138" s="547"/>
      <c r="IAJ138" s="548"/>
      <c r="IAK138" s="547"/>
      <c r="IAL138" s="547"/>
      <c r="IAM138" s="547"/>
      <c r="IAN138" s="547"/>
      <c r="IAO138" s="548"/>
      <c r="IAP138" s="547"/>
      <c r="IAQ138" s="547"/>
      <c r="IAR138" s="547"/>
      <c r="IAS138" s="552"/>
      <c r="IAT138" s="548"/>
      <c r="IAU138" s="552"/>
      <c r="IAV138" s="552"/>
      <c r="IAW138" s="552"/>
      <c r="IAX138" s="552"/>
      <c r="IAY138" s="548"/>
      <c r="IAZ138" s="553"/>
      <c r="IBA138" s="553"/>
      <c r="IBB138" s="553"/>
      <c r="IBC138" s="8"/>
      <c r="IBD138" s="8"/>
      <c r="IBE138" s="458"/>
      <c r="IBF138" s="8"/>
      <c r="IBG138" s="8"/>
      <c r="IBH138" s="547"/>
      <c r="IBI138" s="547"/>
      <c r="IBJ138" s="547"/>
      <c r="IBK138" s="547"/>
      <c r="IBL138" s="548"/>
      <c r="IBM138" s="547"/>
      <c r="IBN138" s="547"/>
      <c r="IBO138" s="547"/>
      <c r="IBP138" s="547"/>
      <c r="IBQ138" s="548"/>
      <c r="IBR138" s="547"/>
      <c r="IBS138" s="547"/>
      <c r="IBT138" s="547"/>
      <c r="IBU138" s="547"/>
      <c r="IBV138" s="548"/>
      <c r="IBW138" s="547"/>
      <c r="IBX138" s="547"/>
      <c r="IBY138" s="547"/>
      <c r="IBZ138" s="552"/>
      <c r="ICA138" s="548"/>
      <c r="ICB138" s="552"/>
      <c r="ICC138" s="552"/>
      <c r="ICD138" s="552"/>
      <c r="ICE138" s="552"/>
      <c r="ICF138" s="548"/>
      <c r="ICG138" s="553"/>
      <c r="ICH138" s="553"/>
      <c r="ICI138" s="553"/>
      <c r="ICJ138" s="8"/>
      <c r="ICK138" s="8"/>
      <c r="ICL138" s="458"/>
      <c r="ICM138" s="8"/>
      <c r="ICN138" s="8"/>
      <c r="ICO138" s="547"/>
      <c r="ICP138" s="547"/>
      <c r="ICQ138" s="547"/>
      <c r="ICR138" s="547"/>
      <c r="ICS138" s="548"/>
      <c r="ICT138" s="547"/>
      <c r="ICU138" s="547"/>
      <c r="ICV138" s="547"/>
      <c r="ICW138" s="547"/>
      <c r="ICX138" s="548"/>
      <c r="ICY138" s="547"/>
      <c r="ICZ138" s="547"/>
      <c r="IDA138" s="547"/>
      <c r="IDB138" s="547"/>
      <c r="IDC138" s="548"/>
      <c r="IDD138" s="547"/>
      <c r="IDE138" s="547"/>
      <c r="IDF138" s="547"/>
      <c r="IDG138" s="552"/>
      <c r="IDH138" s="548"/>
      <c r="IDI138" s="552"/>
      <c r="IDJ138" s="552"/>
      <c r="IDK138" s="552"/>
      <c r="IDL138" s="552"/>
      <c r="IDM138" s="548"/>
      <c r="IDN138" s="553"/>
      <c r="IDO138" s="553"/>
      <c r="IDP138" s="553"/>
      <c r="IDQ138" s="8"/>
      <c r="IDR138" s="8"/>
      <c r="IDS138" s="458"/>
      <c r="IDT138" s="8"/>
      <c r="IDU138" s="8"/>
      <c r="IDV138" s="547"/>
      <c r="IDW138" s="547"/>
      <c r="IDX138" s="547"/>
      <c r="IDY138" s="547"/>
      <c r="IDZ138" s="548"/>
      <c r="IEA138" s="547"/>
      <c r="IEB138" s="547"/>
      <c r="IEC138" s="547"/>
      <c r="IED138" s="547"/>
      <c r="IEE138" s="548"/>
      <c r="IEF138" s="547"/>
      <c r="IEG138" s="547"/>
      <c r="IEH138" s="547"/>
      <c r="IEI138" s="547"/>
      <c r="IEJ138" s="548"/>
      <c r="IEK138" s="547"/>
      <c r="IEL138" s="547"/>
      <c r="IEM138" s="547"/>
      <c r="IEN138" s="552"/>
      <c r="IEO138" s="548"/>
      <c r="IEP138" s="552"/>
      <c r="IEQ138" s="552"/>
      <c r="IER138" s="552"/>
      <c r="IES138" s="552"/>
      <c r="IET138" s="548"/>
      <c r="IEU138" s="553"/>
      <c r="IEV138" s="553"/>
      <c r="IEW138" s="553"/>
      <c r="IEX138" s="8"/>
      <c r="IEY138" s="8"/>
      <c r="IEZ138" s="458"/>
      <c r="IFA138" s="8"/>
      <c r="IFB138" s="8"/>
      <c r="IFC138" s="547"/>
      <c r="IFD138" s="547"/>
      <c r="IFE138" s="547"/>
      <c r="IFF138" s="547"/>
      <c r="IFG138" s="548"/>
      <c r="IFH138" s="547"/>
      <c r="IFI138" s="547"/>
      <c r="IFJ138" s="547"/>
      <c r="IFK138" s="547"/>
      <c r="IFL138" s="548"/>
      <c r="IFM138" s="547"/>
      <c r="IFN138" s="547"/>
      <c r="IFO138" s="547"/>
      <c r="IFP138" s="547"/>
      <c r="IFQ138" s="548"/>
      <c r="IFR138" s="547"/>
      <c r="IFS138" s="547"/>
      <c r="IFT138" s="547"/>
      <c r="IFU138" s="552"/>
      <c r="IFV138" s="548"/>
      <c r="IFW138" s="552"/>
      <c r="IFX138" s="552"/>
      <c r="IFY138" s="552"/>
      <c r="IFZ138" s="552"/>
      <c r="IGA138" s="548"/>
      <c r="IGB138" s="553"/>
      <c r="IGC138" s="553"/>
      <c r="IGD138" s="553"/>
      <c r="IGE138" s="8"/>
      <c r="IGF138" s="8"/>
      <c r="IGG138" s="458"/>
      <c r="IGH138" s="8"/>
      <c r="IGI138" s="8"/>
      <c r="IGJ138" s="547"/>
      <c r="IGK138" s="547"/>
      <c r="IGL138" s="547"/>
      <c r="IGM138" s="547"/>
      <c r="IGN138" s="548"/>
      <c r="IGO138" s="547"/>
      <c r="IGP138" s="547"/>
      <c r="IGQ138" s="547"/>
      <c r="IGR138" s="547"/>
      <c r="IGS138" s="548"/>
      <c r="IGT138" s="547"/>
      <c r="IGU138" s="547"/>
      <c r="IGV138" s="547"/>
      <c r="IGW138" s="547"/>
      <c r="IGX138" s="548"/>
      <c r="IGY138" s="547"/>
      <c r="IGZ138" s="547"/>
      <c r="IHA138" s="547"/>
      <c r="IHB138" s="552"/>
      <c r="IHC138" s="548"/>
      <c r="IHD138" s="552"/>
      <c r="IHE138" s="552"/>
      <c r="IHF138" s="552"/>
      <c r="IHG138" s="552"/>
      <c r="IHH138" s="548"/>
      <c r="IHI138" s="553"/>
      <c r="IHJ138" s="553"/>
      <c r="IHK138" s="553"/>
      <c r="IHL138" s="8"/>
      <c r="IHM138" s="8"/>
      <c r="IHN138" s="458"/>
      <c r="IHO138" s="8"/>
      <c r="IHP138" s="8"/>
      <c r="IHQ138" s="547"/>
      <c r="IHR138" s="547"/>
      <c r="IHS138" s="547"/>
      <c r="IHT138" s="547"/>
      <c r="IHU138" s="548"/>
      <c r="IHV138" s="547"/>
      <c r="IHW138" s="547"/>
      <c r="IHX138" s="547"/>
      <c r="IHY138" s="547"/>
      <c r="IHZ138" s="548"/>
      <c r="IIA138" s="547"/>
      <c r="IIB138" s="547"/>
      <c r="IIC138" s="547"/>
      <c r="IID138" s="547"/>
      <c r="IIE138" s="548"/>
      <c r="IIF138" s="547"/>
      <c r="IIG138" s="547"/>
      <c r="IIH138" s="547"/>
      <c r="III138" s="552"/>
      <c r="IIJ138" s="548"/>
      <c r="IIK138" s="552"/>
      <c r="IIL138" s="552"/>
      <c r="IIM138" s="552"/>
      <c r="IIN138" s="552"/>
      <c r="IIO138" s="548"/>
      <c r="IIP138" s="553"/>
      <c r="IIQ138" s="553"/>
      <c r="IIR138" s="553"/>
      <c r="IIS138" s="8"/>
      <c r="IIT138" s="8"/>
      <c r="IIU138" s="458"/>
      <c r="IIV138" s="8"/>
      <c r="IIW138" s="8"/>
      <c r="IIX138" s="547"/>
      <c r="IIY138" s="547"/>
      <c r="IIZ138" s="547"/>
      <c r="IJA138" s="547"/>
      <c r="IJB138" s="548"/>
      <c r="IJC138" s="547"/>
      <c r="IJD138" s="547"/>
      <c r="IJE138" s="547"/>
      <c r="IJF138" s="547"/>
      <c r="IJG138" s="548"/>
      <c r="IJH138" s="547"/>
      <c r="IJI138" s="547"/>
      <c r="IJJ138" s="547"/>
      <c r="IJK138" s="547"/>
      <c r="IJL138" s="548"/>
      <c r="IJM138" s="547"/>
      <c r="IJN138" s="547"/>
      <c r="IJO138" s="547"/>
      <c r="IJP138" s="552"/>
      <c r="IJQ138" s="548"/>
      <c r="IJR138" s="552"/>
      <c r="IJS138" s="552"/>
      <c r="IJT138" s="552"/>
      <c r="IJU138" s="552"/>
      <c r="IJV138" s="548"/>
      <c r="IJW138" s="553"/>
      <c r="IJX138" s="553"/>
      <c r="IJY138" s="553"/>
      <c r="IJZ138" s="8"/>
      <c r="IKA138" s="8"/>
      <c r="IKB138" s="458"/>
      <c r="IKC138" s="8"/>
      <c r="IKD138" s="8"/>
      <c r="IKE138" s="547"/>
      <c r="IKF138" s="547"/>
      <c r="IKG138" s="547"/>
      <c r="IKH138" s="547"/>
      <c r="IKI138" s="548"/>
      <c r="IKJ138" s="547"/>
      <c r="IKK138" s="547"/>
      <c r="IKL138" s="547"/>
      <c r="IKM138" s="547"/>
      <c r="IKN138" s="548"/>
      <c r="IKO138" s="547"/>
      <c r="IKP138" s="547"/>
      <c r="IKQ138" s="547"/>
      <c r="IKR138" s="547"/>
      <c r="IKS138" s="548"/>
      <c r="IKT138" s="547"/>
      <c r="IKU138" s="547"/>
      <c r="IKV138" s="547"/>
      <c r="IKW138" s="552"/>
      <c r="IKX138" s="548"/>
      <c r="IKY138" s="552"/>
      <c r="IKZ138" s="552"/>
      <c r="ILA138" s="552"/>
      <c r="ILB138" s="552"/>
      <c r="ILC138" s="548"/>
      <c r="ILD138" s="553"/>
      <c r="ILE138" s="553"/>
      <c r="ILF138" s="553"/>
      <c r="ILG138" s="8"/>
      <c r="ILH138" s="8"/>
      <c r="ILI138" s="458"/>
      <c r="ILJ138" s="8"/>
      <c r="ILK138" s="8"/>
      <c r="ILL138" s="547"/>
      <c r="ILM138" s="547"/>
      <c r="ILN138" s="547"/>
      <c r="ILO138" s="547"/>
      <c r="ILP138" s="548"/>
      <c r="ILQ138" s="547"/>
      <c r="ILR138" s="547"/>
      <c r="ILS138" s="547"/>
      <c r="ILT138" s="547"/>
      <c r="ILU138" s="548"/>
      <c r="ILV138" s="547"/>
      <c r="ILW138" s="547"/>
      <c r="ILX138" s="547"/>
      <c r="ILY138" s="547"/>
      <c r="ILZ138" s="548"/>
      <c r="IMA138" s="547"/>
      <c r="IMB138" s="547"/>
      <c r="IMC138" s="547"/>
      <c r="IMD138" s="552"/>
      <c r="IME138" s="548"/>
      <c r="IMF138" s="552"/>
      <c r="IMG138" s="552"/>
      <c r="IMH138" s="552"/>
      <c r="IMI138" s="552"/>
      <c r="IMJ138" s="548"/>
      <c r="IMK138" s="553"/>
      <c r="IML138" s="553"/>
      <c r="IMM138" s="553"/>
      <c r="IMN138" s="8"/>
      <c r="IMO138" s="8"/>
      <c r="IMP138" s="458"/>
      <c r="IMQ138" s="8"/>
      <c r="IMR138" s="8"/>
      <c r="IMS138" s="547"/>
      <c r="IMT138" s="547"/>
      <c r="IMU138" s="547"/>
      <c r="IMV138" s="547"/>
      <c r="IMW138" s="548"/>
      <c r="IMX138" s="547"/>
      <c r="IMY138" s="547"/>
      <c r="IMZ138" s="547"/>
      <c r="INA138" s="547"/>
      <c r="INB138" s="548"/>
      <c r="INC138" s="547"/>
      <c r="IND138" s="547"/>
      <c r="INE138" s="547"/>
      <c r="INF138" s="547"/>
      <c r="ING138" s="548"/>
      <c r="INH138" s="547"/>
      <c r="INI138" s="547"/>
      <c r="INJ138" s="547"/>
      <c r="INK138" s="552"/>
      <c r="INL138" s="548"/>
      <c r="INM138" s="552"/>
      <c r="INN138" s="552"/>
      <c r="INO138" s="552"/>
      <c r="INP138" s="552"/>
      <c r="INQ138" s="548"/>
      <c r="INR138" s="553"/>
      <c r="INS138" s="553"/>
      <c r="INT138" s="553"/>
      <c r="INU138" s="8"/>
      <c r="INV138" s="8"/>
      <c r="INW138" s="458"/>
      <c r="INX138" s="8"/>
      <c r="INY138" s="8"/>
      <c r="INZ138" s="547"/>
      <c r="IOA138" s="547"/>
      <c r="IOB138" s="547"/>
      <c r="IOC138" s="547"/>
      <c r="IOD138" s="548"/>
      <c r="IOE138" s="547"/>
      <c r="IOF138" s="547"/>
      <c r="IOG138" s="547"/>
      <c r="IOH138" s="547"/>
      <c r="IOI138" s="548"/>
      <c r="IOJ138" s="547"/>
      <c r="IOK138" s="547"/>
      <c r="IOL138" s="547"/>
      <c r="IOM138" s="547"/>
      <c r="ION138" s="548"/>
      <c r="IOO138" s="547"/>
      <c r="IOP138" s="547"/>
      <c r="IOQ138" s="547"/>
      <c r="IOR138" s="552"/>
      <c r="IOS138" s="548"/>
      <c r="IOT138" s="552"/>
      <c r="IOU138" s="552"/>
      <c r="IOV138" s="552"/>
      <c r="IOW138" s="552"/>
      <c r="IOX138" s="548"/>
      <c r="IOY138" s="553"/>
      <c r="IOZ138" s="553"/>
      <c r="IPA138" s="553"/>
      <c r="IPB138" s="8"/>
      <c r="IPC138" s="8"/>
      <c r="IPD138" s="458"/>
      <c r="IPE138" s="8"/>
      <c r="IPF138" s="8"/>
      <c r="IPG138" s="547"/>
      <c r="IPH138" s="547"/>
      <c r="IPI138" s="547"/>
      <c r="IPJ138" s="547"/>
      <c r="IPK138" s="548"/>
      <c r="IPL138" s="547"/>
      <c r="IPM138" s="547"/>
      <c r="IPN138" s="547"/>
      <c r="IPO138" s="547"/>
      <c r="IPP138" s="548"/>
      <c r="IPQ138" s="547"/>
      <c r="IPR138" s="547"/>
      <c r="IPS138" s="547"/>
      <c r="IPT138" s="547"/>
      <c r="IPU138" s="548"/>
      <c r="IPV138" s="547"/>
      <c r="IPW138" s="547"/>
      <c r="IPX138" s="547"/>
      <c r="IPY138" s="552"/>
      <c r="IPZ138" s="548"/>
      <c r="IQA138" s="552"/>
      <c r="IQB138" s="552"/>
      <c r="IQC138" s="552"/>
      <c r="IQD138" s="552"/>
      <c r="IQE138" s="548"/>
      <c r="IQF138" s="553"/>
      <c r="IQG138" s="553"/>
      <c r="IQH138" s="553"/>
      <c r="IQI138" s="8"/>
      <c r="IQJ138" s="8"/>
      <c r="IQK138" s="458"/>
      <c r="IQL138" s="8"/>
      <c r="IQM138" s="8"/>
      <c r="IQN138" s="547"/>
      <c r="IQO138" s="547"/>
      <c r="IQP138" s="547"/>
      <c r="IQQ138" s="547"/>
      <c r="IQR138" s="548"/>
      <c r="IQS138" s="547"/>
      <c r="IQT138" s="547"/>
      <c r="IQU138" s="547"/>
      <c r="IQV138" s="547"/>
      <c r="IQW138" s="548"/>
      <c r="IQX138" s="547"/>
      <c r="IQY138" s="547"/>
      <c r="IQZ138" s="547"/>
      <c r="IRA138" s="547"/>
      <c r="IRB138" s="548"/>
      <c r="IRC138" s="547"/>
      <c r="IRD138" s="547"/>
      <c r="IRE138" s="547"/>
      <c r="IRF138" s="552"/>
      <c r="IRG138" s="548"/>
      <c r="IRH138" s="552"/>
      <c r="IRI138" s="552"/>
      <c r="IRJ138" s="552"/>
      <c r="IRK138" s="552"/>
      <c r="IRL138" s="548"/>
      <c r="IRM138" s="553"/>
      <c r="IRN138" s="553"/>
      <c r="IRO138" s="553"/>
      <c r="IRP138" s="8"/>
      <c r="IRQ138" s="8"/>
      <c r="IRR138" s="458"/>
      <c r="IRS138" s="8"/>
      <c r="IRT138" s="8"/>
      <c r="IRU138" s="547"/>
      <c r="IRV138" s="547"/>
      <c r="IRW138" s="547"/>
      <c r="IRX138" s="547"/>
      <c r="IRY138" s="548"/>
      <c r="IRZ138" s="547"/>
      <c r="ISA138" s="547"/>
      <c r="ISB138" s="547"/>
      <c r="ISC138" s="547"/>
      <c r="ISD138" s="548"/>
      <c r="ISE138" s="547"/>
      <c r="ISF138" s="547"/>
      <c r="ISG138" s="547"/>
      <c r="ISH138" s="547"/>
      <c r="ISI138" s="548"/>
      <c r="ISJ138" s="547"/>
      <c r="ISK138" s="547"/>
      <c r="ISL138" s="547"/>
      <c r="ISM138" s="552"/>
      <c r="ISN138" s="548"/>
      <c r="ISO138" s="552"/>
      <c r="ISP138" s="552"/>
      <c r="ISQ138" s="552"/>
      <c r="ISR138" s="552"/>
      <c r="ISS138" s="548"/>
      <c r="IST138" s="553"/>
      <c r="ISU138" s="553"/>
      <c r="ISV138" s="553"/>
      <c r="ISW138" s="8"/>
      <c r="ISX138" s="8"/>
      <c r="ISY138" s="458"/>
      <c r="ISZ138" s="8"/>
      <c r="ITA138" s="8"/>
      <c r="ITB138" s="547"/>
      <c r="ITC138" s="547"/>
      <c r="ITD138" s="547"/>
      <c r="ITE138" s="547"/>
      <c r="ITF138" s="548"/>
      <c r="ITG138" s="547"/>
      <c r="ITH138" s="547"/>
      <c r="ITI138" s="547"/>
      <c r="ITJ138" s="547"/>
      <c r="ITK138" s="548"/>
      <c r="ITL138" s="547"/>
      <c r="ITM138" s="547"/>
      <c r="ITN138" s="547"/>
      <c r="ITO138" s="547"/>
      <c r="ITP138" s="548"/>
      <c r="ITQ138" s="547"/>
      <c r="ITR138" s="547"/>
      <c r="ITS138" s="547"/>
      <c r="ITT138" s="552"/>
      <c r="ITU138" s="548"/>
      <c r="ITV138" s="552"/>
      <c r="ITW138" s="552"/>
      <c r="ITX138" s="552"/>
      <c r="ITY138" s="552"/>
      <c r="ITZ138" s="548"/>
      <c r="IUA138" s="553"/>
      <c r="IUB138" s="553"/>
      <c r="IUC138" s="553"/>
      <c r="IUD138" s="8"/>
      <c r="IUE138" s="8"/>
      <c r="IUF138" s="458"/>
      <c r="IUG138" s="8"/>
      <c r="IUH138" s="8"/>
      <c r="IUI138" s="547"/>
      <c r="IUJ138" s="547"/>
      <c r="IUK138" s="547"/>
      <c r="IUL138" s="547"/>
      <c r="IUM138" s="548"/>
      <c r="IUN138" s="547"/>
      <c r="IUO138" s="547"/>
      <c r="IUP138" s="547"/>
      <c r="IUQ138" s="547"/>
      <c r="IUR138" s="548"/>
      <c r="IUS138" s="547"/>
      <c r="IUT138" s="547"/>
      <c r="IUU138" s="547"/>
      <c r="IUV138" s="547"/>
      <c r="IUW138" s="548"/>
      <c r="IUX138" s="547"/>
      <c r="IUY138" s="547"/>
      <c r="IUZ138" s="547"/>
      <c r="IVA138" s="552"/>
      <c r="IVB138" s="548"/>
      <c r="IVC138" s="552"/>
      <c r="IVD138" s="552"/>
      <c r="IVE138" s="552"/>
      <c r="IVF138" s="552"/>
      <c r="IVG138" s="548"/>
      <c r="IVH138" s="553"/>
      <c r="IVI138" s="553"/>
      <c r="IVJ138" s="553"/>
      <c r="IVK138" s="8"/>
      <c r="IVL138" s="8"/>
      <c r="IVM138" s="458"/>
      <c r="IVN138" s="8"/>
      <c r="IVO138" s="8"/>
      <c r="IVP138" s="547"/>
      <c r="IVQ138" s="547"/>
      <c r="IVR138" s="547"/>
      <c r="IVS138" s="547"/>
      <c r="IVT138" s="548"/>
      <c r="IVU138" s="547"/>
      <c r="IVV138" s="547"/>
      <c r="IVW138" s="547"/>
      <c r="IVX138" s="547"/>
      <c r="IVY138" s="548"/>
      <c r="IVZ138" s="547"/>
      <c r="IWA138" s="547"/>
      <c r="IWB138" s="547"/>
      <c r="IWC138" s="547"/>
      <c r="IWD138" s="548"/>
      <c r="IWE138" s="547"/>
      <c r="IWF138" s="547"/>
      <c r="IWG138" s="547"/>
      <c r="IWH138" s="552"/>
      <c r="IWI138" s="548"/>
      <c r="IWJ138" s="552"/>
      <c r="IWK138" s="552"/>
      <c r="IWL138" s="552"/>
      <c r="IWM138" s="552"/>
      <c r="IWN138" s="548"/>
      <c r="IWO138" s="553"/>
      <c r="IWP138" s="553"/>
      <c r="IWQ138" s="553"/>
      <c r="IWR138" s="8"/>
      <c r="IWS138" s="8"/>
      <c r="IWT138" s="458"/>
      <c r="IWU138" s="8"/>
      <c r="IWV138" s="8"/>
      <c r="IWW138" s="547"/>
      <c r="IWX138" s="547"/>
      <c r="IWY138" s="547"/>
      <c r="IWZ138" s="547"/>
      <c r="IXA138" s="548"/>
      <c r="IXB138" s="547"/>
      <c r="IXC138" s="547"/>
      <c r="IXD138" s="547"/>
      <c r="IXE138" s="547"/>
      <c r="IXF138" s="548"/>
      <c r="IXG138" s="547"/>
      <c r="IXH138" s="547"/>
      <c r="IXI138" s="547"/>
      <c r="IXJ138" s="547"/>
      <c r="IXK138" s="548"/>
      <c r="IXL138" s="547"/>
      <c r="IXM138" s="547"/>
      <c r="IXN138" s="547"/>
      <c r="IXO138" s="552"/>
      <c r="IXP138" s="548"/>
      <c r="IXQ138" s="552"/>
      <c r="IXR138" s="552"/>
      <c r="IXS138" s="552"/>
      <c r="IXT138" s="552"/>
      <c r="IXU138" s="548"/>
      <c r="IXV138" s="553"/>
      <c r="IXW138" s="553"/>
      <c r="IXX138" s="553"/>
      <c r="IXY138" s="8"/>
      <c r="IXZ138" s="8"/>
      <c r="IYA138" s="458"/>
      <c r="IYB138" s="8"/>
      <c r="IYC138" s="8"/>
      <c r="IYD138" s="547"/>
      <c r="IYE138" s="547"/>
      <c r="IYF138" s="547"/>
      <c r="IYG138" s="547"/>
      <c r="IYH138" s="548"/>
      <c r="IYI138" s="547"/>
      <c r="IYJ138" s="547"/>
      <c r="IYK138" s="547"/>
      <c r="IYL138" s="547"/>
      <c r="IYM138" s="548"/>
      <c r="IYN138" s="547"/>
      <c r="IYO138" s="547"/>
      <c r="IYP138" s="547"/>
      <c r="IYQ138" s="547"/>
      <c r="IYR138" s="548"/>
      <c r="IYS138" s="547"/>
      <c r="IYT138" s="547"/>
      <c r="IYU138" s="547"/>
      <c r="IYV138" s="552"/>
      <c r="IYW138" s="548"/>
      <c r="IYX138" s="552"/>
      <c r="IYY138" s="552"/>
      <c r="IYZ138" s="552"/>
      <c r="IZA138" s="552"/>
      <c r="IZB138" s="548"/>
      <c r="IZC138" s="553"/>
      <c r="IZD138" s="553"/>
      <c r="IZE138" s="553"/>
      <c r="IZF138" s="8"/>
      <c r="IZG138" s="8"/>
      <c r="IZH138" s="458"/>
      <c r="IZI138" s="8"/>
      <c r="IZJ138" s="8"/>
      <c r="IZK138" s="547"/>
      <c r="IZL138" s="547"/>
      <c r="IZM138" s="547"/>
      <c r="IZN138" s="547"/>
      <c r="IZO138" s="548"/>
      <c r="IZP138" s="547"/>
      <c r="IZQ138" s="547"/>
      <c r="IZR138" s="547"/>
      <c r="IZS138" s="547"/>
      <c r="IZT138" s="548"/>
      <c r="IZU138" s="547"/>
      <c r="IZV138" s="547"/>
      <c r="IZW138" s="547"/>
      <c r="IZX138" s="547"/>
      <c r="IZY138" s="548"/>
      <c r="IZZ138" s="547"/>
      <c r="JAA138" s="547"/>
      <c r="JAB138" s="547"/>
      <c r="JAC138" s="552"/>
      <c r="JAD138" s="548"/>
      <c r="JAE138" s="552"/>
      <c r="JAF138" s="552"/>
      <c r="JAG138" s="552"/>
      <c r="JAH138" s="552"/>
      <c r="JAI138" s="548"/>
      <c r="JAJ138" s="553"/>
      <c r="JAK138" s="553"/>
      <c r="JAL138" s="553"/>
      <c r="JAM138" s="8"/>
      <c r="JAN138" s="8"/>
      <c r="JAO138" s="458"/>
      <c r="JAP138" s="8"/>
      <c r="JAQ138" s="8"/>
      <c r="JAR138" s="547"/>
      <c r="JAS138" s="547"/>
      <c r="JAT138" s="547"/>
      <c r="JAU138" s="547"/>
      <c r="JAV138" s="548"/>
      <c r="JAW138" s="547"/>
      <c r="JAX138" s="547"/>
      <c r="JAY138" s="547"/>
      <c r="JAZ138" s="547"/>
      <c r="JBA138" s="548"/>
      <c r="JBB138" s="547"/>
      <c r="JBC138" s="547"/>
      <c r="JBD138" s="547"/>
      <c r="JBE138" s="547"/>
      <c r="JBF138" s="548"/>
      <c r="JBG138" s="547"/>
      <c r="JBH138" s="547"/>
      <c r="JBI138" s="547"/>
      <c r="JBJ138" s="552"/>
      <c r="JBK138" s="548"/>
      <c r="JBL138" s="552"/>
      <c r="JBM138" s="552"/>
      <c r="JBN138" s="552"/>
      <c r="JBO138" s="552"/>
      <c r="JBP138" s="548"/>
      <c r="JBQ138" s="553"/>
      <c r="JBR138" s="553"/>
      <c r="JBS138" s="553"/>
      <c r="JBT138" s="8"/>
      <c r="JBU138" s="8"/>
      <c r="JBV138" s="458"/>
      <c r="JBW138" s="8"/>
      <c r="JBX138" s="8"/>
      <c r="JBY138" s="547"/>
      <c r="JBZ138" s="547"/>
      <c r="JCA138" s="547"/>
      <c r="JCB138" s="547"/>
      <c r="JCC138" s="548"/>
      <c r="JCD138" s="547"/>
      <c r="JCE138" s="547"/>
      <c r="JCF138" s="547"/>
      <c r="JCG138" s="547"/>
      <c r="JCH138" s="548"/>
      <c r="JCI138" s="547"/>
      <c r="JCJ138" s="547"/>
      <c r="JCK138" s="547"/>
      <c r="JCL138" s="547"/>
      <c r="JCM138" s="548"/>
      <c r="JCN138" s="547"/>
      <c r="JCO138" s="547"/>
      <c r="JCP138" s="547"/>
      <c r="JCQ138" s="552"/>
      <c r="JCR138" s="548"/>
      <c r="JCS138" s="552"/>
      <c r="JCT138" s="552"/>
      <c r="JCU138" s="552"/>
      <c r="JCV138" s="552"/>
      <c r="JCW138" s="548"/>
      <c r="JCX138" s="553"/>
      <c r="JCY138" s="553"/>
      <c r="JCZ138" s="553"/>
      <c r="JDA138" s="8"/>
      <c r="JDB138" s="8"/>
      <c r="JDC138" s="458"/>
      <c r="JDD138" s="8"/>
      <c r="JDE138" s="8"/>
      <c r="JDF138" s="547"/>
      <c r="JDG138" s="547"/>
      <c r="JDH138" s="547"/>
      <c r="JDI138" s="547"/>
      <c r="JDJ138" s="548"/>
      <c r="JDK138" s="547"/>
      <c r="JDL138" s="547"/>
      <c r="JDM138" s="547"/>
      <c r="JDN138" s="547"/>
      <c r="JDO138" s="548"/>
      <c r="JDP138" s="547"/>
      <c r="JDQ138" s="547"/>
      <c r="JDR138" s="547"/>
      <c r="JDS138" s="547"/>
      <c r="JDT138" s="548"/>
      <c r="JDU138" s="547"/>
      <c r="JDV138" s="547"/>
      <c r="JDW138" s="547"/>
      <c r="JDX138" s="552"/>
      <c r="JDY138" s="548"/>
      <c r="JDZ138" s="552"/>
      <c r="JEA138" s="552"/>
      <c r="JEB138" s="552"/>
      <c r="JEC138" s="552"/>
      <c r="JED138" s="548"/>
      <c r="JEE138" s="553"/>
      <c r="JEF138" s="553"/>
      <c r="JEG138" s="553"/>
      <c r="JEH138" s="8"/>
      <c r="JEI138" s="8"/>
      <c r="JEJ138" s="458"/>
      <c r="JEK138" s="8"/>
      <c r="JEL138" s="8"/>
      <c r="JEM138" s="547"/>
      <c r="JEN138" s="547"/>
      <c r="JEO138" s="547"/>
      <c r="JEP138" s="547"/>
      <c r="JEQ138" s="548"/>
      <c r="JER138" s="547"/>
      <c r="JES138" s="547"/>
      <c r="JET138" s="547"/>
      <c r="JEU138" s="547"/>
      <c r="JEV138" s="548"/>
      <c r="JEW138" s="547"/>
      <c r="JEX138" s="547"/>
      <c r="JEY138" s="547"/>
      <c r="JEZ138" s="547"/>
      <c r="JFA138" s="548"/>
      <c r="JFB138" s="547"/>
      <c r="JFC138" s="547"/>
      <c r="JFD138" s="547"/>
      <c r="JFE138" s="552"/>
      <c r="JFF138" s="548"/>
      <c r="JFG138" s="552"/>
      <c r="JFH138" s="552"/>
      <c r="JFI138" s="552"/>
      <c r="JFJ138" s="552"/>
      <c r="JFK138" s="548"/>
      <c r="JFL138" s="553"/>
      <c r="JFM138" s="553"/>
      <c r="JFN138" s="553"/>
      <c r="JFO138" s="8"/>
      <c r="JFP138" s="8"/>
      <c r="JFQ138" s="458"/>
      <c r="JFR138" s="8"/>
      <c r="JFS138" s="8"/>
      <c r="JFT138" s="547"/>
      <c r="JFU138" s="547"/>
      <c r="JFV138" s="547"/>
      <c r="JFW138" s="547"/>
      <c r="JFX138" s="548"/>
      <c r="JFY138" s="547"/>
      <c r="JFZ138" s="547"/>
      <c r="JGA138" s="547"/>
      <c r="JGB138" s="547"/>
      <c r="JGC138" s="548"/>
      <c r="JGD138" s="547"/>
      <c r="JGE138" s="547"/>
      <c r="JGF138" s="547"/>
      <c r="JGG138" s="547"/>
      <c r="JGH138" s="548"/>
      <c r="JGI138" s="547"/>
      <c r="JGJ138" s="547"/>
      <c r="JGK138" s="547"/>
      <c r="JGL138" s="552"/>
      <c r="JGM138" s="548"/>
      <c r="JGN138" s="552"/>
      <c r="JGO138" s="552"/>
      <c r="JGP138" s="552"/>
      <c r="JGQ138" s="552"/>
      <c r="JGR138" s="548"/>
      <c r="JGS138" s="553"/>
      <c r="JGT138" s="553"/>
      <c r="JGU138" s="553"/>
      <c r="JGV138" s="8"/>
      <c r="JGW138" s="8"/>
      <c r="JGX138" s="458"/>
      <c r="JGY138" s="8"/>
      <c r="JGZ138" s="8"/>
      <c r="JHA138" s="547"/>
      <c r="JHB138" s="547"/>
      <c r="JHC138" s="547"/>
      <c r="JHD138" s="547"/>
      <c r="JHE138" s="548"/>
      <c r="JHF138" s="547"/>
      <c r="JHG138" s="547"/>
      <c r="JHH138" s="547"/>
      <c r="JHI138" s="547"/>
      <c r="JHJ138" s="548"/>
      <c r="JHK138" s="547"/>
      <c r="JHL138" s="547"/>
      <c r="JHM138" s="547"/>
      <c r="JHN138" s="547"/>
      <c r="JHO138" s="548"/>
      <c r="JHP138" s="547"/>
      <c r="JHQ138" s="547"/>
      <c r="JHR138" s="547"/>
      <c r="JHS138" s="552"/>
      <c r="JHT138" s="548"/>
      <c r="JHU138" s="552"/>
      <c r="JHV138" s="552"/>
      <c r="JHW138" s="552"/>
      <c r="JHX138" s="552"/>
      <c r="JHY138" s="548"/>
      <c r="JHZ138" s="553"/>
      <c r="JIA138" s="553"/>
      <c r="JIB138" s="553"/>
      <c r="JIC138" s="8"/>
      <c r="JID138" s="8"/>
      <c r="JIE138" s="458"/>
      <c r="JIF138" s="8"/>
      <c r="JIG138" s="8"/>
      <c r="JIH138" s="547"/>
      <c r="JII138" s="547"/>
      <c r="JIJ138" s="547"/>
      <c r="JIK138" s="547"/>
      <c r="JIL138" s="548"/>
      <c r="JIM138" s="547"/>
      <c r="JIN138" s="547"/>
      <c r="JIO138" s="547"/>
      <c r="JIP138" s="547"/>
      <c r="JIQ138" s="548"/>
      <c r="JIR138" s="547"/>
      <c r="JIS138" s="547"/>
      <c r="JIT138" s="547"/>
      <c r="JIU138" s="547"/>
      <c r="JIV138" s="548"/>
      <c r="JIW138" s="547"/>
      <c r="JIX138" s="547"/>
      <c r="JIY138" s="547"/>
      <c r="JIZ138" s="552"/>
      <c r="JJA138" s="548"/>
      <c r="JJB138" s="552"/>
      <c r="JJC138" s="552"/>
      <c r="JJD138" s="552"/>
      <c r="JJE138" s="552"/>
      <c r="JJF138" s="548"/>
      <c r="JJG138" s="553"/>
      <c r="JJH138" s="553"/>
      <c r="JJI138" s="553"/>
      <c r="JJJ138" s="8"/>
      <c r="JJK138" s="8"/>
      <c r="JJL138" s="458"/>
      <c r="JJM138" s="8"/>
      <c r="JJN138" s="8"/>
      <c r="JJO138" s="547"/>
      <c r="JJP138" s="547"/>
      <c r="JJQ138" s="547"/>
      <c r="JJR138" s="547"/>
      <c r="JJS138" s="548"/>
      <c r="JJT138" s="547"/>
      <c r="JJU138" s="547"/>
      <c r="JJV138" s="547"/>
      <c r="JJW138" s="547"/>
      <c r="JJX138" s="548"/>
      <c r="JJY138" s="547"/>
      <c r="JJZ138" s="547"/>
      <c r="JKA138" s="547"/>
      <c r="JKB138" s="547"/>
      <c r="JKC138" s="548"/>
      <c r="JKD138" s="547"/>
      <c r="JKE138" s="547"/>
      <c r="JKF138" s="547"/>
      <c r="JKG138" s="552"/>
      <c r="JKH138" s="548"/>
      <c r="JKI138" s="552"/>
      <c r="JKJ138" s="552"/>
      <c r="JKK138" s="552"/>
      <c r="JKL138" s="552"/>
      <c r="JKM138" s="548"/>
      <c r="JKN138" s="553"/>
      <c r="JKO138" s="553"/>
      <c r="JKP138" s="553"/>
      <c r="JKQ138" s="8"/>
      <c r="JKR138" s="8"/>
      <c r="JKS138" s="458"/>
      <c r="JKT138" s="8"/>
      <c r="JKU138" s="8"/>
      <c r="JKV138" s="547"/>
      <c r="JKW138" s="547"/>
      <c r="JKX138" s="547"/>
      <c r="JKY138" s="547"/>
      <c r="JKZ138" s="548"/>
      <c r="JLA138" s="547"/>
      <c r="JLB138" s="547"/>
      <c r="JLC138" s="547"/>
      <c r="JLD138" s="547"/>
      <c r="JLE138" s="548"/>
      <c r="JLF138" s="547"/>
      <c r="JLG138" s="547"/>
      <c r="JLH138" s="547"/>
      <c r="JLI138" s="547"/>
      <c r="JLJ138" s="548"/>
      <c r="JLK138" s="547"/>
      <c r="JLL138" s="547"/>
      <c r="JLM138" s="547"/>
      <c r="JLN138" s="552"/>
      <c r="JLO138" s="548"/>
      <c r="JLP138" s="552"/>
      <c r="JLQ138" s="552"/>
      <c r="JLR138" s="552"/>
      <c r="JLS138" s="552"/>
      <c r="JLT138" s="548"/>
      <c r="JLU138" s="553"/>
      <c r="JLV138" s="553"/>
      <c r="JLW138" s="553"/>
      <c r="JLX138" s="8"/>
      <c r="JLY138" s="8"/>
      <c r="JLZ138" s="458"/>
      <c r="JMA138" s="8"/>
      <c r="JMB138" s="8"/>
      <c r="JMC138" s="547"/>
      <c r="JMD138" s="547"/>
      <c r="JME138" s="547"/>
      <c r="JMF138" s="547"/>
      <c r="JMG138" s="548"/>
      <c r="JMH138" s="547"/>
      <c r="JMI138" s="547"/>
      <c r="JMJ138" s="547"/>
      <c r="JMK138" s="547"/>
      <c r="JML138" s="548"/>
      <c r="JMM138" s="547"/>
      <c r="JMN138" s="547"/>
      <c r="JMO138" s="547"/>
      <c r="JMP138" s="547"/>
      <c r="JMQ138" s="548"/>
      <c r="JMR138" s="547"/>
      <c r="JMS138" s="547"/>
      <c r="JMT138" s="547"/>
      <c r="JMU138" s="552"/>
      <c r="JMV138" s="548"/>
      <c r="JMW138" s="552"/>
      <c r="JMX138" s="552"/>
      <c r="JMY138" s="552"/>
      <c r="JMZ138" s="552"/>
      <c r="JNA138" s="548"/>
      <c r="JNB138" s="553"/>
      <c r="JNC138" s="553"/>
      <c r="JND138" s="553"/>
      <c r="JNE138" s="8"/>
      <c r="JNF138" s="8"/>
      <c r="JNG138" s="458"/>
      <c r="JNH138" s="8"/>
      <c r="JNI138" s="8"/>
      <c r="JNJ138" s="547"/>
      <c r="JNK138" s="547"/>
      <c r="JNL138" s="547"/>
      <c r="JNM138" s="547"/>
      <c r="JNN138" s="548"/>
      <c r="JNO138" s="547"/>
      <c r="JNP138" s="547"/>
      <c r="JNQ138" s="547"/>
      <c r="JNR138" s="547"/>
      <c r="JNS138" s="548"/>
      <c r="JNT138" s="547"/>
      <c r="JNU138" s="547"/>
      <c r="JNV138" s="547"/>
      <c r="JNW138" s="547"/>
      <c r="JNX138" s="548"/>
      <c r="JNY138" s="547"/>
      <c r="JNZ138" s="547"/>
      <c r="JOA138" s="547"/>
      <c r="JOB138" s="552"/>
      <c r="JOC138" s="548"/>
      <c r="JOD138" s="552"/>
      <c r="JOE138" s="552"/>
      <c r="JOF138" s="552"/>
      <c r="JOG138" s="552"/>
      <c r="JOH138" s="548"/>
      <c r="JOI138" s="553"/>
      <c r="JOJ138" s="553"/>
      <c r="JOK138" s="553"/>
      <c r="JOL138" s="8"/>
      <c r="JOM138" s="8"/>
      <c r="JON138" s="458"/>
      <c r="JOO138" s="8"/>
      <c r="JOP138" s="8"/>
      <c r="JOQ138" s="547"/>
      <c r="JOR138" s="547"/>
      <c r="JOS138" s="547"/>
      <c r="JOT138" s="547"/>
      <c r="JOU138" s="548"/>
      <c r="JOV138" s="547"/>
      <c r="JOW138" s="547"/>
      <c r="JOX138" s="547"/>
      <c r="JOY138" s="547"/>
      <c r="JOZ138" s="548"/>
      <c r="JPA138" s="547"/>
      <c r="JPB138" s="547"/>
      <c r="JPC138" s="547"/>
      <c r="JPD138" s="547"/>
      <c r="JPE138" s="548"/>
      <c r="JPF138" s="547"/>
      <c r="JPG138" s="547"/>
      <c r="JPH138" s="547"/>
      <c r="JPI138" s="552"/>
      <c r="JPJ138" s="548"/>
      <c r="JPK138" s="552"/>
      <c r="JPL138" s="552"/>
      <c r="JPM138" s="552"/>
      <c r="JPN138" s="552"/>
      <c r="JPO138" s="548"/>
      <c r="JPP138" s="553"/>
      <c r="JPQ138" s="553"/>
      <c r="JPR138" s="553"/>
      <c r="JPS138" s="8"/>
      <c r="JPT138" s="8"/>
      <c r="JPU138" s="458"/>
      <c r="JPV138" s="8"/>
      <c r="JPW138" s="8"/>
      <c r="JPX138" s="547"/>
      <c r="JPY138" s="547"/>
      <c r="JPZ138" s="547"/>
      <c r="JQA138" s="547"/>
      <c r="JQB138" s="548"/>
      <c r="JQC138" s="547"/>
      <c r="JQD138" s="547"/>
      <c r="JQE138" s="547"/>
      <c r="JQF138" s="547"/>
      <c r="JQG138" s="548"/>
      <c r="JQH138" s="547"/>
      <c r="JQI138" s="547"/>
      <c r="JQJ138" s="547"/>
      <c r="JQK138" s="547"/>
      <c r="JQL138" s="548"/>
      <c r="JQM138" s="547"/>
      <c r="JQN138" s="547"/>
      <c r="JQO138" s="547"/>
      <c r="JQP138" s="552"/>
      <c r="JQQ138" s="548"/>
      <c r="JQR138" s="552"/>
      <c r="JQS138" s="552"/>
      <c r="JQT138" s="552"/>
      <c r="JQU138" s="552"/>
      <c r="JQV138" s="548"/>
      <c r="JQW138" s="553"/>
      <c r="JQX138" s="553"/>
      <c r="JQY138" s="553"/>
      <c r="JQZ138" s="8"/>
      <c r="JRA138" s="8"/>
      <c r="JRB138" s="458"/>
      <c r="JRC138" s="8"/>
      <c r="JRD138" s="8"/>
      <c r="JRE138" s="547"/>
      <c r="JRF138" s="547"/>
      <c r="JRG138" s="547"/>
      <c r="JRH138" s="547"/>
      <c r="JRI138" s="548"/>
      <c r="JRJ138" s="547"/>
      <c r="JRK138" s="547"/>
      <c r="JRL138" s="547"/>
      <c r="JRM138" s="547"/>
      <c r="JRN138" s="548"/>
      <c r="JRO138" s="547"/>
      <c r="JRP138" s="547"/>
      <c r="JRQ138" s="547"/>
      <c r="JRR138" s="547"/>
      <c r="JRS138" s="548"/>
      <c r="JRT138" s="547"/>
      <c r="JRU138" s="547"/>
      <c r="JRV138" s="547"/>
      <c r="JRW138" s="552"/>
      <c r="JRX138" s="548"/>
      <c r="JRY138" s="552"/>
      <c r="JRZ138" s="552"/>
      <c r="JSA138" s="552"/>
      <c r="JSB138" s="552"/>
      <c r="JSC138" s="548"/>
      <c r="JSD138" s="553"/>
      <c r="JSE138" s="553"/>
      <c r="JSF138" s="553"/>
      <c r="JSG138" s="8"/>
      <c r="JSH138" s="8"/>
      <c r="JSI138" s="458"/>
      <c r="JSJ138" s="8"/>
      <c r="JSK138" s="8"/>
      <c r="JSL138" s="547"/>
      <c r="JSM138" s="547"/>
      <c r="JSN138" s="547"/>
      <c r="JSO138" s="547"/>
      <c r="JSP138" s="548"/>
      <c r="JSQ138" s="547"/>
      <c r="JSR138" s="547"/>
      <c r="JSS138" s="547"/>
      <c r="JST138" s="547"/>
      <c r="JSU138" s="548"/>
      <c r="JSV138" s="547"/>
      <c r="JSW138" s="547"/>
      <c r="JSX138" s="547"/>
      <c r="JSY138" s="547"/>
      <c r="JSZ138" s="548"/>
      <c r="JTA138" s="547"/>
      <c r="JTB138" s="547"/>
      <c r="JTC138" s="547"/>
      <c r="JTD138" s="552"/>
      <c r="JTE138" s="548"/>
      <c r="JTF138" s="552"/>
      <c r="JTG138" s="552"/>
      <c r="JTH138" s="552"/>
      <c r="JTI138" s="552"/>
      <c r="JTJ138" s="548"/>
      <c r="JTK138" s="553"/>
      <c r="JTL138" s="553"/>
      <c r="JTM138" s="553"/>
      <c r="JTN138" s="8"/>
      <c r="JTO138" s="8"/>
      <c r="JTP138" s="458"/>
      <c r="JTQ138" s="8"/>
      <c r="JTR138" s="8"/>
      <c r="JTS138" s="547"/>
      <c r="JTT138" s="547"/>
      <c r="JTU138" s="547"/>
      <c r="JTV138" s="547"/>
      <c r="JTW138" s="548"/>
      <c r="JTX138" s="547"/>
      <c r="JTY138" s="547"/>
      <c r="JTZ138" s="547"/>
      <c r="JUA138" s="547"/>
      <c r="JUB138" s="548"/>
      <c r="JUC138" s="547"/>
      <c r="JUD138" s="547"/>
      <c r="JUE138" s="547"/>
      <c r="JUF138" s="547"/>
      <c r="JUG138" s="548"/>
      <c r="JUH138" s="547"/>
      <c r="JUI138" s="547"/>
      <c r="JUJ138" s="547"/>
      <c r="JUK138" s="552"/>
      <c r="JUL138" s="548"/>
      <c r="JUM138" s="552"/>
      <c r="JUN138" s="552"/>
      <c r="JUO138" s="552"/>
      <c r="JUP138" s="552"/>
      <c r="JUQ138" s="548"/>
      <c r="JUR138" s="553"/>
      <c r="JUS138" s="553"/>
      <c r="JUT138" s="553"/>
      <c r="JUU138" s="8"/>
      <c r="JUV138" s="8"/>
      <c r="JUW138" s="458"/>
      <c r="JUX138" s="8"/>
      <c r="JUY138" s="8"/>
      <c r="JUZ138" s="547"/>
      <c r="JVA138" s="547"/>
      <c r="JVB138" s="547"/>
      <c r="JVC138" s="547"/>
      <c r="JVD138" s="548"/>
      <c r="JVE138" s="547"/>
      <c r="JVF138" s="547"/>
      <c r="JVG138" s="547"/>
      <c r="JVH138" s="547"/>
      <c r="JVI138" s="548"/>
      <c r="JVJ138" s="547"/>
      <c r="JVK138" s="547"/>
      <c r="JVL138" s="547"/>
      <c r="JVM138" s="547"/>
      <c r="JVN138" s="548"/>
      <c r="JVO138" s="547"/>
      <c r="JVP138" s="547"/>
      <c r="JVQ138" s="547"/>
      <c r="JVR138" s="552"/>
      <c r="JVS138" s="548"/>
      <c r="JVT138" s="552"/>
      <c r="JVU138" s="552"/>
      <c r="JVV138" s="552"/>
      <c r="JVW138" s="552"/>
      <c r="JVX138" s="548"/>
      <c r="JVY138" s="553"/>
      <c r="JVZ138" s="553"/>
      <c r="JWA138" s="553"/>
      <c r="JWB138" s="8"/>
      <c r="JWC138" s="8"/>
      <c r="JWD138" s="458"/>
      <c r="JWE138" s="8"/>
      <c r="JWF138" s="8"/>
      <c r="JWG138" s="547"/>
      <c r="JWH138" s="547"/>
      <c r="JWI138" s="547"/>
      <c r="JWJ138" s="547"/>
      <c r="JWK138" s="548"/>
      <c r="JWL138" s="547"/>
      <c r="JWM138" s="547"/>
      <c r="JWN138" s="547"/>
      <c r="JWO138" s="547"/>
      <c r="JWP138" s="548"/>
      <c r="JWQ138" s="547"/>
      <c r="JWR138" s="547"/>
      <c r="JWS138" s="547"/>
      <c r="JWT138" s="547"/>
      <c r="JWU138" s="548"/>
      <c r="JWV138" s="547"/>
      <c r="JWW138" s="547"/>
      <c r="JWX138" s="547"/>
      <c r="JWY138" s="552"/>
      <c r="JWZ138" s="548"/>
      <c r="JXA138" s="552"/>
      <c r="JXB138" s="552"/>
      <c r="JXC138" s="552"/>
      <c r="JXD138" s="552"/>
      <c r="JXE138" s="548"/>
      <c r="JXF138" s="553"/>
      <c r="JXG138" s="553"/>
      <c r="JXH138" s="553"/>
      <c r="JXI138" s="8"/>
      <c r="JXJ138" s="8"/>
      <c r="JXK138" s="458"/>
      <c r="JXL138" s="8"/>
      <c r="JXM138" s="8"/>
      <c r="JXN138" s="547"/>
      <c r="JXO138" s="547"/>
      <c r="JXP138" s="547"/>
      <c r="JXQ138" s="547"/>
      <c r="JXR138" s="548"/>
      <c r="JXS138" s="547"/>
      <c r="JXT138" s="547"/>
      <c r="JXU138" s="547"/>
      <c r="JXV138" s="547"/>
      <c r="JXW138" s="548"/>
      <c r="JXX138" s="547"/>
      <c r="JXY138" s="547"/>
      <c r="JXZ138" s="547"/>
      <c r="JYA138" s="547"/>
      <c r="JYB138" s="548"/>
      <c r="JYC138" s="547"/>
      <c r="JYD138" s="547"/>
      <c r="JYE138" s="547"/>
      <c r="JYF138" s="552"/>
      <c r="JYG138" s="548"/>
      <c r="JYH138" s="552"/>
      <c r="JYI138" s="552"/>
      <c r="JYJ138" s="552"/>
      <c r="JYK138" s="552"/>
      <c r="JYL138" s="548"/>
      <c r="JYM138" s="553"/>
      <c r="JYN138" s="553"/>
      <c r="JYO138" s="553"/>
      <c r="JYP138" s="8"/>
      <c r="JYQ138" s="8"/>
      <c r="JYR138" s="458"/>
      <c r="JYS138" s="8"/>
      <c r="JYT138" s="8"/>
      <c r="JYU138" s="547"/>
      <c r="JYV138" s="547"/>
      <c r="JYW138" s="547"/>
      <c r="JYX138" s="547"/>
      <c r="JYY138" s="548"/>
      <c r="JYZ138" s="547"/>
      <c r="JZA138" s="547"/>
      <c r="JZB138" s="547"/>
      <c r="JZC138" s="547"/>
      <c r="JZD138" s="548"/>
      <c r="JZE138" s="547"/>
      <c r="JZF138" s="547"/>
      <c r="JZG138" s="547"/>
      <c r="JZH138" s="547"/>
      <c r="JZI138" s="548"/>
      <c r="JZJ138" s="547"/>
      <c r="JZK138" s="547"/>
      <c r="JZL138" s="547"/>
      <c r="JZM138" s="552"/>
      <c r="JZN138" s="548"/>
      <c r="JZO138" s="552"/>
      <c r="JZP138" s="552"/>
      <c r="JZQ138" s="552"/>
      <c r="JZR138" s="552"/>
      <c r="JZS138" s="548"/>
      <c r="JZT138" s="553"/>
      <c r="JZU138" s="553"/>
      <c r="JZV138" s="553"/>
      <c r="JZW138" s="8"/>
      <c r="JZX138" s="8"/>
      <c r="JZY138" s="458"/>
      <c r="JZZ138" s="8"/>
      <c r="KAA138" s="8"/>
      <c r="KAB138" s="547"/>
      <c r="KAC138" s="547"/>
      <c r="KAD138" s="547"/>
      <c r="KAE138" s="547"/>
      <c r="KAF138" s="548"/>
      <c r="KAG138" s="547"/>
      <c r="KAH138" s="547"/>
      <c r="KAI138" s="547"/>
      <c r="KAJ138" s="547"/>
      <c r="KAK138" s="548"/>
      <c r="KAL138" s="547"/>
      <c r="KAM138" s="547"/>
      <c r="KAN138" s="547"/>
      <c r="KAO138" s="547"/>
      <c r="KAP138" s="548"/>
      <c r="KAQ138" s="547"/>
      <c r="KAR138" s="547"/>
      <c r="KAS138" s="547"/>
      <c r="KAT138" s="552"/>
      <c r="KAU138" s="548"/>
      <c r="KAV138" s="552"/>
      <c r="KAW138" s="552"/>
      <c r="KAX138" s="552"/>
      <c r="KAY138" s="552"/>
      <c r="KAZ138" s="548"/>
      <c r="KBA138" s="553"/>
      <c r="KBB138" s="553"/>
      <c r="KBC138" s="553"/>
      <c r="KBD138" s="8"/>
      <c r="KBE138" s="8"/>
      <c r="KBF138" s="458"/>
      <c r="KBG138" s="8"/>
      <c r="KBH138" s="8"/>
      <c r="KBI138" s="547"/>
      <c r="KBJ138" s="547"/>
      <c r="KBK138" s="547"/>
      <c r="KBL138" s="547"/>
      <c r="KBM138" s="548"/>
      <c r="KBN138" s="547"/>
      <c r="KBO138" s="547"/>
      <c r="KBP138" s="547"/>
      <c r="KBQ138" s="547"/>
      <c r="KBR138" s="548"/>
      <c r="KBS138" s="547"/>
      <c r="KBT138" s="547"/>
      <c r="KBU138" s="547"/>
      <c r="KBV138" s="547"/>
      <c r="KBW138" s="548"/>
      <c r="KBX138" s="547"/>
      <c r="KBY138" s="547"/>
      <c r="KBZ138" s="547"/>
      <c r="KCA138" s="552"/>
      <c r="KCB138" s="548"/>
      <c r="KCC138" s="552"/>
      <c r="KCD138" s="552"/>
      <c r="KCE138" s="552"/>
      <c r="KCF138" s="552"/>
      <c r="KCG138" s="548"/>
      <c r="KCH138" s="553"/>
      <c r="KCI138" s="553"/>
      <c r="KCJ138" s="553"/>
      <c r="KCK138" s="8"/>
      <c r="KCL138" s="8"/>
      <c r="KCM138" s="458"/>
      <c r="KCN138" s="8"/>
      <c r="KCO138" s="8"/>
      <c r="KCP138" s="547"/>
      <c r="KCQ138" s="547"/>
      <c r="KCR138" s="547"/>
      <c r="KCS138" s="547"/>
      <c r="KCT138" s="548"/>
      <c r="KCU138" s="547"/>
      <c r="KCV138" s="547"/>
      <c r="KCW138" s="547"/>
      <c r="KCX138" s="547"/>
      <c r="KCY138" s="548"/>
      <c r="KCZ138" s="547"/>
      <c r="KDA138" s="547"/>
      <c r="KDB138" s="547"/>
      <c r="KDC138" s="547"/>
      <c r="KDD138" s="548"/>
      <c r="KDE138" s="547"/>
      <c r="KDF138" s="547"/>
      <c r="KDG138" s="547"/>
      <c r="KDH138" s="552"/>
      <c r="KDI138" s="548"/>
      <c r="KDJ138" s="552"/>
      <c r="KDK138" s="552"/>
      <c r="KDL138" s="552"/>
      <c r="KDM138" s="552"/>
      <c r="KDN138" s="548"/>
      <c r="KDO138" s="553"/>
      <c r="KDP138" s="553"/>
      <c r="KDQ138" s="553"/>
      <c r="KDR138" s="8"/>
      <c r="KDS138" s="8"/>
      <c r="KDT138" s="458"/>
      <c r="KDU138" s="8"/>
      <c r="KDV138" s="8"/>
      <c r="KDW138" s="547"/>
      <c r="KDX138" s="547"/>
      <c r="KDY138" s="547"/>
      <c r="KDZ138" s="547"/>
      <c r="KEA138" s="548"/>
      <c r="KEB138" s="547"/>
      <c r="KEC138" s="547"/>
      <c r="KED138" s="547"/>
      <c r="KEE138" s="547"/>
      <c r="KEF138" s="548"/>
      <c r="KEG138" s="547"/>
      <c r="KEH138" s="547"/>
      <c r="KEI138" s="547"/>
      <c r="KEJ138" s="547"/>
      <c r="KEK138" s="548"/>
      <c r="KEL138" s="547"/>
      <c r="KEM138" s="547"/>
      <c r="KEN138" s="547"/>
      <c r="KEO138" s="552"/>
      <c r="KEP138" s="548"/>
      <c r="KEQ138" s="552"/>
      <c r="KER138" s="552"/>
      <c r="KES138" s="552"/>
      <c r="KET138" s="552"/>
      <c r="KEU138" s="548"/>
      <c r="KEV138" s="553"/>
      <c r="KEW138" s="553"/>
      <c r="KEX138" s="553"/>
      <c r="KEY138" s="8"/>
      <c r="KEZ138" s="8"/>
      <c r="KFA138" s="458"/>
      <c r="KFB138" s="8"/>
      <c r="KFC138" s="8"/>
      <c r="KFD138" s="547"/>
      <c r="KFE138" s="547"/>
      <c r="KFF138" s="547"/>
      <c r="KFG138" s="547"/>
      <c r="KFH138" s="548"/>
      <c r="KFI138" s="547"/>
      <c r="KFJ138" s="547"/>
      <c r="KFK138" s="547"/>
      <c r="KFL138" s="547"/>
      <c r="KFM138" s="548"/>
      <c r="KFN138" s="547"/>
      <c r="KFO138" s="547"/>
      <c r="KFP138" s="547"/>
      <c r="KFQ138" s="547"/>
      <c r="KFR138" s="548"/>
      <c r="KFS138" s="547"/>
      <c r="KFT138" s="547"/>
      <c r="KFU138" s="547"/>
      <c r="KFV138" s="552"/>
      <c r="KFW138" s="548"/>
      <c r="KFX138" s="552"/>
      <c r="KFY138" s="552"/>
      <c r="KFZ138" s="552"/>
      <c r="KGA138" s="552"/>
      <c r="KGB138" s="548"/>
      <c r="KGC138" s="553"/>
      <c r="KGD138" s="553"/>
      <c r="KGE138" s="553"/>
      <c r="KGF138" s="8"/>
      <c r="KGG138" s="8"/>
      <c r="KGH138" s="458"/>
      <c r="KGI138" s="8"/>
      <c r="KGJ138" s="8"/>
      <c r="KGK138" s="547"/>
      <c r="KGL138" s="547"/>
      <c r="KGM138" s="547"/>
      <c r="KGN138" s="547"/>
      <c r="KGO138" s="548"/>
      <c r="KGP138" s="547"/>
      <c r="KGQ138" s="547"/>
      <c r="KGR138" s="547"/>
      <c r="KGS138" s="547"/>
      <c r="KGT138" s="548"/>
      <c r="KGU138" s="547"/>
      <c r="KGV138" s="547"/>
      <c r="KGW138" s="547"/>
      <c r="KGX138" s="547"/>
      <c r="KGY138" s="548"/>
      <c r="KGZ138" s="547"/>
      <c r="KHA138" s="547"/>
      <c r="KHB138" s="547"/>
      <c r="KHC138" s="552"/>
      <c r="KHD138" s="548"/>
      <c r="KHE138" s="552"/>
      <c r="KHF138" s="552"/>
      <c r="KHG138" s="552"/>
      <c r="KHH138" s="552"/>
      <c r="KHI138" s="548"/>
      <c r="KHJ138" s="553"/>
      <c r="KHK138" s="553"/>
      <c r="KHL138" s="553"/>
      <c r="KHM138" s="8"/>
      <c r="KHN138" s="8"/>
      <c r="KHO138" s="458"/>
      <c r="KHP138" s="8"/>
      <c r="KHQ138" s="8"/>
      <c r="KHR138" s="547"/>
      <c r="KHS138" s="547"/>
      <c r="KHT138" s="547"/>
      <c r="KHU138" s="547"/>
      <c r="KHV138" s="548"/>
      <c r="KHW138" s="547"/>
      <c r="KHX138" s="547"/>
      <c r="KHY138" s="547"/>
      <c r="KHZ138" s="547"/>
      <c r="KIA138" s="548"/>
      <c r="KIB138" s="547"/>
      <c r="KIC138" s="547"/>
      <c r="KID138" s="547"/>
      <c r="KIE138" s="547"/>
      <c r="KIF138" s="548"/>
      <c r="KIG138" s="547"/>
      <c r="KIH138" s="547"/>
      <c r="KII138" s="547"/>
      <c r="KIJ138" s="552"/>
      <c r="KIK138" s="548"/>
      <c r="KIL138" s="552"/>
      <c r="KIM138" s="552"/>
      <c r="KIN138" s="552"/>
      <c r="KIO138" s="552"/>
      <c r="KIP138" s="548"/>
      <c r="KIQ138" s="553"/>
      <c r="KIR138" s="553"/>
      <c r="KIS138" s="553"/>
      <c r="KIT138" s="8"/>
      <c r="KIU138" s="8"/>
      <c r="KIV138" s="458"/>
      <c r="KIW138" s="8"/>
      <c r="KIX138" s="8"/>
      <c r="KIY138" s="547"/>
      <c r="KIZ138" s="547"/>
      <c r="KJA138" s="547"/>
      <c r="KJB138" s="547"/>
      <c r="KJC138" s="548"/>
      <c r="KJD138" s="547"/>
      <c r="KJE138" s="547"/>
      <c r="KJF138" s="547"/>
      <c r="KJG138" s="547"/>
      <c r="KJH138" s="548"/>
      <c r="KJI138" s="547"/>
      <c r="KJJ138" s="547"/>
      <c r="KJK138" s="547"/>
      <c r="KJL138" s="547"/>
      <c r="KJM138" s="548"/>
      <c r="KJN138" s="547"/>
      <c r="KJO138" s="547"/>
      <c r="KJP138" s="547"/>
      <c r="KJQ138" s="552"/>
      <c r="KJR138" s="548"/>
      <c r="KJS138" s="552"/>
      <c r="KJT138" s="552"/>
      <c r="KJU138" s="552"/>
      <c r="KJV138" s="552"/>
      <c r="KJW138" s="548"/>
      <c r="KJX138" s="553"/>
      <c r="KJY138" s="553"/>
      <c r="KJZ138" s="553"/>
      <c r="KKA138" s="8"/>
      <c r="KKB138" s="8"/>
      <c r="KKC138" s="458"/>
      <c r="KKD138" s="8"/>
      <c r="KKE138" s="8"/>
      <c r="KKF138" s="547"/>
      <c r="KKG138" s="547"/>
      <c r="KKH138" s="547"/>
      <c r="KKI138" s="547"/>
      <c r="KKJ138" s="548"/>
      <c r="KKK138" s="547"/>
      <c r="KKL138" s="547"/>
      <c r="KKM138" s="547"/>
      <c r="KKN138" s="547"/>
      <c r="KKO138" s="548"/>
      <c r="KKP138" s="547"/>
      <c r="KKQ138" s="547"/>
      <c r="KKR138" s="547"/>
      <c r="KKS138" s="547"/>
      <c r="KKT138" s="548"/>
      <c r="KKU138" s="547"/>
      <c r="KKV138" s="547"/>
      <c r="KKW138" s="547"/>
      <c r="KKX138" s="552"/>
      <c r="KKY138" s="548"/>
      <c r="KKZ138" s="552"/>
      <c r="KLA138" s="552"/>
      <c r="KLB138" s="552"/>
      <c r="KLC138" s="552"/>
      <c r="KLD138" s="548"/>
      <c r="KLE138" s="553"/>
      <c r="KLF138" s="553"/>
      <c r="KLG138" s="553"/>
      <c r="KLH138" s="8"/>
      <c r="KLI138" s="8"/>
      <c r="KLJ138" s="458"/>
      <c r="KLK138" s="8"/>
      <c r="KLL138" s="8"/>
      <c r="KLM138" s="547"/>
      <c r="KLN138" s="547"/>
      <c r="KLO138" s="547"/>
      <c r="KLP138" s="547"/>
      <c r="KLQ138" s="548"/>
      <c r="KLR138" s="547"/>
      <c r="KLS138" s="547"/>
      <c r="KLT138" s="547"/>
      <c r="KLU138" s="547"/>
      <c r="KLV138" s="548"/>
      <c r="KLW138" s="547"/>
      <c r="KLX138" s="547"/>
      <c r="KLY138" s="547"/>
      <c r="KLZ138" s="547"/>
      <c r="KMA138" s="548"/>
      <c r="KMB138" s="547"/>
      <c r="KMC138" s="547"/>
      <c r="KMD138" s="547"/>
      <c r="KME138" s="552"/>
      <c r="KMF138" s="548"/>
      <c r="KMG138" s="552"/>
      <c r="KMH138" s="552"/>
      <c r="KMI138" s="552"/>
      <c r="KMJ138" s="552"/>
      <c r="KMK138" s="548"/>
      <c r="KML138" s="553"/>
      <c r="KMM138" s="553"/>
      <c r="KMN138" s="553"/>
      <c r="KMO138" s="8"/>
      <c r="KMP138" s="8"/>
      <c r="KMQ138" s="458"/>
      <c r="KMR138" s="8"/>
      <c r="KMS138" s="8"/>
      <c r="KMT138" s="547"/>
      <c r="KMU138" s="547"/>
      <c r="KMV138" s="547"/>
      <c r="KMW138" s="547"/>
      <c r="KMX138" s="548"/>
      <c r="KMY138" s="547"/>
      <c r="KMZ138" s="547"/>
      <c r="KNA138" s="547"/>
      <c r="KNB138" s="547"/>
      <c r="KNC138" s="548"/>
      <c r="KND138" s="547"/>
      <c r="KNE138" s="547"/>
      <c r="KNF138" s="547"/>
      <c r="KNG138" s="547"/>
      <c r="KNH138" s="548"/>
      <c r="KNI138" s="547"/>
      <c r="KNJ138" s="547"/>
      <c r="KNK138" s="547"/>
      <c r="KNL138" s="552"/>
      <c r="KNM138" s="548"/>
      <c r="KNN138" s="552"/>
      <c r="KNO138" s="552"/>
      <c r="KNP138" s="552"/>
      <c r="KNQ138" s="552"/>
      <c r="KNR138" s="548"/>
      <c r="KNS138" s="553"/>
      <c r="KNT138" s="553"/>
      <c r="KNU138" s="553"/>
      <c r="KNV138" s="8"/>
      <c r="KNW138" s="8"/>
      <c r="KNX138" s="458"/>
      <c r="KNY138" s="8"/>
      <c r="KNZ138" s="8"/>
      <c r="KOA138" s="547"/>
      <c r="KOB138" s="547"/>
      <c r="KOC138" s="547"/>
      <c r="KOD138" s="547"/>
      <c r="KOE138" s="548"/>
      <c r="KOF138" s="547"/>
      <c r="KOG138" s="547"/>
      <c r="KOH138" s="547"/>
      <c r="KOI138" s="547"/>
      <c r="KOJ138" s="548"/>
      <c r="KOK138" s="547"/>
      <c r="KOL138" s="547"/>
      <c r="KOM138" s="547"/>
      <c r="KON138" s="547"/>
      <c r="KOO138" s="548"/>
      <c r="KOP138" s="547"/>
      <c r="KOQ138" s="547"/>
      <c r="KOR138" s="547"/>
      <c r="KOS138" s="552"/>
      <c r="KOT138" s="548"/>
      <c r="KOU138" s="552"/>
      <c r="KOV138" s="552"/>
      <c r="KOW138" s="552"/>
      <c r="KOX138" s="552"/>
      <c r="KOY138" s="548"/>
      <c r="KOZ138" s="553"/>
      <c r="KPA138" s="553"/>
      <c r="KPB138" s="553"/>
      <c r="KPC138" s="8"/>
      <c r="KPD138" s="8"/>
      <c r="KPE138" s="458"/>
      <c r="KPF138" s="8"/>
      <c r="KPG138" s="8"/>
      <c r="KPH138" s="547"/>
      <c r="KPI138" s="547"/>
      <c r="KPJ138" s="547"/>
      <c r="KPK138" s="547"/>
      <c r="KPL138" s="548"/>
      <c r="KPM138" s="547"/>
      <c r="KPN138" s="547"/>
      <c r="KPO138" s="547"/>
      <c r="KPP138" s="547"/>
      <c r="KPQ138" s="548"/>
      <c r="KPR138" s="547"/>
      <c r="KPS138" s="547"/>
      <c r="KPT138" s="547"/>
      <c r="KPU138" s="547"/>
      <c r="KPV138" s="548"/>
      <c r="KPW138" s="547"/>
      <c r="KPX138" s="547"/>
      <c r="KPY138" s="547"/>
      <c r="KPZ138" s="552"/>
      <c r="KQA138" s="548"/>
      <c r="KQB138" s="552"/>
      <c r="KQC138" s="552"/>
      <c r="KQD138" s="552"/>
      <c r="KQE138" s="552"/>
      <c r="KQF138" s="548"/>
      <c r="KQG138" s="553"/>
      <c r="KQH138" s="553"/>
      <c r="KQI138" s="553"/>
      <c r="KQJ138" s="8"/>
      <c r="KQK138" s="8"/>
      <c r="KQL138" s="458"/>
      <c r="KQM138" s="8"/>
      <c r="KQN138" s="8"/>
      <c r="KQO138" s="547"/>
      <c r="KQP138" s="547"/>
      <c r="KQQ138" s="547"/>
      <c r="KQR138" s="547"/>
      <c r="KQS138" s="548"/>
      <c r="KQT138" s="547"/>
      <c r="KQU138" s="547"/>
      <c r="KQV138" s="547"/>
      <c r="KQW138" s="547"/>
      <c r="KQX138" s="548"/>
      <c r="KQY138" s="547"/>
      <c r="KQZ138" s="547"/>
      <c r="KRA138" s="547"/>
      <c r="KRB138" s="547"/>
      <c r="KRC138" s="548"/>
      <c r="KRD138" s="547"/>
      <c r="KRE138" s="547"/>
      <c r="KRF138" s="547"/>
      <c r="KRG138" s="552"/>
      <c r="KRH138" s="548"/>
      <c r="KRI138" s="552"/>
      <c r="KRJ138" s="552"/>
      <c r="KRK138" s="552"/>
      <c r="KRL138" s="552"/>
      <c r="KRM138" s="548"/>
      <c r="KRN138" s="553"/>
      <c r="KRO138" s="553"/>
      <c r="KRP138" s="553"/>
      <c r="KRQ138" s="8"/>
      <c r="KRR138" s="8"/>
      <c r="KRS138" s="458"/>
      <c r="KRT138" s="8"/>
      <c r="KRU138" s="8"/>
      <c r="KRV138" s="547"/>
      <c r="KRW138" s="547"/>
      <c r="KRX138" s="547"/>
      <c r="KRY138" s="547"/>
      <c r="KRZ138" s="548"/>
      <c r="KSA138" s="547"/>
      <c r="KSB138" s="547"/>
      <c r="KSC138" s="547"/>
      <c r="KSD138" s="547"/>
      <c r="KSE138" s="548"/>
      <c r="KSF138" s="547"/>
      <c r="KSG138" s="547"/>
      <c r="KSH138" s="547"/>
      <c r="KSI138" s="547"/>
      <c r="KSJ138" s="548"/>
      <c r="KSK138" s="547"/>
      <c r="KSL138" s="547"/>
      <c r="KSM138" s="547"/>
      <c r="KSN138" s="552"/>
      <c r="KSO138" s="548"/>
      <c r="KSP138" s="552"/>
      <c r="KSQ138" s="552"/>
      <c r="KSR138" s="552"/>
      <c r="KSS138" s="552"/>
      <c r="KST138" s="548"/>
      <c r="KSU138" s="553"/>
      <c r="KSV138" s="553"/>
      <c r="KSW138" s="553"/>
      <c r="KSX138" s="8"/>
      <c r="KSY138" s="8"/>
      <c r="KSZ138" s="458"/>
      <c r="KTA138" s="8"/>
      <c r="KTB138" s="8"/>
      <c r="KTC138" s="547"/>
      <c r="KTD138" s="547"/>
      <c r="KTE138" s="547"/>
      <c r="KTF138" s="547"/>
      <c r="KTG138" s="548"/>
      <c r="KTH138" s="547"/>
      <c r="KTI138" s="547"/>
      <c r="KTJ138" s="547"/>
      <c r="KTK138" s="547"/>
      <c r="KTL138" s="548"/>
      <c r="KTM138" s="547"/>
      <c r="KTN138" s="547"/>
      <c r="KTO138" s="547"/>
      <c r="KTP138" s="547"/>
      <c r="KTQ138" s="548"/>
      <c r="KTR138" s="547"/>
      <c r="KTS138" s="547"/>
      <c r="KTT138" s="547"/>
      <c r="KTU138" s="552"/>
      <c r="KTV138" s="548"/>
      <c r="KTW138" s="552"/>
      <c r="KTX138" s="552"/>
      <c r="KTY138" s="552"/>
      <c r="KTZ138" s="552"/>
      <c r="KUA138" s="548"/>
      <c r="KUB138" s="553"/>
      <c r="KUC138" s="553"/>
      <c r="KUD138" s="553"/>
      <c r="KUE138" s="8"/>
      <c r="KUF138" s="8"/>
      <c r="KUG138" s="458"/>
      <c r="KUH138" s="8"/>
      <c r="KUI138" s="8"/>
      <c r="KUJ138" s="547"/>
      <c r="KUK138" s="547"/>
      <c r="KUL138" s="547"/>
      <c r="KUM138" s="547"/>
      <c r="KUN138" s="548"/>
      <c r="KUO138" s="547"/>
      <c r="KUP138" s="547"/>
      <c r="KUQ138" s="547"/>
      <c r="KUR138" s="547"/>
      <c r="KUS138" s="548"/>
      <c r="KUT138" s="547"/>
      <c r="KUU138" s="547"/>
      <c r="KUV138" s="547"/>
      <c r="KUW138" s="547"/>
      <c r="KUX138" s="548"/>
      <c r="KUY138" s="547"/>
      <c r="KUZ138" s="547"/>
      <c r="KVA138" s="547"/>
      <c r="KVB138" s="552"/>
      <c r="KVC138" s="548"/>
      <c r="KVD138" s="552"/>
      <c r="KVE138" s="552"/>
      <c r="KVF138" s="552"/>
      <c r="KVG138" s="552"/>
      <c r="KVH138" s="548"/>
      <c r="KVI138" s="553"/>
      <c r="KVJ138" s="553"/>
      <c r="KVK138" s="553"/>
      <c r="KVL138" s="8"/>
      <c r="KVM138" s="8"/>
      <c r="KVN138" s="458"/>
      <c r="KVO138" s="8"/>
      <c r="KVP138" s="8"/>
      <c r="KVQ138" s="547"/>
      <c r="KVR138" s="547"/>
      <c r="KVS138" s="547"/>
      <c r="KVT138" s="547"/>
      <c r="KVU138" s="548"/>
      <c r="KVV138" s="547"/>
      <c r="KVW138" s="547"/>
      <c r="KVX138" s="547"/>
      <c r="KVY138" s="547"/>
      <c r="KVZ138" s="548"/>
      <c r="KWA138" s="547"/>
      <c r="KWB138" s="547"/>
      <c r="KWC138" s="547"/>
      <c r="KWD138" s="547"/>
      <c r="KWE138" s="548"/>
      <c r="KWF138" s="547"/>
      <c r="KWG138" s="547"/>
      <c r="KWH138" s="547"/>
      <c r="KWI138" s="552"/>
      <c r="KWJ138" s="548"/>
      <c r="KWK138" s="552"/>
      <c r="KWL138" s="552"/>
      <c r="KWM138" s="552"/>
      <c r="KWN138" s="552"/>
      <c r="KWO138" s="548"/>
      <c r="KWP138" s="553"/>
      <c r="KWQ138" s="553"/>
      <c r="KWR138" s="553"/>
      <c r="KWS138" s="8"/>
      <c r="KWT138" s="8"/>
      <c r="KWU138" s="458"/>
      <c r="KWV138" s="8"/>
      <c r="KWW138" s="8"/>
      <c r="KWX138" s="547"/>
      <c r="KWY138" s="547"/>
      <c r="KWZ138" s="547"/>
      <c r="KXA138" s="547"/>
      <c r="KXB138" s="548"/>
      <c r="KXC138" s="547"/>
      <c r="KXD138" s="547"/>
      <c r="KXE138" s="547"/>
      <c r="KXF138" s="547"/>
      <c r="KXG138" s="548"/>
      <c r="KXH138" s="547"/>
      <c r="KXI138" s="547"/>
      <c r="KXJ138" s="547"/>
      <c r="KXK138" s="547"/>
      <c r="KXL138" s="548"/>
      <c r="KXM138" s="547"/>
      <c r="KXN138" s="547"/>
      <c r="KXO138" s="547"/>
      <c r="KXP138" s="552"/>
      <c r="KXQ138" s="548"/>
      <c r="KXR138" s="552"/>
      <c r="KXS138" s="552"/>
      <c r="KXT138" s="552"/>
      <c r="KXU138" s="552"/>
      <c r="KXV138" s="548"/>
      <c r="KXW138" s="553"/>
      <c r="KXX138" s="553"/>
      <c r="KXY138" s="553"/>
      <c r="KXZ138" s="8"/>
      <c r="KYA138" s="8"/>
      <c r="KYB138" s="458"/>
      <c r="KYC138" s="8"/>
      <c r="KYD138" s="8"/>
      <c r="KYE138" s="547"/>
      <c r="KYF138" s="547"/>
      <c r="KYG138" s="547"/>
      <c r="KYH138" s="547"/>
      <c r="KYI138" s="548"/>
      <c r="KYJ138" s="547"/>
      <c r="KYK138" s="547"/>
      <c r="KYL138" s="547"/>
      <c r="KYM138" s="547"/>
      <c r="KYN138" s="548"/>
      <c r="KYO138" s="547"/>
      <c r="KYP138" s="547"/>
      <c r="KYQ138" s="547"/>
      <c r="KYR138" s="547"/>
      <c r="KYS138" s="548"/>
      <c r="KYT138" s="547"/>
      <c r="KYU138" s="547"/>
      <c r="KYV138" s="547"/>
      <c r="KYW138" s="552"/>
      <c r="KYX138" s="548"/>
      <c r="KYY138" s="552"/>
      <c r="KYZ138" s="552"/>
      <c r="KZA138" s="552"/>
      <c r="KZB138" s="552"/>
      <c r="KZC138" s="548"/>
      <c r="KZD138" s="553"/>
      <c r="KZE138" s="553"/>
      <c r="KZF138" s="553"/>
      <c r="KZG138" s="8"/>
      <c r="KZH138" s="8"/>
      <c r="KZI138" s="458"/>
      <c r="KZJ138" s="8"/>
      <c r="KZK138" s="8"/>
      <c r="KZL138" s="547"/>
      <c r="KZM138" s="547"/>
      <c r="KZN138" s="547"/>
      <c r="KZO138" s="547"/>
      <c r="KZP138" s="548"/>
      <c r="KZQ138" s="547"/>
      <c r="KZR138" s="547"/>
      <c r="KZS138" s="547"/>
      <c r="KZT138" s="547"/>
      <c r="KZU138" s="548"/>
      <c r="KZV138" s="547"/>
      <c r="KZW138" s="547"/>
      <c r="KZX138" s="547"/>
      <c r="KZY138" s="547"/>
      <c r="KZZ138" s="548"/>
      <c r="LAA138" s="547"/>
      <c r="LAB138" s="547"/>
      <c r="LAC138" s="547"/>
      <c r="LAD138" s="552"/>
      <c r="LAE138" s="548"/>
      <c r="LAF138" s="552"/>
      <c r="LAG138" s="552"/>
      <c r="LAH138" s="552"/>
      <c r="LAI138" s="552"/>
      <c r="LAJ138" s="548"/>
      <c r="LAK138" s="553"/>
      <c r="LAL138" s="553"/>
      <c r="LAM138" s="553"/>
      <c r="LAN138" s="8"/>
      <c r="LAO138" s="8"/>
      <c r="LAP138" s="458"/>
      <c r="LAQ138" s="8"/>
      <c r="LAR138" s="8"/>
      <c r="LAS138" s="547"/>
      <c r="LAT138" s="547"/>
      <c r="LAU138" s="547"/>
      <c r="LAV138" s="547"/>
      <c r="LAW138" s="548"/>
      <c r="LAX138" s="547"/>
      <c r="LAY138" s="547"/>
      <c r="LAZ138" s="547"/>
      <c r="LBA138" s="547"/>
      <c r="LBB138" s="548"/>
      <c r="LBC138" s="547"/>
      <c r="LBD138" s="547"/>
      <c r="LBE138" s="547"/>
      <c r="LBF138" s="547"/>
      <c r="LBG138" s="548"/>
      <c r="LBH138" s="547"/>
      <c r="LBI138" s="547"/>
      <c r="LBJ138" s="547"/>
      <c r="LBK138" s="552"/>
      <c r="LBL138" s="548"/>
      <c r="LBM138" s="552"/>
      <c r="LBN138" s="552"/>
      <c r="LBO138" s="552"/>
      <c r="LBP138" s="552"/>
      <c r="LBQ138" s="548"/>
      <c r="LBR138" s="553"/>
      <c r="LBS138" s="553"/>
      <c r="LBT138" s="553"/>
      <c r="LBU138" s="8"/>
      <c r="LBV138" s="8"/>
      <c r="LBW138" s="458"/>
      <c r="LBX138" s="8"/>
      <c r="LBY138" s="8"/>
      <c r="LBZ138" s="547"/>
      <c r="LCA138" s="547"/>
      <c r="LCB138" s="547"/>
      <c r="LCC138" s="547"/>
      <c r="LCD138" s="548"/>
      <c r="LCE138" s="547"/>
      <c r="LCF138" s="547"/>
      <c r="LCG138" s="547"/>
      <c r="LCH138" s="547"/>
      <c r="LCI138" s="548"/>
      <c r="LCJ138" s="547"/>
      <c r="LCK138" s="547"/>
      <c r="LCL138" s="547"/>
      <c r="LCM138" s="547"/>
      <c r="LCN138" s="548"/>
      <c r="LCO138" s="547"/>
      <c r="LCP138" s="547"/>
      <c r="LCQ138" s="547"/>
      <c r="LCR138" s="552"/>
      <c r="LCS138" s="548"/>
      <c r="LCT138" s="552"/>
      <c r="LCU138" s="552"/>
      <c r="LCV138" s="552"/>
      <c r="LCW138" s="552"/>
      <c r="LCX138" s="548"/>
      <c r="LCY138" s="553"/>
      <c r="LCZ138" s="553"/>
      <c r="LDA138" s="553"/>
      <c r="LDB138" s="8"/>
      <c r="LDC138" s="8"/>
      <c r="LDD138" s="458"/>
      <c r="LDE138" s="8"/>
      <c r="LDF138" s="8"/>
      <c r="LDG138" s="547"/>
      <c r="LDH138" s="547"/>
      <c r="LDI138" s="547"/>
      <c r="LDJ138" s="547"/>
      <c r="LDK138" s="548"/>
      <c r="LDL138" s="547"/>
      <c r="LDM138" s="547"/>
      <c r="LDN138" s="547"/>
      <c r="LDO138" s="547"/>
      <c r="LDP138" s="548"/>
      <c r="LDQ138" s="547"/>
      <c r="LDR138" s="547"/>
      <c r="LDS138" s="547"/>
      <c r="LDT138" s="547"/>
      <c r="LDU138" s="548"/>
      <c r="LDV138" s="547"/>
      <c r="LDW138" s="547"/>
      <c r="LDX138" s="547"/>
      <c r="LDY138" s="552"/>
      <c r="LDZ138" s="548"/>
      <c r="LEA138" s="552"/>
      <c r="LEB138" s="552"/>
      <c r="LEC138" s="552"/>
      <c r="LED138" s="552"/>
      <c r="LEE138" s="548"/>
      <c r="LEF138" s="553"/>
      <c r="LEG138" s="553"/>
      <c r="LEH138" s="553"/>
      <c r="LEI138" s="8"/>
      <c r="LEJ138" s="8"/>
      <c r="LEK138" s="458"/>
      <c r="LEL138" s="8"/>
      <c r="LEM138" s="8"/>
      <c r="LEN138" s="547"/>
      <c r="LEO138" s="547"/>
      <c r="LEP138" s="547"/>
      <c r="LEQ138" s="547"/>
      <c r="LER138" s="548"/>
      <c r="LES138" s="547"/>
      <c r="LET138" s="547"/>
      <c r="LEU138" s="547"/>
      <c r="LEV138" s="547"/>
      <c r="LEW138" s="548"/>
      <c r="LEX138" s="547"/>
      <c r="LEY138" s="547"/>
      <c r="LEZ138" s="547"/>
      <c r="LFA138" s="547"/>
      <c r="LFB138" s="548"/>
      <c r="LFC138" s="547"/>
      <c r="LFD138" s="547"/>
      <c r="LFE138" s="547"/>
      <c r="LFF138" s="552"/>
      <c r="LFG138" s="548"/>
      <c r="LFH138" s="552"/>
      <c r="LFI138" s="552"/>
      <c r="LFJ138" s="552"/>
      <c r="LFK138" s="552"/>
      <c r="LFL138" s="548"/>
      <c r="LFM138" s="553"/>
      <c r="LFN138" s="553"/>
      <c r="LFO138" s="553"/>
      <c r="LFP138" s="8"/>
      <c r="LFQ138" s="8"/>
      <c r="LFR138" s="458"/>
      <c r="LFS138" s="8"/>
      <c r="LFT138" s="8"/>
      <c r="LFU138" s="547"/>
      <c r="LFV138" s="547"/>
      <c r="LFW138" s="547"/>
      <c r="LFX138" s="547"/>
      <c r="LFY138" s="548"/>
      <c r="LFZ138" s="547"/>
      <c r="LGA138" s="547"/>
      <c r="LGB138" s="547"/>
      <c r="LGC138" s="547"/>
      <c r="LGD138" s="548"/>
      <c r="LGE138" s="547"/>
      <c r="LGF138" s="547"/>
      <c r="LGG138" s="547"/>
      <c r="LGH138" s="547"/>
      <c r="LGI138" s="548"/>
      <c r="LGJ138" s="547"/>
      <c r="LGK138" s="547"/>
      <c r="LGL138" s="547"/>
      <c r="LGM138" s="552"/>
      <c r="LGN138" s="548"/>
      <c r="LGO138" s="552"/>
      <c r="LGP138" s="552"/>
      <c r="LGQ138" s="552"/>
      <c r="LGR138" s="552"/>
      <c r="LGS138" s="548"/>
      <c r="LGT138" s="553"/>
      <c r="LGU138" s="553"/>
      <c r="LGV138" s="553"/>
      <c r="LGW138" s="8"/>
      <c r="LGX138" s="8"/>
      <c r="LGY138" s="458"/>
      <c r="LGZ138" s="8"/>
      <c r="LHA138" s="8"/>
      <c r="LHB138" s="547"/>
      <c r="LHC138" s="547"/>
      <c r="LHD138" s="547"/>
      <c r="LHE138" s="547"/>
      <c r="LHF138" s="548"/>
      <c r="LHG138" s="547"/>
      <c r="LHH138" s="547"/>
      <c r="LHI138" s="547"/>
      <c r="LHJ138" s="547"/>
      <c r="LHK138" s="548"/>
      <c r="LHL138" s="547"/>
      <c r="LHM138" s="547"/>
      <c r="LHN138" s="547"/>
      <c r="LHO138" s="547"/>
      <c r="LHP138" s="548"/>
      <c r="LHQ138" s="547"/>
      <c r="LHR138" s="547"/>
      <c r="LHS138" s="547"/>
      <c r="LHT138" s="552"/>
      <c r="LHU138" s="548"/>
      <c r="LHV138" s="552"/>
      <c r="LHW138" s="552"/>
      <c r="LHX138" s="552"/>
      <c r="LHY138" s="552"/>
      <c r="LHZ138" s="548"/>
      <c r="LIA138" s="553"/>
      <c r="LIB138" s="553"/>
      <c r="LIC138" s="553"/>
      <c r="LID138" s="8"/>
      <c r="LIE138" s="8"/>
      <c r="LIF138" s="458"/>
      <c r="LIG138" s="8"/>
      <c r="LIH138" s="8"/>
      <c r="LII138" s="547"/>
      <c r="LIJ138" s="547"/>
      <c r="LIK138" s="547"/>
      <c r="LIL138" s="547"/>
      <c r="LIM138" s="548"/>
      <c r="LIN138" s="547"/>
      <c r="LIO138" s="547"/>
      <c r="LIP138" s="547"/>
      <c r="LIQ138" s="547"/>
      <c r="LIR138" s="548"/>
      <c r="LIS138" s="547"/>
      <c r="LIT138" s="547"/>
      <c r="LIU138" s="547"/>
      <c r="LIV138" s="547"/>
      <c r="LIW138" s="548"/>
      <c r="LIX138" s="547"/>
      <c r="LIY138" s="547"/>
      <c r="LIZ138" s="547"/>
      <c r="LJA138" s="552"/>
      <c r="LJB138" s="548"/>
      <c r="LJC138" s="552"/>
      <c r="LJD138" s="552"/>
      <c r="LJE138" s="552"/>
      <c r="LJF138" s="552"/>
      <c r="LJG138" s="548"/>
      <c r="LJH138" s="553"/>
      <c r="LJI138" s="553"/>
      <c r="LJJ138" s="553"/>
      <c r="LJK138" s="8"/>
      <c r="LJL138" s="8"/>
      <c r="LJM138" s="458"/>
      <c r="LJN138" s="8"/>
      <c r="LJO138" s="8"/>
      <c r="LJP138" s="547"/>
      <c r="LJQ138" s="547"/>
      <c r="LJR138" s="547"/>
      <c r="LJS138" s="547"/>
      <c r="LJT138" s="548"/>
      <c r="LJU138" s="547"/>
      <c r="LJV138" s="547"/>
      <c r="LJW138" s="547"/>
      <c r="LJX138" s="547"/>
      <c r="LJY138" s="548"/>
      <c r="LJZ138" s="547"/>
      <c r="LKA138" s="547"/>
      <c r="LKB138" s="547"/>
      <c r="LKC138" s="547"/>
      <c r="LKD138" s="548"/>
      <c r="LKE138" s="547"/>
      <c r="LKF138" s="547"/>
      <c r="LKG138" s="547"/>
      <c r="LKH138" s="552"/>
      <c r="LKI138" s="548"/>
      <c r="LKJ138" s="552"/>
      <c r="LKK138" s="552"/>
      <c r="LKL138" s="552"/>
      <c r="LKM138" s="552"/>
      <c r="LKN138" s="548"/>
      <c r="LKO138" s="553"/>
      <c r="LKP138" s="553"/>
      <c r="LKQ138" s="553"/>
      <c r="LKR138" s="8"/>
      <c r="LKS138" s="8"/>
      <c r="LKT138" s="458"/>
      <c r="LKU138" s="8"/>
      <c r="LKV138" s="8"/>
      <c r="LKW138" s="547"/>
      <c r="LKX138" s="547"/>
      <c r="LKY138" s="547"/>
      <c r="LKZ138" s="547"/>
      <c r="LLA138" s="548"/>
      <c r="LLB138" s="547"/>
      <c r="LLC138" s="547"/>
      <c r="LLD138" s="547"/>
      <c r="LLE138" s="547"/>
      <c r="LLF138" s="548"/>
      <c r="LLG138" s="547"/>
      <c r="LLH138" s="547"/>
      <c r="LLI138" s="547"/>
      <c r="LLJ138" s="547"/>
      <c r="LLK138" s="548"/>
      <c r="LLL138" s="547"/>
      <c r="LLM138" s="547"/>
      <c r="LLN138" s="547"/>
      <c r="LLO138" s="552"/>
      <c r="LLP138" s="548"/>
      <c r="LLQ138" s="552"/>
      <c r="LLR138" s="552"/>
      <c r="LLS138" s="552"/>
      <c r="LLT138" s="552"/>
      <c r="LLU138" s="548"/>
      <c r="LLV138" s="553"/>
      <c r="LLW138" s="553"/>
      <c r="LLX138" s="553"/>
      <c r="LLY138" s="8"/>
      <c r="LLZ138" s="8"/>
      <c r="LMA138" s="458"/>
      <c r="LMB138" s="8"/>
      <c r="LMC138" s="8"/>
      <c r="LMD138" s="547"/>
      <c r="LME138" s="547"/>
      <c r="LMF138" s="547"/>
      <c r="LMG138" s="547"/>
      <c r="LMH138" s="548"/>
      <c r="LMI138" s="547"/>
      <c r="LMJ138" s="547"/>
      <c r="LMK138" s="547"/>
      <c r="LML138" s="547"/>
      <c r="LMM138" s="548"/>
      <c r="LMN138" s="547"/>
      <c r="LMO138" s="547"/>
      <c r="LMP138" s="547"/>
      <c r="LMQ138" s="547"/>
      <c r="LMR138" s="548"/>
      <c r="LMS138" s="547"/>
      <c r="LMT138" s="547"/>
      <c r="LMU138" s="547"/>
      <c r="LMV138" s="552"/>
      <c r="LMW138" s="548"/>
      <c r="LMX138" s="552"/>
      <c r="LMY138" s="552"/>
      <c r="LMZ138" s="552"/>
      <c r="LNA138" s="552"/>
      <c r="LNB138" s="548"/>
      <c r="LNC138" s="553"/>
      <c r="LND138" s="553"/>
      <c r="LNE138" s="553"/>
      <c r="LNF138" s="8"/>
      <c r="LNG138" s="8"/>
      <c r="LNH138" s="458"/>
      <c r="LNI138" s="8"/>
      <c r="LNJ138" s="8"/>
      <c r="LNK138" s="547"/>
      <c r="LNL138" s="547"/>
      <c r="LNM138" s="547"/>
      <c r="LNN138" s="547"/>
      <c r="LNO138" s="548"/>
      <c r="LNP138" s="547"/>
      <c r="LNQ138" s="547"/>
      <c r="LNR138" s="547"/>
      <c r="LNS138" s="547"/>
      <c r="LNT138" s="548"/>
      <c r="LNU138" s="547"/>
      <c r="LNV138" s="547"/>
      <c r="LNW138" s="547"/>
      <c r="LNX138" s="547"/>
      <c r="LNY138" s="548"/>
      <c r="LNZ138" s="547"/>
      <c r="LOA138" s="547"/>
      <c r="LOB138" s="547"/>
      <c r="LOC138" s="552"/>
      <c r="LOD138" s="548"/>
      <c r="LOE138" s="552"/>
      <c r="LOF138" s="552"/>
      <c r="LOG138" s="552"/>
      <c r="LOH138" s="552"/>
      <c r="LOI138" s="548"/>
      <c r="LOJ138" s="553"/>
      <c r="LOK138" s="553"/>
      <c r="LOL138" s="553"/>
      <c r="LOM138" s="8"/>
      <c r="LON138" s="8"/>
      <c r="LOO138" s="458"/>
      <c r="LOP138" s="8"/>
      <c r="LOQ138" s="8"/>
      <c r="LOR138" s="547"/>
      <c r="LOS138" s="547"/>
      <c r="LOT138" s="547"/>
      <c r="LOU138" s="547"/>
      <c r="LOV138" s="548"/>
      <c r="LOW138" s="547"/>
      <c r="LOX138" s="547"/>
      <c r="LOY138" s="547"/>
      <c r="LOZ138" s="547"/>
      <c r="LPA138" s="548"/>
      <c r="LPB138" s="547"/>
      <c r="LPC138" s="547"/>
      <c r="LPD138" s="547"/>
      <c r="LPE138" s="547"/>
      <c r="LPF138" s="548"/>
      <c r="LPG138" s="547"/>
      <c r="LPH138" s="547"/>
      <c r="LPI138" s="547"/>
      <c r="LPJ138" s="552"/>
      <c r="LPK138" s="548"/>
      <c r="LPL138" s="552"/>
      <c r="LPM138" s="552"/>
      <c r="LPN138" s="552"/>
      <c r="LPO138" s="552"/>
      <c r="LPP138" s="548"/>
      <c r="LPQ138" s="553"/>
      <c r="LPR138" s="553"/>
      <c r="LPS138" s="553"/>
      <c r="LPT138" s="8"/>
      <c r="LPU138" s="8"/>
      <c r="LPV138" s="458"/>
      <c r="LPW138" s="8"/>
      <c r="LPX138" s="8"/>
      <c r="LPY138" s="547"/>
      <c r="LPZ138" s="547"/>
      <c r="LQA138" s="547"/>
      <c r="LQB138" s="547"/>
      <c r="LQC138" s="548"/>
      <c r="LQD138" s="547"/>
      <c r="LQE138" s="547"/>
      <c r="LQF138" s="547"/>
      <c r="LQG138" s="547"/>
      <c r="LQH138" s="548"/>
      <c r="LQI138" s="547"/>
      <c r="LQJ138" s="547"/>
      <c r="LQK138" s="547"/>
      <c r="LQL138" s="547"/>
      <c r="LQM138" s="548"/>
      <c r="LQN138" s="547"/>
      <c r="LQO138" s="547"/>
      <c r="LQP138" s="547"/>
      <c r="LQQ138" s="552"/>
      <c r="LQR138" s="548"/>
      <c r="LQS138" s="552"/>
      <c r="LQT138" s="552"/>
      <c r="LQU138" s="552"/>
      <c r="LQV138" s="552"/>
      <c r="LQW138" s="548"/>
      <c r="LQX138" s="553"/>
      <c r="LQY138" s="553"/>
      <c r="LQZ138" s="553"/>
      <c r="LRA138" s="8"/>
      <c r="LRB138" s="8"/>
      <c r="LRC138" s="458"/>
      <c r="LRD138" s="8"/>
      <c r="LRE138" s="8"/>
      <c r="LRF138" s="547"/>
      <c r="LRG138" s="547"/>
      <c r="LRH138" s="547"/>
      <c r="LRI138" s="547"/>
      <c r="LRJ138" s="548"/>
      <c r="LRK138" s="547"/>
      <c r="LRL138" s="547"/>
      <c r="LRM138" s="547"/>
      <c r="LRN138" s="547"/>
      <c r="LRO138" s="548"/>
      <c r="LRP138" s="547"/>
      <c r="LRQ138" s="547"/>
      <c r="LRR138" s="547"/>
      <c r="LRS138" s="547"/>
      <c r="LRT138" s="548"/>
      <c r="LRU138" s="547"/>
      <c r="LRV138" s="547"/>
      <c r="LRW138" s="547"/>
      <c r="LRX138" s="552"/>
      <c r="LRY138" s="548"/>
      <c r="LRZ138" s="552"/>
      <c r="LSA138" s="552"/>
      <c r="LSB138" s="552"/>
      <c r="LSC138" s="552"/>
      <c r="LSD138" s="548"/>
      <c r="LSE138" s="553"/>
      <c r="LSF138" s="553"/>
      <c r="LSG138" s="553"/>
      <c r="LSH138" s="8"/>
      <c r="LSI138" s="8"/>
      <c r="LSJ138" s="458"/>
      <c r="LSK138" s="8"/>
      <c r="LSL138" s="8"/>
      <c r="LSM138" s="547"/>
      <c r="LSN138" s="547"/>
      <c r="LSO138" s="547"/>
      <c r="LSP138" s="547"/>
      <c r="LSQ138" s="548"/>
      <c r="LSR138" s="547"/>
      <c r="LSS138" s="547"/>
      <c r="LST138" s="547"/>
      <c r="LSU138" s="547"/>
      <c r="LSV138" s="548"/>
      <c r="LSW138" s="547"/>
      <c r="LSX138" s="547"/>
      <c r="LSY138" s="547"/>
      <c r="LSZ138" s="547"/>
      <c r="LTA138" s="548"/>
      <c r="LTB138" s="547"/>
      <c r="LTC138" s="547"/>
      <c r="LTD138" s="547"/>
      <c r="LTE138" s="552"/>
      <c r="LTF138" s="548"/>
      <c r="LTG138" s="552"/>
      <c r="LTH138" s="552"/>
      <c r="LTI138" s="552"/>
      <c r="LTJ138" s="552"/>
      <c r="LTK138" s="548"/>
      <c r="LTL138" s="553"/>
      <c r="LTM138" s="553"/>
      <c r="LTN138" s="553"/>
      <c r="LTO138" s="8"/>
      <c r="LTP138" s="8"/>
      <c r="LTQ138" s="458"/>
      <c r="LTR138" s="8"/>
      <c r="LTS138" s="8"/>
      <c r="LTT138" s="547"/>
      <c r="LTU138" s="547"/>
      <c r="LTV138" s="547"/>
      <c r="LTW138" s="547"/>
      <c r="LTX138" s="548"/>
      <c r="LTY138" s="547"/>
      <c r="LTZ138" s="547"/>
      <c r="LUA138" s="547"/>
      <c r="LUB138" s="547"/>
      <c r="LUC138" s="548"/>
      <c r="LUD138" s="547"/>
      <c r="LUE138" s="547"/>
      <c r="LUF138" s="547"/>
      <c r="LUG138" s="547"/>
      <c r="LUH138" s="548"/>
      <c r="LUI138" s="547"/>
      <c r="LUJ138" s="547"/>
      <c r="LUK138" s="547"/>
      <c r="LUL138" s="552"/>
      <c r="LUM138" s="548"/>
      <c r="LUN138" s="552"/>
      <c r="LUO138" s="552"/>
      <c r="LUP138" s="552"/>
      <c r="LUQ138" s="552"/>
      <c r="LUR138" s="548"/>
      <c r="LUS138" s="553"/>
      <c r="LUT138" s="553"/>
      <c r="LUU138" s="553"/>
      <c r="LUV138" s="8"/>
      <c r="LUW138" s="8"/>
      <c r="LUX138" s="458"/>
      <c r="LUY138" s="8"/>
      <c r="LUZ138" s="8"/>
      <c r="LVA138" s="547"/>
      <c r="LVB138" s="547"/>
      <c r="LVC138" s="547"/>
      <c r="LVD138" s="547"/>
      <c r="LVE138" s="548"/>
      <c r="LVF138" s="547"/>
      <c r="LVG138" s="547"/>
      <c r="LVH138" s="547"/>
      <c r="LVI138" s="547"/>
      <c r="LVJ138" s="548"/>
      <c r="LVK138" s="547"/>
      <c r="LVL138" s="547"/>
      <c r="LVM138" s="547"/>
      <c r="LVN138" s="547"/>
      <c r="LVO138" s="548"/>
      <c r="LVP138" s="547"/>
      <c r="LVQ138" s="547"/>
      <c r="LVR138" s="547"/>
      <c r="LVS138" s="552"/>
      <c r="LVT138" s="548"/>
      <c r="LVU138" s="552"/>
      <c r="LVV138" s="552"/>
      <c r="LVW138" s="552"/>
      <c r="LVX138" s="552"/>
      <c r="LVY138" s="548"/>
      <c r="LVZ138" s="553"/>
      <c r="LWA138" s="553"/>
      <c r="LWB138" s="553"/>
      <c r="LWC138" s="8"/>
      <c r="LWD138" s="8"/>
      <c r="LWE138" s="458"/>
      <c r="LWF138" s="8"/>
      <c r="LWG138" s="8"/>
      <c r="LWH138" s="547"/>
      <c r="LWI138" s="547"/>
      <c r="LWJ138" s="547"/>
      <c r="LWK138" s="547"/>
      <c r="LWL138" s="548"/>
      <c r="LWM138" s="547"/>
      <c r="LWN138" s="547"/>
      <c r="LWO138" s="547"/>
      <c r="LWP138" s="547"/>
      <c r="LWQ138" s="548"/>
      <c r="LWR138" s="547"/>
      <c r="LWS138" s="547"/>
      <c r="LWT138" s="547"/>
      <c r="LWU138" s="547"/>
      <c r="LWV138" s="548"/>
      <c r="LWW138" s="547"/>
      <c r="LWX138" s="547"/>
      <c r="LWY138" s="547"/>
      <c r="LWZ138" s="552"/>
      <c r="LXA138" s="548"/>
      <c r="LXB138" s="552"/>
      <c r="LXC138" s="552"/>
      <c r="LXD138" s="552"/>
      <c r="LXE138" s="552"/>
      <c r="LXF138" s="548"/>
      <c r="LXG138" s="553"/>
      <c r="LXH138" s="553"/>
      <c r="LXI138" s="553"/>
      <c r="LXJ138" s="8"/>
      <c r="LXK138" s="8"/>
      <c r="LXL138" s="458"/>
      <c r="LXM138" s="8"/>
      <c r="LXN138" s="8"/>
      <c r="LXO138" s="547"/>
      <c r="LXP138" s="547"/>
      <c r="LXQ138" s="547"/>
      <c r="LXR138" s="547"/>
      <c r="LXS138" s="548"/>
      <c r="LXT138" s="547"/>
      <c r="LXU138" s="547"/>
      <c r="LXV138" s="547"/>
      <c r="LXW138" s="547"/>
      <c r="LXX138" s="548"/>
      <c r="LXY138" s="547"/>
      <c r="LXZ138" s="547"/>
      <c r="LYA138" s="547"/>
      <c r="LYB138" s="547"/>
      <c r="LYC138" s="548"/>
      <c r="LYD138" s="547"/>
      <c r="LYE138" s="547"/>
      <c r="LYF138" s="547"/>
      <c r="LYG138" s="552"/>
      <c r="LYH138" s="548"/>
      <c r="LYI138" s="552"/>
      <c r="LYJ138" s="552"/>
      <c r="LYK138" s="552"/>
      <c r="LYL138" s="552"/>
      <c r="LYM138" s="548"/>
      <c r="LYN138" s="553"/>
      <c r="LYO138" s="553"/>
      <c r="LYP138" s="553"/>
      <c r="LYQ138" s="8"/>
      <c r="LYR138" s="8"/>
      <c r="LYS138" s="458"/>
      <c r="LYT138" s="8"/>
      <c r="LYU138" s="8"/>
      <c r="LYV138" s="547"/>
      <c r="LYW138" s="547"/>
      <c r="LYX138" s="547"/>
      <c r="LYY138" s="547"/>
      <c r="LYZ138" s="548"/>
      <c r="LZA138" s="547"/>
      <c r="LZB138" s="547"/>
      <c r="LZC138" s="547"/>
      <c r="LZD138" s="547"/>
      <c r="LZE138" s="548"/>
      <c r="LZF138" s="547"/>
      <c r="LZG138" s="547"/>
      <c r="LZH138" s="547"/>
      <c r="LZI138" s="547"/>
      <c r="LZJ138" s="548"/>
      <c r="LZK138" s="547"/>
      <c r="LZL138" s="547"/>
      <c r="LZM138" s="547"/>
      <c r="LZN138" s="552"/>
      <c r="LZO138" s="548"/>
      <c r="LZP138" s="552"/>
      <c r="LZQ138" s="552"/>
      <c r="LZR138" s="552"/>
      <c r="LZS138" s="552"/>
      <c r="LZT138" s="548"/>
      <c r="LZU138" s="553"/>
      <c r="LZV138" s="553"/>
      <c r="LZW138" s="553"/>
      <c r="LZX138" s="8"/>
      <c r="LZY138" s="8"/>
      <c r="LZZ138" s="458"/>
      <c r="MAA138" s="8"/>
      <c r="MAB138" s="8"/>
      <c r="MAC138" s="547"/>
      <c r="MAD138" s="547"/>
      <c r="MAE138" s="547"/>
      <c r="MAF138" s="547"/>
      <c r="MAG138" s="548"/>
      <c r="MAH138" s="547"/>
      <c r="MAI138" s="547"/>
      <c r="MAJ138" s="547"/>
      <c r="MAK138" s="547"/>
      <c r="MAL138" s="548"/>
      <c r="MAM138" s="547"/>
      <c r="MAN138" s="547"/>
      <c r="MAO138" s="547"/>
      <c r="MAP138" s="547"/>
      <c r="MAQ138" s="548"/>
      <c r="MAR138" s="547"/>
      <c r="MAS138" s="547"/>
      <c r="MAT138" s="547"/>
      <c r="MAU138" s="552"/>
      <c r="MAV138" s="548"/>
      <c r="MAW138" s="552"/>
      <c r="MAX138" s="552"/>
      <c r="MAY138" s="552"/>
      <c r="MAZ138" s="552"/>
      <c r="MBA138" s="548"/>
      <c r="MBB138" s="553"/>
      <c r="MBC138" s="553"/>
      <c r="MBD138" s="553"/>
      <c r="MBE138" s="8"/>
      <c r="MBF138" s="8"/>
      <c r="MBG138" s="458"/>
      <c r="MBH138" s="8"/>
      <c r="MBI138" s="8"/>
      <c r="MBJ138" s="547"/>
      <c r="MBK138" s="547"/>
      <c r="MBL138" s="547"/>
      <c r="MBM138" s="547"/>
      <c r="MBN138" s="548"/>
      <c r="MBO138" s="547"/>
      <c r="MBP138" s="547"/>
      <c r="MBQ138" s="547"/>
      <c r="MBR138" s="547"/>
      <c r="MBS138" s="548"/>
      <c r="MBT138" s="547"/>
      <c r="MBU138" s="547"/>
      <c r="MBV138" s="547"/>
      <c r="MBW138" s="547"/>
      <c r="MBX138" s="548"/>
      <c r="MBY138" s="547"/>
      <c r="MBZ138" s="547"/>
      <c r="MCA138" s="547"/>
      <c r="MCB138" s="552"/>
      <c r="MCC138" s="548"/>
      <c r="MCD138" s="552"/>
      <c r="MCE138" s="552"/>
      <c r="MCF138" s="552"/>
      <c r="MCG138" s="552"/>
      <c r="MCH138" s="548"/>
      <c r="MCI138" s="553"/>
      <c r="MCJ138" s="553"/>
      <c r="MCK138" s="553"/>
      <c r="MCL138" s="8"/>
      <c r="MCM138" s="8"/>
      <c r="MCN138" s="458"/>
      <c r="MCO138" s="8"/>
      <c r="MCP138" s="8"/>
      <c r="MCQ138" s="547"/>
      <c r="MCR138" s="547"/>
      <c r="MCS138" s="547"/>
      <c r="MCT138" s="547"/>
      <c r="MCU138" s="548"/>
      <c r="MCV138" s="547"/>
      <c r="MCW138" s="547"/>
      <c r="MCX138" s="547"/>
      <c r="MCY138" s="547"/>
      <c r="MCZ138" s="548"/>
      <c r="MDA138" s="547"/>
      <c r="MDB138" s="547"/>
      <c r="MDC138" s="547"/>
      <c r="MDD138" s="547"/>
      <c r="MDE138" s="548"/>
      <c r="MDF138" s="547"/>
      <c r="MDG138" s="547"/>
      <c r="MDH138" s="547"/>
      <c r="MDI138" s="552"/>
      <c r="MDJ138" s="548"/>
      <c r="MDK138" s="552"/>
      <c r="MDL138" s="552"/>
      <c r="MDM138" s="552"/>
      <c r="MDN138" s="552"/>
      <c r="MDO138" s="548"/>
      <c r="MDP138" s="553"/>
      <c r="MDQ138" s="553"/>
      <c r="MDR138" s="553"/>
      <c r="MDS138" s="8"/>
      <c r="MDT138" s="8"/>
      <c r="MDU138" s="458"/>
      <c r="MDV138" s="8"/>
      <c r="MDW138" s="8"/>
      <c r="MDX138" s="547"/>
      <c r="MDY138" s="547"/>
      <c r="MDZ138" s="547"/>
      <c r="MEA138" s="547"/>
      <c r="MEB138" s="548"/>
      <c r="MEC138" s="547"/>
      <c r="MED138" s="547"/>
      <c r="MEE138" s="547"/>
      <c r="MEF138" s="547"/>
      <c r="MEG138" s="548"/>
      <c r="MEH138" s="547"/>
      <c r="MEI138" s="547"/>
      <c r="MEJ138" s="547"/>
      <c r="MEK138" s="547"/>
      <c r="MEL138" s="548"/>
      <c r="MEM138" s="547"/>
      <c r="MEN138" s="547"/>
      <c r="MEO138" s="547"/>
      <c r="MEP138" s="552"/>
      <c r="MEQ138" s="548"/>
      <c r="MER138" s="552"/>
      <c r="MES138" s="552"/>
      <c r="MET138" s="552"/>
      <c r="MEU138" s="552"/>
      <c r="MEV138" s="548"/>
      <c r="MEW138" s="553"/>
      <c r="MEX138" s="553"/>
      <c r="MEY138" s="553"/>
      <c r="MEZ138" s="8"/>
      <c r="MFA138" s="8"/>
      <c r="MFB138" s="458"/>
      <c r="MFC138" s="8"/>
      <c r="MFD138" s="8"/>
      <c r="MFE138" s="547"/>
      <c r="MFF138" s="547"/>
      <c r="MFG138" s="547"/>
      <c r="MFH138" s="547"/>
      <c r="MFI138" s="548"/>
      <c r="MFJ138" s="547"/>
      <c r="MFK138" s="547"/>
      <c r="MFL138" s="547"/>
      <c r="MFM138" s="547"/>
      <c r="MFN138" s="548"/>
      <c r="MFO138" s="547"/>
      <c r="MFP138" s="547"/>
      <c r="MFQ138" s="547"/>
      <c r="MFR138" s="547"/>
      <c r="MFS138" s="548"/>
      <c r="MFT138" s="547"/>
      <c r="MFU138" s="547"/>
      <c r="MFV138" s="547"/>
      <c r="MFW138" s="552"/>
      <c r="MFX138" s="548"/>
      <c r="MFY138" s="552"/>
      <c r="MFZ138" s="552"/>
      <c r="MGA138" s="552"/>
      <c r="MGB138" s="552"/>
      <c r="MGC138" s="548"/>
      <c r="MGD138" s="553"/>
      <c r="MGE138" s="553"/>
      <c r="MGF138" s="553"/>
      <c r="MGG138" s="8"/>
      <c r="MGH138" s="8"/>
      <c r="MGI138" s="458"/>
      <c r="MGJ138" s="8"/>
      <c r="MGK138" s="8"/>
      <c r="MGL138" s="547"/>
      <c r="MGM138" s="547"/>
      <c r="MGN138" s="547"/>
      <c r="MGO138" s="547"/>
      <c r="MGP138" s="548"/>
      <c r="MGQ138" s="547"/>
      <c r="MGR138" s="547"/>
      <c r="MGS138" s="547"/>
      <c r="MGT138" s="547"/>
      <c r="MGU138" s="548"/>
      <c r="MGV138" s="547"/>
      <c r="MGW138" s="547"/>
      <c r="MGX138" s="547"/>
      <c r="MGY138" s="547"/>
      <c r="MGZ138" s="548"/>
      <c r="MHA138" s="547"/>
      <c r="MHB138" s="547"/>
      <c r="MHC138" s="547"/>
      <c r="MHD138" s="552"/>
      <c r="MHE138" s="548"/>
      <c r="MHF138" s="552"/>
      <c r="MHG138" s="552"/>
      <c r="MHH138" s="552"/>
      <c r="MHI138" s="552"/>
      <c r="MHJ138" s="548"/>
      <c r="MHK138" s="553"/>
      <c r="MHL138" s="553"/>
      <c r="MHM138" s="553"/>
      <c r="MHN138" s="8"/>
      <c r="MHO138" s="8"/>
      <c r="MHP138" s="458"/>
      <c r="MHQ138" s="8"/>
      <c r="MHR138" s="8"/>
      <c r="MHS138" s="547"/>
      <c r="MHT138" s="547"/>
      <c r="MHU138" s="547"/>
      <c r="MHV138" s="547"/>
      <c r="MHW138" s="548"/>
      <c r="MHX138" s="547"/>
      <c r="MHY138" s="547"/>
      <c r="MHZ138" s="547"/>
      <c r="MIA138" s="547"/>
      <c r="MIB138" s="548"/>
      <c r="MIC138" s="547"/>
      <c r="MID138" s="547"/>
      <c r="MIE138" s="547"/>
      <c r="MIF138" s="547"/>
      <c r="MIG138" s="548"/>
      <c r="MIH138" s="547"/>
      <c r="MII138" s="547"/>
      <c r="MIJ138" s="547"/>
      <c r="MIK138" s="552"/>
      <c r="MIL138" s="548"/>
      <c r="MIM138" s="552"/>
      <c r="MIN138" s="552"/>
      <c r="MIO138" s="552"/>
      <c r="MIP138" s="552"/>
      <c r="MIQ138" s="548"/>
      <c r="MIR138" s="553"/>
      <c r="MIS138" s="553"/>
      <c r="MIT138" s="553"/>
      <c r="MIU138" s="8"/>
      <c r="MIV138" s="8"/>
      <c r="MIW138" s="458"/>
      <c r="MIX138" s="8"/>
      <c r="MIY138" s="8"/>
      <c r="MIZ138" s="547"/>
      <c r="MJA138" s="547"/>
      <c r="MJB138" s="547"/>
      <c r="MJC138" s="547"/>
      <c r="MJD138" s="548"/>
      <c r="MJE138" s="547"/>
      <c r="MJF138" s="547"/>
      <c r="MJG138" s="547"/>
      <c r="MJH138" s="547"/>
      <c r="MJI138" s="548"/>
      <c r="MJJ138" s="547"/>
      <c r="MJK138" s="547"/>
      <c r="MJL138" s="547"/>
      <c r="MJM138" s="547"/>
      <c r="MJN138" s="548"/>
      <c r="MJO138" s="547"/>
      <c r="MJP138" s="547"/>
      <c r="MJQ138" s="547"/>
      <c r="MJR138" s="552"/>
      <c r="MJS138" s="548"/>
      <c r="MJT138" s="552"/>
      <c r="MJU138" s="552"/>
      <c r="MJV138" s="552"/>
      <c r="MJW138" s="552"/>
      <c r="MJX138" s="548"/>
      <c r="MJY138" s="553"/>
      <c r="MJZ138" s="553"/>
      <c r="MKA138" s="553"/>
      <c r="MKB138" s="8"/>
      <c r="MKC138" s="8"/>
      <c r="MKD138" s="458"/>
      <c r="MKE138" s="8"/>
      <c r="MKF138" s="8"/>
      <c r="MKG138" s="547"/>
      <c r="MKH138" s="547"/>
      <c r="MKI138" s="547"/>
      <c r="MKJ138" s="547"/>
      <c r="MKK138" s="548"/>
      <c r="MKL138" s="547"/>
      <c r="MKM138" s="547"/>
      <c r="MKN138" s="547"/>
      <c r="MKO138" s="547"/>
      <c r="MKP138" s="548"/>
      <c r="MKQ138" s="547"/>
      <c r="MKR138" s="547"/>
      <c r="MKS138" s="547"/>
      <c r="MKT138" s="547"/>
      <c r="MKU138" s="548"/>
      <c r="MKV138" s="547"/>
      <c r="MKW138" s="547"/>
      <c r="MKX138" s="547"/>
      <c r="MKY138" s="552"/>
      <c r="MKZ138" s="548"/>
      <c r="MLA138" s="552"/>
      <c r="MLB138" s="552"/>
      <c r="MLC138" s="552"/>
      <c r="MLD138" s="552"/>
      <c r="MLE138" s="548"/>
      <c r="MLF138" s="553"/>
      <c r="MLG138" s="553"/>
      <c r="MLH138" s="553"/>
      <c r="MLI138" s="8"/>
      <c r="MLJ138" s="8"/>
      <c r="MLK138" s="458"/>
      <c r="MLL138" s="8"/>
      <c r="MLM138" s="8"/>
      <c r="MLN138" s="547"/>
      <c r="MLO138" s="547"/>
      <c r="MLP138" s="547"/>
      <c r="MLQ138" s="547"/>
      <c r="MLR138" s="548"/>
      <c r="MLS138" s="547"/>
      <c r="MLT138" s="547"/>
      <c r="MLU138" s="547"/>
      <c r="MLV138" s="547"/>
      <c r="MLW138" s="548"/>
      <c r="MLX138" s="547"/>
      <c r="MLY138" s="547"/>
      <c r="MLZ138" s="547"/>
      <c r="MMA138" s="547"/>
      <c r="MMB138" s="548"/>
      <c r="MMC138" s="547"/>
      <c r="MMD138" s="547"/>
      <c r="MME138" s="547"/>
      <c r="MMF138" s="552"/>
      <c r="MMG138" s="548"/>
      <c r="MMH138" s="552"/>
      <c r="MMI138" s="552"/>
      <c r="MMJ138" s="552"/>
      <c r="MMK138" s="552"/>
      <c r="MML138" s="548"/>
      <c r="MMM138" s="553"/>
      <c r="MMN138" s="553"/>
      <c r="MMO138" s="553"/>
      <c r="MMP138" s="8"/>
      <c r="MMQ138" s="8"/>
      <c r="MMR138" s="458"/>
      <c r="MMS138" s="8"/>
      <c r="MMT138" s="8"/>
      <c r="MMU138" s="547"/>
      <c r="MMV138" s="547"/>
      <c r="MMW138" s="547"/>
      <c r="MMX138" s="547"/>
      <c r="MMY138" s="548"/>
      <c r="MMZ138" s="547"/>
      <c r="MNA138" s="547"/>
      <c r="MNB138" s="547"/>
      <c r="MNC138" s="547"/>
      <c r="MND138" s="548"/>
      <c r="MNE138" s="547"/>
      <c r="MNF138" s="547"/>
      <c r="MNG138" s="547"/>
      <c r="MNH138" s="547"/>
      <c r="MNI138" s="548"/>
      <c r="MNJ138" s="547"/>
      <c r="MNK138" s="547"/>
      <c r="MNL138" s="547"/>
      <c r="MNM138" s="552"/>
      <c r="MNN138" s="548"/>
      <c r="MNO138" s="552"/>
      <c r="MNP138" s="552"/>
      <c r="MNQ138" s="552"/>
      <c r="MNR138" s="552"/>
      <c r="MNS138" s="548"/>
      <c r="MNT138" s="553"/>
      <c r="MNU138" s="553"/>
      <c r="MNV138" s="553"/>
      <c r="MNW138" s="8"/>
      <c r="MNX138" s="8"/>
      <c r="MNY138" s="458"/>
      <c r="MNZ138" s="8"/>
      <c r="MOA138" s="8"/>
      <c r="MOB138" s="547"/>
      <c r="MOC138" s="547"/>
      <c r="MOD138" s="547"/>
      <c r="MOE138" s="547"/>
      <c r="MOF138" s="548"/>
      <c r="MOG138" s="547"/>
      <c r="MOH138" s="547"/>
      <c r="MOI138" s="547"/>
      <c r="MOJ138" s="547"/>
      <c r="MOK138" s="548"/>
      <c r="MOL138" s="547"/>
      <c r="MOM138" s="547"/>
      <c r="MON138" s="547"/>
      <c r="MOO138" s="547"/>
      <c r="MOP138" s="548"/>
      <c r="MOQ138" s="547"/>
      <c r="MOR138" s="547"/>
      <c r="MOS138" s="547"/>
      <c r="MOT138" s="552"/>
      <c r="MOU138" s="548"/>
      <c r="MOV138" s="552"/>
      <c r="MOW138" s="552"/>
      <c r="MOX138" s="552"/>
      <c r="MOY138" s="552"/>
      <c r="MOZ138" s="548"/>
      <c r="MPA138" s="553"/>
      <c r="MPB138" s="553"/>
      <c r="MPC138" s="553"/>
      <c r="MPD138" s="8"/>
      <c r="MPE138" s="8"/>
      <c r="MPF138" s="458"/>
      <c r="MPG138" s="8"/>
      <c r="MPH138" s="8"/>
      <c r="MPI138" s="547"/>
      <c r="MPJ138" s="547"/>
      <c r="MPK138" s="547"/>
      <c r="MPL138" s="547"/>
      <c r="MPM138" s="548"/>
      <c r="MPN138" s="547"/>
      <c r="MPO138" s="547"/>
      <c r="MPP138" s="547"/>
      <c r="MPQ138" s="547"/>
      <c r="MPR138" s="548"/>
      <c r="MPS138" s="547"/>
      <c r="MPT138" s="547"/>
      <c r="MPU138" s="547"/>
      <c r="MPV138" s="547"/>
      <c r="MPW138" s="548"/>
      <c r="MPX138" s="547"/>
      <c r="MPY138" s="547"/>
      <c r="MPZ138" s="547"/>
      <c r="MQA138" s="552"/>
      <c r="MQB138" s="548"/>
      <c r="MQC138" s="552"/>
      <c r="MQD138" s="552"/>
      <c r="MQE138" s="552"/>
      <c r="MQF138" s="552"/>
      <c r="MQG138" s="548"/>
      <c r="MQH138" s="553"/>
      <c r="MQI138" s="553"/>
      <c r="MQJ138" s="553"/>
      <c r="MQK138" s="8"/>
      <c r="MQL138" s="8"/>
      <c r="MQM138" s="458"/>
      <c r="MQN138" s="8"/>
      <c r="MQO138" s="8"/>
      <c r="MQP138" s="547"/>
      <c r="MQQ138" s="547"/>
      <c r="MQR138" s="547"/>
      <c r="MQS138" s="547"/>
      <c r="MQT138" s="548"/>
      <c r="MQU138" s="547"/>
      <c r="MQV138" s="547"/>
      <c r="MQW138" s="547"/>
      <c r="MQX138" s="547"/>
      <c r="MQY138" s="548"/>
      <c r="MQZ138" s="547"/>
      <c r="MRA138" s="547"/>
      <c r="MRB138" s="547"/>
      <c r="MRC138" s="547"/>
      <c r="MRD138" s="548"/>
      <c r="MRE138" s="547"/>
      <c r="MRF138" s="547"/>
      <c r="MRG138" s="547"/>
      <c r="MRH138" s="552"/>
      <c r="MRI138" s="548"/>
      <c r="MRJ138" s="552"/>
      <c r="MRK138" s="552"/>
      <c r="MRL138" s="552"/>
      <c r="MRM138" s="552"/>
      <c r="MRN138" s="548"/>
      <c r="MRO138" s="553"/>
      <c r="MRP138" s="553"/>
      <c r="MRQ138" s="553"/>
      <c r="MRR138" s="8"/>
      <c r="MRS138" s="8"/>
      <c r="MRT138" s="458"/>
      <c r="MRU138" s="8"/>
      <c r="MRV138" s="8"/>
      <c r="MRW138" s="547"/>
      <c r="MRX138" s="547"/>
      <c r="MRY138" s="547"/>
      <c r="MRZ138" s="547"/>
      <c r="MSA138" s="548"/>
      <c r="MSB138" s="547"/>
      <c r="MSC138" s="547"/>
      <c r="MSD138" s="547"/>
      <c r="MSE138" s="547"/>
      <c r="MSF138" s="548"/>
      <c r="MSG138" s="547"/>
      <c r="MSH138" s="547"/>
      <c r="MSI138" s="547"/>
      <c r="MSJ138" s="547"/>
      <c r="MSK138" s="548"/>
      <c r="MSL138" s="547"/>
      <c r="MSM138" s="547"/>
      <c r="MSN138" s="547"/>
      <c r="MSO138" s="552"/>
      <c r="MSP138" s="548"/>
      <c r="MSQ138" s="552"/>
      <c r="MSR138" s="552"/>
      <c r="MSS138" s="552"/>
      <c r="MST138" s="552"/>
      <c r="MSU138" s="548"/>
      <c r="MSV138" s="553"/>
      <c r="MSW138" s="553"/>
      <c r="MSX138" s="553"/>
      <c r="MSY138" s="8"/>
      <c r="MSZ138" s="8"/>
      <c r="MTA138" s="458"/>
      <c r="MTB138" s="8"/>
      <c r="MTC138" s="8"/>
      <c r="MTD138" s="547"/>
      <c r="MTE138" s="547"/>
      <c r="MTF138" s="547"/>
      <c r="MTG138" s="547"/>
      <c r="MTH138" s="548"/>
      <c r="MTI138" s="547"/>
      <c r="MTJ138" s="547"/>
      <c r="MTK138" s="547"/>
      <c r="MTL138" s="547"/>
      <c r="MTM138" s="548"/>
      <c r="MTN138" s="547"/>
      <c r="MTO138" s="547"/>
      <c r="MTP138" s="547"/>
      <c r="MTQ138" s="547"/>
      <c r="MTR138" s="548"/>
      <c r="MTS138" s="547"/>
      <c r="MTT138" s="547"/>
      <c r="MTU138" s="547"/>
      <c r="MTV138" s="552"/>
      <c r="MTW138" s="548"/>
      <c r="MTX138" s="552"/>
      <c r="MTY138" s="552"/>
      <c r="MTZ138" s="552"/>
      <c r="MUA138" s="552"/>
      <c r="MUB138" s="548"/>
      <c r="MUC138" s="553"/>
      <c r="MUD138" s="553"/>
      <c r="MUE138" s="553"/>
      <c r="MUF138" s="8"/>
      <c r="MUG138" s="8"/>
      <c r="MUH138" s="458"/>
      <c r="MUI138" s="8"/>
      <c r="MUJ138" s="8"/>
      <c r="MUK138" s="547"/>
      <c r="MUL138" s="547"/>
      <c r="MUM138" s="547"/>
      <c r="MUN138" s="547"/>
      <c r="MUO138" s="548"/>
      <c r="MUP138" s="547"/>
      <c r="MUQ138" s="547"/>
      <c r="MUR138" s="547"/>
      <c r="MUS138" s="547"/>
      <c r="MUT138" s="548"/>
      <c r="MUU138" s="547"/>
      <c r="MUV138" s="547"/>
      <c r="MUW138" s="547"/>
      <c r="MUX138" s="547"/>
      <c r="MUY138" s="548"/>
      <c r="MUZ138" s="547"/>
      <c r="MVA138" s="547"/>
      <c r="MVB138" s="547"/>
      <c r="MVC138" s="552"/>
      <c r="MVD138" s="548"/>
      <c r="MVE138" s="552"/>
      <c r="MVF138" s="552"/>
      <c r="MVG138" s="552"/>
      <c r="MVH138" s="552"/>
      <c r="MVI138" s="548"/>
      <c r="MVJ138" s="553"/>
      <c r="MVK138" s="553"/>
      <c r="MVL138" s="553"/>
      <c r="MVM138" s="8"/>
      <c r="MVN138" s="8"/>
      <c r="MVO138" s="458"/>
      <c r="MVP138" s="8"/>
      <c r="MVQ138" s="8"/>
      <c r="MVR138" s="547"/>
      <c r="MVS138" s="547"/>
      <c r="MVT138" s="547"/>
      <c r="MVU138" s="547"/>
      <c r="MVV138" s="548"/>
      <c r="MVW138" s="547"/>
      <c r="MVX138" s="547"/>
      <c r="MVY138" s="547"/>
      <c r="MVZ138" s="547"/>
      <c r="MWA138" s="548"/>
      <c r="MWB138" s="547"/>
      <c r="MWC138" s="547"/>
      <c r="MWD138" s="547"/>
      <c r="MWE138" s="547"/>
      <c r="MWF138" s="548"/>
      <c r="MWG138" s="547"/>
      <c r="MWH138" s="547"/>
      <c r="MWI138" s="547"/>
      <c r="MWJ138" s="552"/>
      <c r="MWK138" s="548"/>
      <c r="MWL138" s="552"/>
      <c r="MWM138" s="552"/>
      <c r="MWN138" s="552"/>
      <c r="MWO138" s="552"/>
      <c r="MWP138" s="548"/>
      <c r="MWQ138" s="553"/>
      <c r="MWR138" s="553"/>
      <c r="MWS138" s="553"/>
      <c r="MWT138" s="8"/>
      <c r="MWU138" s="8"/>
      <c r="MWV138" s="458"/>
      <c r="MWW138" s="8"/>
      <c r="MWX138" s="8"/>
      <c r="MWY138" s="547"/>
      <c r="MWZ138" s="547"/>
      <c r="MXA138" s="547"/>
      <c r="MXB138" s="547"/>
      <c r="MXC138" s="548"/>
      <c r="MXD138" s="547"/>
      <c r="MXE138" s="547"/>
      <c r="MXF138" s="547"/>
      <c r="MXG138" s="547"/>
      <c r="MXH138" s="548"/>
      <c r="MXI138" s="547"/>
      <c r="MXJ138" s="547"/>
      <c r="MXK138" s="547"/>
      <c r="MXL138" s="547"/>
      <c r="MXM138" s="548"/>
      <c r="MXN138" s="547"/>
      <c r="MXO138" s="547"/>
      <c r="MXP138" s="547"/>
      <c r="MXQ138" s="552"/>
      <c r="MXR138" s="548"/>
      <c r="MXS138" s="552"/>
      <c r="MXT138" s="552"/>
      <c r="MXU138" s="552"/>
      <c r="MXV138" s="552"/>
      <c r="MXW138" s="548"/>
      <c r="MXX138" s="553"/>
      <c r="MXY138" s="553"/>
      <c r="MXZ138" s="553"/>
      <c r="MYA138" s="8"/>
      <c r="MYB138" s="8"/>
      <c r="MYC138" s="458"/>
      <c r="MYD138" s="8"/>
      <c r="MYE138" s="8"/>
      <c r="MYF138" s="547"/>
      <c r="MYG138" s="547"/>
      <c r="MYH138" s="547"/>
      <c r="MYI138" s="547"/>
      <c r="MYJ138" s="548"/>
      <c r="MYK138" s="547"/>
      <c r="MYL138" s="547"/>
      <c r="MYM138" s="547"/>
      <c r="MYN138" s="547"/>
      <c r="MYO138" s="548"/>
      <c r="MYP138" s="547"/>
      <c r="MYQ138" s="547"/>
      <c r="MYR138" s="547"/>
      <c r="MYS138" s="547"/>
      <c r="MYT138" s="548"/>
      <c r="MYU138" s="547"/>
      <c r="MYV138" s="547"/>
      <c r="MYW138" s="547"/>
      <c r="MYX138" s="552"/>
      <c r="MYY138" s="548"/>
      <c r="MYZ138" s="552"/>
      <c r="MZA138" s="552"/>
      <c r="MZB138" s="552"/>
      <c r="MZC138" s="552"/>
      <c r="MZD138" s="548"/>
      <c r="MZE138" s="553"/>
      <c r="MZF138" s="553"/>
      <c r="MZG138" s="553"/>
      <c r="MZH138" s="8"/>
      <c r="MZI138" s="8"/>
      <c r="MZJ138" s="458"/>
      <c r="MZK138" s="8"/>
      <c r="MZL138" s="8"/>
      <c r="MZM138" s="547"/>
      <c r="MZN138" s="547"/>
      <c r="MZO138" s="547"/>
      <c r="MZP138" s="547"/>
      <c r="MZQ138" s="548"/>
      <c r="MZR138" s="547"/>
      <c r="MZS138" s="547"/>
      <c r="MZT138" s="547"/>
      <c r="MZU138" s="547"/>
      <c r="MZV138" s="548"/>
      <c r="MZW138" s="547"/>
      <c r="MZX138" s="547"/>
      <c r="MZY138" s="547"/>
      <c r="MZZ138" s="547"/>
      <c r="NAA138" s="548"/>
      <c r="NAB138" s="547"/>
      <c r="NAC138" s="547"/>
      <c r="NAD138" s="547"/>
      <c r="NAE138" s="552"/>
      <c r="NAF138" s="548"/>
      <c r="NAG138" s="552"/>
      <c r="NAH138" s="552"/>
      <c r="NAI138" s="552"/>
      <c r="NAJ138" s="552"/>
      <c r="NAK138" s="548"/>
      <c r="NAL138" s="553"/>
      <c r="NAM138" s="553"/>
      <c r="NAN138" s="553"/>
      <c r="NAO138" s="8"/>
      <c r="NAP138" s="8"/>
      <c r="NAQ138" s="458"/>
      <c r="NAR138" s="8"/>
      <c r="NAS138" s="8"/>
      <c r="NAT138" s="547"/>
      <c r="NAU138" s="547"/>
      <c r="NAV138" s="547"/>
      <c r="NAW138" s="547"/>
      <c r="NAX138" s="548"/>
      <c r="NAY138" s="547"/>
      <c r="NAZ138" s="547"/>
      <c r="NBA138" s="547"/>
      <c r="NBB138" s="547"/>
      <c r="NBC138" s="548"/>
      <c r="NBD138" s="547"/>
      <c r="NBE138" s="547"/>
      <c r="NBF138" s="547"/>
      <c r="NBG138" s="547"/>
      <c r="NBH138" s="548"/>
      <c r="NBI138" s="547"/>
      <c r="NBJ138" s="547"/>
      <c r="NBK138" s="547"/>
      <c r="NBL138" s="552"/>
      <c r="NBM138" s="548"/>
      <c r="NBN138" s="552"/>
      <c r="NBO138" s="552"/>
      <c r="NBP138" s="552"/>
      <c r="NBQ138" s="552"/>
      <c r="NBR138" s="548"/>
      <c r="NBS138" s="553"/>
      <c r="NBT138" s="553"/>
      <c r="NBU138" s="553"/>
      <c r="NBV138" s="8"/>
      <c r="NBW138" s="8"/>
      <c r="NBX138" s="458"/>
      <c r="NBY138" s="8"/>
      <c r="NBZ138" s="8"/>
      <c r="NCA138" s="547"/>
      <c r="NCB138" s="547"/>
      <c r="NCC138" s="547"/>
      <c r="NCD138" s="547"/>
      <c r="NCE138" s="548"/>
      <c r="NCF138" s="547"/>
      <c r="NCG138" s="547"/>
      <c r="NCH138" s="547"/>
      <c r="NCI138" s="547"/>
      <c r="NCJ138" s="548"/>
      <c r="NCK138" s="547"/>
      <c r="NCL138" s="547"/>
      <c r="NCM138" s="547"/>
      <c r="NCN138" s="547"/>
      <c r="NCO138" s="548"/>
      <c r="NCP138" s="547"/>
      <c r="NCQ138" s="547"/>
      <c r="NCR138" s="547"/>
      <c r="NCS138" s="552"/>
      <c r="NCT138" s="548"/>
      <c r="NCU138" s="552"/>
      <c r="NCV138" s="552"/>
      <c r="NCW138" s="552"/>
      <c r="NCX138" s="552"/>
      <c r="NCY138" s="548"/>
      <c r="NCZ138" s="553"/>
      <c r="NDA138" s="553"/>
      <c r="NDB138" s="553"/>
      <c r="NDC138" s="8"/>
      <c r="NDD138" s="8"/>
      <c r="NDE138" s="458"/>
      <c r="NDF138" s="8"/>
      <c r="NDG138" s="8"/>
      <c r="NDH138" s="547"/>
      <c r="NDI138" s="547"/>
      <c r="NDJ138" s="547"/>
      <c r="NDK138" s="547"/>
      <c r="NDL138" s="548"/>
      <c r="NDM138" s="547"/>
      <c r="NDN138" s="547"/>
      <c r="NDO138" s="547"/>
      <c r="NDP138" s="547"/>
      <c r="NDQ138" s="548"/>
      <c r="NDR138" s="547"/>
      <c r="NDS138" s="547"/>
      <c r="NDT138" s="547"/>
      <c r="NDU138" s="547"/>
      <c r="NDV138" s="548"/>
      <c r="NDW138" s="547"/>
      <c r="NDX138" s="547"/>
      <c r="NDY138" s="547"/>
      <c r="NDZ138" s="552"/>
      <c r="NEA138" s="548"/>
      <c r="NEB138" s="552"/>
      <c r="NEC138" s="552"/>
      <c r="NED138" s="552"/>
      <c r="NEE138" s="552"/>
      <c r="NEF138" s="548"/>
      <c r="NEG138" s="553"/>
      <c r="NEH138" s="553"/>
      <c r="NEI138" s="553"/>
      <c r="NEJ138" s="8"/>
      <c r="NEK138" s="8"/>
      <c r="NEL138" s="458"/>
      <c r="NEM138" s="8"/>
      <c r="NEN138" s="8"/>
      <c r="NEO138" s="547"/>
      <c r="NEP138" s="547"/>
      <c r="NEQ138" s="547"/>
      <c r="NER138" s="547"/>
      <c r="NES138" s="548"/>
      <c r="NET138" s="547"/>
      <c r="NEU138" s="547"/>
      <c r="NEV138" s="547"/>
      <c r="NEW138" s="547"/>
      <c r="NEX138" s="548"/>
      <c r="NEY138" s="547"/>
      <c r="NEZ138" s="547"/>
      <c r="NFA138" s="547"/>
      <c r="NFB138" s="547"/>
      <c r="NFC138" s="548"/>
      <c r="NFD138" s="547"/>
      <c r="NFE138" s="547"/>
      <c r="NFF138" s="547"/>
      <c r="NFG138" s="552"/>
      <c r="NFH138" s="548"/>
      <c r="NFI138" s="552"/>
      <c r="NFJ138" s="552"/>
      <c r="NFK138" s="552"/>
      <c r="NFL138" s="552"/>
      <c r="NFM138" s="548"/>
      <c r="NFN138" s="553"/>
      <c r="NFO138" s="553"/>
      <c r="NFP138" s="553"/>
      <c r="NFQ138" s="8"/>
      <c r="NFR138" s="8"/>
      <c r="NFS138" s="458"/>
      <c r="NFT138" s="8"/>
      <c r="NFU138" s="8"/>
      <c r="NFV138" s="547"/>
      <c r="NFW138" s="547"/>
      <c r="NFX138" s="547"/>
      <c r="NFY138" s="547"/>
      <c r="NFZ138" s="548"/>
      <c r="NGA138" s="547"/>
      <c r="NGB138" s="547"/>
      <c r="NGC138" s="547"/>
      <c r="NGD138" s="547"/>
      <c r="NGE138" s="548"/>
      <c r="NGF138" s="547"/>
      <c r="NGG138" s="547"/>
      <c r="NGH138" s="547"/>
      <c r="NGI138" s="547"/>
      <c r="NGJ138" s="548"/>
      <c r="NGK138" s="547"/>
      <c r="NGL138" s="547"/>
      <c r="NGM138" s="547"/>
      <c r="NGN138" s="552"/>
      <c r="NGO138" s="548"/>
      <c r="NGP138" s="552"/>
      <c r="NGQ138" s="552"/>
      <c r="NGR138" s="552"/>
      <c r="NGS138" s="552"/>
      <c r="NGT138" s="548"/>
      <c r="NGU138" s="553"/>
      <c r="NGV138" s="553"/>
      <c r="NGW138" s="553"/>
      <c r="NGX138" s="8"/>
      <c r="NGY138" s="8"/>
      <c r="NGZ138" s="458"/>
      <c r="NHA138" s="8"/>
      <c r="NHB138" s="8"/>
      <c r="NHC138" s="547"/>
      <c r="NHD138" s="547"/>
      <c r="NHE138" s="547"/>
      <c r="NHF138" s="547"/>
      <c r="NHG138" s="548"/>
      <c r="NHH138" s="547"/>
      <c r="NHI138" s="547"/>
      <c r="NHJ138" s="547"/>
      <c r="NHK138" s="547"/>
      <c r="NHL138" s="548"/>
      <c r="NHM138" s="547"/>
      <c r="NHN138" s="547"/>
      <c r="NHO138" s="547"/>
      <c r="NHP138" s="547"/>
      <c r="NHQ138" s="548"/>
      <c r="NHR138" s="547"/>
      <c r="NHS138" s="547"/>
      <c r="NHT138" s="547"/>
      <c r="NHU138" s="552"/>
      <c r="NHV138" s="548"/>
      <c r="NHW138" s="552"/>
      <c r="NHX138" s="552"/>
      <c r="NHY138" s="552"/>
      <c r="NHZ138" s="552"/>
      <c r="NIA138" s="548"/>
      <c r="NIB138" s="553"/>
      <c r="NIC138" s="553"/>
      <c r="NID138" s="553"/>
      <c r="NIE138" s="8"/>
      <c r="NIF138" s="8"/>
      <c r="NIG138" s="458"/>
      <c r="NIH138" s="8"/>
      <c r="NII138" s="8"/>
      <c r="NIJ138" s="547"/>
      <c r="NIK138" s="547"/>
      <c r="NIL138" s="547"/>
      <c r="NIM138" s="547"/>
      <c r="NIN138" s="548"/>
      <c r="NIO138" s="547"/>
      <c r="NIP138" s="547"/>
      <c r="NIQ138" s="547"/>
      <c r="NIR138" s="547"/>
      <c r="NIS138" s="548"/>
      <c r="NIT138" s="547"/>
      <c r="NIU138" s="547"/>
      <c r="NIV138" s="547"/>
      <c r="NIW138" s="547"/>
      <c r="NIX138" s="548"/>
      <c r="NIY138" s="547"/>
      <c r="NIZ138" s="547"/>
      <c r="NJA138" s="547"/>
      <c r="NJB138" s="552"/>
      <c r="NJC138" s="548"/>
      <c r="NJD138" s="552"/>
      <c r="NJE138" s="552"/>
      <c r="NJF138" s="552"/>
      <c r="NJG138" s="552"/>
      <c r="NJH138" s="548"/>
      <c r="NJI138" s="553"/>
      <c r="NJJ138" s="553"/>
      <c r="NJK138" s="553"/>
      <c r="NJL138" s="8"/>
      <c r="NJM138" s="8"/>
      <c r="NJN138" s="458"/>
      <c r="NJO138" s="8"/>
      <c r="NJP138" s="8"/>
      <c r="NJQ138" s="547"/>
      <c r="NJR138" s="547"/>
      <c r="NJS138" s="547"/>
      <c r="NJT138" s="547"/>
      <c r="NJU138" s="548"/>
      <c r="NJV138" s="547"/>
      <c r="NJW138" s="547"/>
      <c r="NJX138" s="547"/>
      <c r="NJY138" s="547"/>
      <c r="NJZ138" s="548"/>
      <c r="NKA138" s="547"/>
      <c r="NKB138" s="547"/>
      <c r="NKC138" s="547"/>
      <c r="NKD138" s="547"/>
      <c r="NKE138" s="548"/>
      <c r="NKF138" s="547"/>
      <c r="NKG138" s="547"/>
      <c r="NKH138" s="547"/>
      <c r="NKI138" s="552"/>
      <c r="NKJ138" s="548"/>
      <c r="NKK138" s="552"/>
      <c r="NKL138" s="552"/>
      <c r="NKM138" s="552"/>
      <c r="NKN138" s="552"/>
      <c r="NKO138" s="548"/>
      <c r="NKP138" s="553"/>
      <c r="NKQ138" s="553"/>
      <c r="NKR138" s="553"/>
      <c r="NKS138" s="8"/>
      <c r="NKT138" s="8"/>
      <c r="NKU138" s="458"/>
      <c r="NKV138" s="8"/>
      <c r="NKW138" s="8"/>
      <c r="NKX138" s="547"/>
      <c r="NKY138" s="547"/>
      <c r="NKZ138" s="547"/>
      <c r="NLA138" s="547"/>
      <c r="NLB138" s="548"/>
      <c r="NLC138" s="547"/>
      <c r="NLD138" s="547"/>
      <c r="NLE138" s="547"/>
      <c r="NLF138" s="547"/>
      <c r="NLG138" s="548"/>
      <c r="NLH138" s="547"/>
      <c r="NLI138" s="547"/>
      <c r="NLJ138" s="547"/>
      <c r="NLK138" s="547"/>
      <c r="NLL138" s="548"/>
      <c r="NLM138" s="547"/>
      <c r="NLN138" s="547"/>
      <c r="NLO138" s="547"/>
      <c r="NLP138" s="552"/>
      <c r="NLQ138" s="548"/>
      <c r="NLR138" s="552"/>
      <c r="NLS138" s="552"/>
      <c r="NLT138" s="552"/>
      <c r="NLU138" s="552"/>
      <c r="NLV138" s="548"/>
      <c r="NLW138" s="553"/>
      <c r="NLX138" s="553"/>
      <c r="NLY138" s="553"/>
      <c r="NLZ138" s="8"/>
      <c r="NMA138" s="8"/>
      <c r="NMB138" s="458"/>
      <c r="NMC138" s="8"/>
      <c r="NMD138" s="8"/>
      <c r="NME138" s="547"/>
      <c r="NMF138" s="547"/>
      <c r="NMG138" s="547"/>
      <c r="NMH138" s="547"/>
      <c r="NMI138" s="548"/>
      <c r="NMJ138" s="547"/>
      <c r="NMK138" s="547"/>
      <c r="NML138" s="547"/>
      <c r="NMM138" s="547"/>
      <c r="NMN138" s="548"/>
      <c r="NMO138" s="547"/>
      <c r="NMP138" s="547"/>
      <c r="NMQ138" s="547"/>
      <c r="NMR138" s="547"/>
      <c r="NMS138" s="548"/>
      <c r="NMT138" s="547"/>
      <c r="NMU138" s="547"/>
      <c r="NMV138" s="547"/>
      <c r="NMW138" s="552"/>
      <c r="NMX138" s="548"/>
      <c r="NMY138" s="552"/>
      <c r="NMZ138" s="552"/>
      <c r="NNA138" s="552"/>
      <c r="NNB138" s="552"/>
      <c r="NNC138" s="548"/>
      <c r="NND138" s="553"/>
      <c r="NNE138" s="553"/>
      <c r="NNF138" s="553"/>
      <c r="NNG138" s="8"/>
      <c r="NNH138" s="8"/>
      <c r="NNI138" s="458"/>
      <c r="NNJ138" s="8"/>
      <c r="NNK138" s="8"/>
      <c r="NNL138" s="547"/>
      <c r="NNM138" s="547"/>
      <c r="NNN138" s="547"/>
      <c r="NNO138" s="547"/>
      <c r="NNP138" s="548"/>
      <c r="NNQ138" s="547"/>
      <c r="NNR138" s="547"/>
      <c r="NNS138" s="547"/>
      <c r="NNT138" s="547"/>
      <c r="NNU138" s="548"/>
      <c r="NNV138" s="547"/>
      <c r="NNW138" s="547"/>
      <c r="NNX138" s="547"/>
      <c r="NNY138" s="547"/>
      <c r="NNZ138" s="548"/>
      <c r="NOA138" s="547"/>
      <c r="NOB138" s="547"/>
      <c r="NOC138" s="547"/>
      <c r="NOD138" s="552"/>
      <c r="NOE138" s="548"/>
      <c r="NOF138" s="552"/>
      <c r="NOG138" s="552"/>
      <c r="NOH138" s="552"/>
      <c r="NOI138" s="552"/>
      <c r="NOJ138" s="548"/>
      <c r="NOK138" s="553"/>
      <c r="NOL138" s="553"/>
      <c r="NOM138" s="553"/>
      <c r="NON138" s="8"/>
      <c r="NOO138" s="8"/>
      <c r="NOP138" s="458"/>
      <c r="NOQ138" s="8"/>
      <c r="NOR138" s="8"/>
      <c r="NOS138" s="547"/>
      <c r="NOT138" s="547"/>
      <c r="NOU138" s="547"/>
      <c r="NOV138" s="547"/>
      <c r="NOW138" s="548"/>
      <c r="NOX138" s="547"/>
      <c r="NOY138" s="547"/>
      <c r="NOZ138" s="547"/>
      <c r="NPA138" s="547"/>
      <c r="NPB138" s="548"/>
      <c r="NPC138" s="547"/>
      <c r="NPD138" s="547"/>
      <c r="NPE138" s="547"/>
      <c r="NPF138" s="547"/>
      <c r="NPG138" s="548"/>
      <c r="NPH138" s="547"/>
      <c r="NPI138" s="547"/>
      <c r="NPJ138" s="547"/>
      <c r="NPK138" s="552"/>
      <c r="NPL138" s="548"/>
      <c r="NPM138" s="552"/>
      <c r="NPN138" s="552"/>
      <c r="NPO138" s="552"/>
      <c r="NPP138" s="552"/>
      <c r="NPQ138" s="548"/>
      <c r="NPR138" s="553"/>
      <c r="NPS138" s="553"/>
      <c r="NPT138" s="553"/>
      <c r="NPU138" s="8"/>
      <c r="NPV138" s="8"/>
      <c r="NPW138" s="458"/>
      <c r="NPX138" s="8"/>
      <c r="NPY138" s="8"/>
      <c r="NPZ138" s="547"/>
      <c r="NQA138" s="547"/>
      <c r="NQB138" s="547"/>
      <c r="NQC138" s="547"/>
      <c r="NQD138" s="548"/>
      <c r="NQE138" s="547"/>
      <c r="NQF138" s="547"/>
      <c r="NQG138" s="547"/>
      <c r="NQH138" s="547"/>
      <c r="NQI138" s="548"/>
      <c r="NQJ138" s="547"/>
      <c r="NQK138" s="547"/>
      <c r="NQL138" s="547"/>
      <c r="NQM138" s="547"/>
      <c r="NQN138" s="548"/>
      <c r="NQO138" s="547"/>
      <c r="NQP138" s="547"/>
      <c r="NQQ138" s="547"/>
      <c r="NQR138" s="552"/>
      <c r="NQS138" s="548"/>
      <c r="NQT138" s="552"/>
      <c r="NQU138" s="552"/>
      <c r="NQV138" s="552"/>
      <c r="NQW138" s="552"/>
      <c r="NQX138" s="548"/>
      <c r="NQY138" s="553"/>
      <c r="NQZ138" s="553"/>
      <c r="NRA138" s="553"/>
      <c r="NRB138" s="8"/>
      <c r="NRC138" s="8"/>
      <c r="NRD138" s="458"/>
      <c r="NRE138" s="8"/>
      <c r="NRF138" s="8"/>
      <c r="NRG138" s="547"/>
      <c r="NRH138" s="547"/>
      <c r="NRI138" s="547"/>
      <c r="NRJ138" s="547"/>
      <c r="NRK138" s="548"/>
      <c r="NRL138" s="547"/>
      <c r="NRM138" s="547"/>
      <c r="NRN138" s="547"/>
      <c r="NRO138" s="547"/>
      <c r="NRP138" s="548"/>
      <c r="NRQ138" s="547"/>
      <c r="NRR138" s="547"/>
      <c r="NRS138" s="547"/>
      <c r="NRT138" s="547"/>
      <c r="NRU138" s="548"/>
      <c r="NRV138" s="547"/>
      <c r="NRW138" s="547"/>
      <c r="NRX138" s="547"/>
      <c r="NRY138" s="552"/>
      <c r="NRZ138" s="548"/>
      <c r="NSA138" s="552"/>
      <c r="NSB138" s="552"/>
      <c r="NSC138" s="552"/>
      <c r="NSD138" s="552"/>
      <c r="NSE138" s="548"/>
      <c r="NSF138" s="553"/>
      <c r="NSG138" s="553"/>
      <c r="NSH138" s="553"/>
      <c r="NSI138" s="8"/>
      <c r="NSJ138" s="8"/>
      <c r="NSK138" s="458"/>
      <c r="NSL138" s="8"/>
      <c r="NSM138" s="8"/>
      <c r="NSN138" s="547"/>
      <c r="NSO138" s="547"/>
      <c r="NSP138" s="547"/>
      <c r="NSQ138" s="547"/>
      <c r="NSR138" s="548"/>
      <c r="NSS138" s="547"/>
      <c r="NST138" s="547"/>
      <c r="NSU138" s="547"/>
      <c r="NSV138" s="547"/>
      <c r="NSW138" s="548"/>
      <c r="NSX138" s="547"/>
      <c r="NSY138" s="547"/>
      <c r="NSZ138" s="547"/>
      <c r="NTA138" s="547"/>
      <c r="NTB138" s="548"/>
      <c r="NTC138" s="547"/>
      <c r="NTD138" s="547"/>
      <c r="NTE138" s="547"/>
      <c r="NTF138" s="552"/>
      <c r="NTG138" s="548"/>
      <c r="NTH138" s="552"/>
      <c r="NTI138" s="552"/>
      <c r="NTJ138" s="552"/>
      <c r="NTK138" s="552"/>
      <c r="NTL138" s="548"/>
      <c r="NTM138" s="553"/>
      <c r="NTN138" s="553"/>
      <c r="NTO138" s="553"/>
      <c r="NTP138" s="8"/>
      <c r="NTQ138" s="8"/>
      <c r="NTR138" s="458"/>
      <c r="NTS138" s="8"/>
      <c r="NTT138" s="8"/>
      <c r="NTU138" s="547"/>
      <c r="NTV138" s="547"/>
      <c r="NTW138" s="547"/>
      <c r="NTX138" s="547"/>
      <c r="NTY138" s="548"/>
      <c r="NTZ138" s="547"/>
      <c r="NUA138" s="547"/>
      <c r="NUB138" s="547"/>
      <c r="NUC138" s="547"/>
      <c r="NUD138" s="548"/>
      <c r="NUE138" s="547"/>
      <c r="NUF138" s="547"/>
      <c r="NUG138" s="547"/>
      <c r="NUH138" s="547"/>
      <c r="NUI138" s="548"/>
      <c r="NUJ138" s="547"/>
      <c r="NUK138" s="547"/>
      <c r="NUL138" s="547"/>
      <c r="NUM138" s="552"/>
      <c r="NUN138" s="548"/>
      <c r="NUO138" s="552"/>
      <c r="NUP138" s="552"/>
      <c r="NUQ138" s="552"/>
      <c r="NUR138" s="552"/>
      <c r="NUS138" s="548"/>
      <c r="NUT138" s="553"/>
      <c r="NUU138" s="553"/>
      <c r="NUV138" s="553"/>
      <c r="NUW138" s="8"/>
      <c r="NUX138" s="8"/>
      <c r="NUY138" s="458"/>
      <c r="NUZ138" s="8"/>
      <c r="NVA138" s="8"/>
      <c r="NVB138" s="547"/>
      <c r="NVC138" s="547"/>
      <c r="NVD138" s="547"/>
      <c r="NVE138" s="547"/>
      <c r="NVF138" s="548"/>
      <c r="NVG138" s="547"/>
      <c r="NVH138" s="547"/>
      <c r="NVI138" s="547"/>
      <c r="NVJ138" s="547"/>
      <c r="NVK138" s="548"/>
      <c r="NVL138" s="547"/>
      <c r="NVM138" s="547"/>
      <c r="NVN138" s="547"/>
      <c r="NVO138" s="547"/>
      <c r="NVP138" s="548"/>
      <c r="NVQ138" s="547"/>
      <c r="NVR138" s="547"/>
      <c r="NVS138" s="547"/>
      <c r="NVT138" s="552"/>
      <c r="NVU138" s="548"/>
      <c r="NVV138" s="552"/>
      <c r="NVW138" s="552"/>
      <c r="NVX138" s="552"/>
      <c r="NVY138" s="552"/>
      <c r="NVZ138" s="548"/>
      <c r="NWA138" s="553"/>
      <c r="NWB138" s="553"/>
      <c r="NWC138" s="553"/>
      <c r="NWD138" s="8"/>
      <c r="NWE138" s="8"/>
      <c r="NWF138" s="458"/>
      <c r="NWG138" s="8"/>
      <c r="NWH138" s="8"/>
      <c r="NWI138" s="547"/>
      <c r="NWJ138" s="547"/>
      <c r="NWK138" s="547"/>
      <c r="NWL138" s="547"/>
      <c r="NWM138" s="548"/>
      <c r="NWN138" s="547"/>
      <c r="NWO138" s="547"/>
      <c r="NWP138" s="547"/>
      <c r="NWQ138" s="547"/>
      <c r="NWR138" s="548"/>
      <c r="NWS138" s="547"/>
      <c r="NWT138" s="547"/>
      <c r="NWU138" s="547"/>
      <c r="NWV138" s="547"/>
      <c r="NWW138" s="548"/>
      <c r="NWX138" s="547"/>
      <c r="NWY138" s="547"/>
      <c r="NWZ138" s="547"/>
      <c r="NXA138" s="552"/>
      <c r="NXB138" s="548"/>
      <c r="NXC138" s="552"/>
      <c r="NXD138" s="552"/>
      <c r="NXE138" s="552"/>
      <c r="NXF138" s="552"/>
      <c r="NXG138" s="548"/>
      <c r="NXH138" s="553"/>
      <c r="NXI138" s="553"/>
      <c r="NXJ138" s="553"/>
      <c r="NXK138" s="8"/>
      <c r="NXL138" s="8"/>
      <c r="NXM138" s="458"/>
      <c r="NXN138" s="8"/>
      <c r="NXO138" s="8"/>
      <c r="NXP138" s="547"/>
      <c r="NXQ138" s="547"/>
      <c r="NXR138" s="547"/>
      <c r="NXS138" s="547"/>
      <c r="NXT138" s="548"/>
      <c r="NXU138" s="547"/>
      <c r="NXV138" s="547"/>
      <c r="NXW138" s="547"/>
      <c r="NXX138" s="547"/>
      <c r="NXY138" s="548"/>
      <c r="NXZ138" s="547"/>
      <c r="NYA138" s="547"/>
      <c r="NYB138" s="547"/>
      <c r="NYC138" s="547"/>
      <c r="NYD138" s="548"/>
      <c r="NYE138" s="547"/>
      <c r="NYF138" s="547"/>
      <c r="NYG138" s="547"/>
      <c r="NYH138" s="552"/>
      <c r="NYI138" s="548"/>
      <c r="NYJ138" s="552"/>
      <c r="NYK138" s="552"/>
      <c r="NYL138" s="552"/>
      <c r="NYM138" s="552"/>
      <c r="NYN138" s="548"/>
      <c r="NYO138" s="553"/>
      <c r="NYP138" s="553"/>
      <c r="NYQ138" s="553"/>
      <c r="NYR138" s="8"/>
      <c r="NYS138" s="8"/>
      <c r="NYT138" s="458"/>
      <c r="NYU138" s="8"/>
      <c r="NYV138" s="8"/>
      <c r="NYW138" s="547"/>
      <c r="NYX138" s="547"/>
      <c r="NYY138" s="547"/>
      <c r="NYZ138" s="547"/>
      <c r="NZA138" s="548"/>
      <c r="NZB138" s="547"/>
      <c r="NZC138" s="547"/>
      <c r="NZD138" s="547"/>
      <c r="NZE138" s="547"/>
      <c r="NZF138" s="548"/>
      <c r="NZG138" s="547"/>
      <c r="NZH138" s="547"/>
      <c r="NZI138" s="547"/>
      <c r="NZJ138" s="547"/>
      <c r="NZK138" s="548"/>
      <c r="NZL138" s="547"/>
      <c r="NZM138" s="547"/>
      <c r="NZN138" s="547"/>
      <c r="NZO138" s="552"/>
      <c r="NZP138" s="548"/>
      <c r="NZQ138" s="552"/>
      <c r="NZR138" s="552"/>
      <c r="NZS138" s="552"/>
      <c r="NZT138" s="552"/>
      <c r="NZU138" s="548"/>
      <c r="NZV138" s="553"/>
      <c r="NZW138" s="553"/>
      <c r="NZX138" s="553"/>
      <c r="NZY138" s="8"/>
      <c r="NZZ138" s="8"/>
      <c r="OAA138" s="458"/>
      <c r="OAB138" s="8"/>
      <c r="OAC138" s="8"/>
      <c r="OAD138" s="547"/>
      <c r="OAE138" s="547"/>
      <c r="OAF138" s="547"/>
      <c r="OAG138" s="547"/>
      <c r="OAH138" s="548"/>
      <c r="OAI138" s="547"/>
      <c r="OAJ138" s="547"/>
      <c r="OAK138" s="547"/>
      <c r="OAL138" s="547"/>
      <c r="OAM138" s="548"/>
      <c r="OAN138" s="547"/>
      <c r="OAO138" s="547"/>
      <c r="OAP138" s="547"/>
      <c r="OAQ138" s="547"/>
      <c r="OAR138" s="548"/>
      <c r="OAS138" s="547"/>
      <c r="OAT138" s="547"/>
      <c r="OAU138" s="547"/>
      <c r="OAV138" s="552"/>
      <c r="OAW138" s="548"/>
      <c r="OAX138" s="552"/>
      <c r="OAY138" s="552"/>
      <c r="OAZ138" s="552"/>
      <c r="OBA138" s="552"/>
      <c r="OBB138" s="548"/>
      <c r="OBC138" s="553"/>
      <c r="OBD138" s="553"/>
      <c r="OBE138" s="553"/>
      <c r="OBF138" s="8"/>
      <c r="OBG138" s="8"/>
      <c r="OBH138" s="458"/>
      <c r="OBI138" s="8"/>
      <c r="OBJ138" s="8"/>
      <c r="OBK138" s="547"/>
      <c r="OBL138" s="547"/>
      <c r="OBM138" s="547"/>
      <c r="OBN138" s="547"/>
      <c r="OBO138" s="548"/>
      <c r="OBP138" s="547"/>
      <c r="OBQ138" s="547"/>
      <c r="OBR138" s="547"/>
      <c r="OBS138" s="547"/>
      <c r="OBT138" s="548"/>
      <c r="OBU138" s="547"/>
      <c r="OBV138" s="547"/>
      <c r="OBW138" s="547"/>
      <c r="OBX138" s="547"/>
      <c r="OBY138" s="548"/>
      <c r="OBZ138" s="547"/>
      <c r="OCA138" s="547"/>
      <c r="OCB138" s="547"/>
      <c r="OCC138" s="552"/>
      <c r="OCD138" s="548"/>
      <c r="OCE138" s="552"/>
      <c r="OCF138" s="552"/>
      <c r="OCG138" s="552"/>
      <c r="OCH138" s="552"/>
      <c r="OCI138" s="548"/>
      <c r="OCJ138" s="553"/>
      <c r="OCK138" s="553"/>
      <c r="OCL138" s="553"/>
      <c r="OCM138" s="8"/>
      <c r="OCN138" s="8"/>
      <c r="OCO138" s="458"/>
      <c r="OCP138" s="8"/>
      <c r="OCQ138" s="8"/>
      <c r="OCR138" s="547"/>
      <c r="OCS138" s="547"/>
      <c r="OCT138" s="547"/>
      <c r="OCU138" s="547"/>
      <c r="OCV138" s="548"/>
      <c r="OCW138" s="547"/>
      <c r="OCX138" s="547"/>
      <c r="OCY138" s="547"/>
      <c r="OCZ138" s="547"/>
      <c r="ODA138" s="548"/>
      <c r="ODB138" s="547"/>
      <c r="ODC138" s="547"/>
      <c r="ODD138" s="547"/>
      <c r="ODE138" s="547"/>
      <c r="ODF138" s="548"/>
      <c r="ODG138" s="547"/>
      <c r="ODH138" s="547"/>
      <c r="ODI138" s="547"/>
      <c r="ODJ138" s="552"/>
      <c r="ODK138" s="548"/>
      <c r="ODL138" s="552"/>
      <c r="ODM138" s="552"/>
      <c r="ODN138" s="552"/>
      <c r="ODO138" s="552"/>
      <c r="ODP138" s="548"/>
      <c r="ODQ138" s="553"/>
      <c r="ODR138" s="553"/>
      <c r="ODS138" s="553"/>
      <c r="ODT138" s="8"/>
      <c r="ODU138" s="8"/>
      <c r="ODV138" s="458"/>
      <c r="ODW138" s="8"/>
      <c r="ODX138" s="8"/>
      <c r="ODY138" s="547"/>
      <c r="ODZ138" s="547"/>
      <c r="OEA138" s="547"/>
      <c r="OEB138" s="547"/>
      <c r="OEC138" s="548"/>
      <c r="OED138" s="547"/>
      <c r="OEE138" s="547"/>
      <c r="OEF138" s="547"/>
      <c r="OEG138" s="547"/>
      <c r="OEH138" s="548"/>
      <c r="OEI138" s="547"/>
      <c r="OEJ138" s="547"/>
      <c r="OEK138" s="547"/>
      <c r="OEL138" s="547"/>
      <c r="OEM138" s="548"/>
      <c r="OEN138" s="547"/>
      <c r="OEO138" s="547"/>
      <c r="OEP138" s="547"/>
      <c r="OEQ138" s="552"/>
      <c r="OER138" s="548"/>
      <c r="OES138" s="552"/>
      <c r="OET138" s="552"/>
      <c r="OEU138" s="552"/>
      <c r="OEV138" s="552"/>
      <c r="OEW138" s="548"/>
      <c r="OEX138" s="553"/>
      <c r="OEY138" s="553"/>
      <c r="OEZ138" s="553"/>
      <c r="OFA138" s="8"/>
      <c r="OFB138" s="8"/>
      <c r="OFC138" s="458"/>
      <c r="OFD138" s="8"/>
      <c r="OFE138" s="8"/>
      <c r="OFF138" s="547"/>
      <c r="OFG138" s="547"/>
      <c r="OFH138" s="547"/>
      <c r="OFI138" s="547"/>
      <c r="OFJ138" s="548"/>
      <c r="OFK138" s="547"/>
      <c r="OFL138" s="547"/>
      <c r="OFM138" s="547"/>
      <c r="OFN138" s="547"/>
      <c r="OFO138" s="548"/>
      <c r="OFP138" s="547"/>
      <c r="OFQ138" s="547"/>
      <c r="OFR138" s="547"/>
      <c r="OFS138" s="547"/>
      <c r="OFT138" s="548"/>
      <c r="OFU138" s="547"/>
      <c r="OFV138" s="547"/>
      <c r="OFW138" s="547"/>
      <c r="OFX138" s="552"/>
      <c r="OFY138" s="548"/>
      <c r="OFZ138" s="552"/>
      <c r="OGA138" s="552"/>
      <c r="OGB138" s="552"/>
      <c r="OGC138" s="552"/>
      <c r="OGD138" s="548"/>
      <c r="OGE138" s="553"/>
      <c r="OGF138" s="553"/>
      <c r="OGG138" s="553"/>
      <c r="OGH138" s="8"/>
      <c r="OGI138" s="8"/>
      <c r="OGJ138" s="458"/>
      <c r="OGK138" s="8"/>
      <c r="OGL138" s="8"/>
      <c r="OGM138" s="547"/>
      <c r="OGN138" s="547"/>
      <c r="OGO138" s="547"/>
      <c r="OGP138" s="547"/>
      <c r="OGQ138" s="548"/>
      <c r="OGR138" s="547"/>
      <c r="OGS138" s="547"/>
      <c r="OGT138" s="547"/>
      <c r="OGU138" s="547"/>
      <c r="OGV138" s="548"/>
      <c r="OGW138" s="547"/>
      <c r="OGX138" s="547"/>
      <c r="OGY138" s="547"/>
      <c r="OGZ138" s="547"/>
      <c r="OHA138" s="548"/>
      <c r="OHB138" s="547"/>
      <c r="OHC138" s="547"/>
      <c r="OHD138" s="547"/>
      <c r="OHE138" s="552"/>
      <c r="OHF138" s="548"/>
      <c r="OHG138" s="552"/>
      <c r="OHH138" s="552"/>
      <c r="OHI138" s="552"/>
      <c r="OHJ138" s="552"/>
      <c r="OHK138" s="548"/>
      <c r="OHL138" s="553"/>
      <c r="OHM138" s="553"/>
      <c r="OHN138" s="553"/>
      <c r="OHO138" s="8"/>
      <c r="OHP138" s="8"/>
      <c r="OHQ138" s="458"/>
      <c r="OHR138" s="8"/>
      <c r="OHS138" s="8"/>
      <c r="OHT138" s="547"/>
      <c r="OHU138" s="547"/>
      <c r="OHV138" s="547"/>
      <c r="OHW138" s="547"/>
      <c r="OHX138" s="548"/>
      <c r="OHY138" s="547"/>
      <c r="OHZ138" s="547"/>
      <c r="OIA138" s="547"/>
      <c r="OIB138" s="547"/>
      <c r="OIC138" s="548"/>
      <c r="OID138" s="547"/>
      <c r="OIE138" s="547"/>
      <c r="OIF138" s="547"/>
      <c r="OIG138" s="547"/>
      <c r="OIH138" s="548"/>
      <c r="OII138" s="547"/>
      <c r="OIJ138" s="547"/>
      <c r="OIK138" s="547"/>
      <c r="OIL138" s="552"/>
      <c r="OIM138" s="548"/>
      <c r="OIN138" s="552"/>
      <c r="OIO138" s="552"/>
      <c r="OIP138" s="552"/>
      <c r="OIQ138" s="552"/>
      <c r="OIR138" s="548"/>
      <c r="OIS138" s="553"/>
      <c r="OIT138" s="553"/>
      <c r="OIU138" s="553"/>
      <c r="OIV138" s="8"/>
      <c r="OIW138" s="8"/>
      <c r="OIX138" s="458"/>
      <c r="OIY138" s="8"/>
      <c r="OIZ138" s="8"/>
      <c r="OJA138" s="547"/>
      <c r="OJB138" s="547"/>
      <c r="OJC138" s="547"/>
      <c r="OJD138" s="547"/>
      <c r="OJE138" s="548"/>
      <c r="OJF138" s="547"/>
      <c r="OJG138" s="547"/>
      <c r="OJH138" s="547"/>
      <c r="OJI138" s="547"/>
      <c r="OJJ138" s="548"/>
      <c r="OJK138" s="547"/>
      <c r="OJL138" s="547"/>
      <c r="OJM138" s="547"/>
      <c r="OJN138" s="547"/>
      <c r="OJO138" s="548"/>
      <c r="OJP138" s="547"/>
      <c r="OJQ138" s="547"/>
      <c r="OJR138" s="547"/>
      <c r="OJS138" s="552"/>
      <c r="OJT138" s="548"/>
      <c r="OJU138" s="552"/>
      <c r="OJV138" s="552"/>
      <c r="OJW138" s="552"/>
      <c r="OJX138" s="552"/>
      <c r="OJY138" s="548"/>
      <c r="OJZ138" s="553"/>
      <c r="OKA138" s="553"/>
      <c r="OKB138" s="553"/>
      <c r="OKC138" s="8"/>
      <c r="OKD138" s="8"/>
      <c r="OKE138" s="458"/>
      <c r="OKF138" s="8"/>
      <c r="OKG138" s="8"/>
      <c r="OKH138" s="547"/>
      <c r="OKI138" s="547"/>
      <c r="OKJ138" s="547"/>
      <c r="OKK138" s="547"/>
      <c r="OKL138" s="548"/>
      <c r="OKM138" s="547"/>
      <c r="OKN138" s="547"/>
      <c r="OKO138" s="547"/>
      <c r="OKP138" s="547"/>
      <c r="OKQ138" s="548"/>
      <c r="OKR138" s="547"/>
      <c r="OKS138" s="547"/>
      <c r="OKT138" s="547"/>
      <c r="OKU138" s="547"/>
      <c r="OKV138" s="548"/>
      <c r="OKW138" s="547"/>
      <c r="OKX138" s="547"/>
      <c r="OKY138" s="547"/>
      <c r="OKZ138" s="552"/>
      <c r="OLA138" s="548"/>
      <c r="OLB138" s="552"/>
      <c r="OLC138" s="552"/>
      <c r="OLD138" s="552"/>
      <c r="OLE138" s="552"/>
      <c r="OLF138" s="548"/>
      <c r="OLG138" s="553"/>
      <c r="OLH138" s="553"/>
      <c r="OLI138" s="553"/>
      <c r="OLJ138" s="8"/>
      <c r="OLK138" s="8"/>
      <c r="OLL138" s="458"/>
      <c r="OLM138" s="8"/>
      <c r="OLN138" s="8"/>
      <c r="OLO138" s="547"/>
      <c r="OLP138" s="547"/>
      <c r="OLQ138" s="547"/>
      <c r="OLR138" s="547"/>
      <c r="OLS138" s="548"/>
      <c r="OLT138" s="547"/>
      <c r="OLU138" s="547"/>
      <c r="OLV138" s="547"/>
      <c r="OLW138" s="547"/>
      <c r="OLX138" s="548"/>
      <c r="OLY138" s="547"/>
      <c r="OLZ138" s="547"/>
      <c r="OMA138" s="547"/>
      <c r="OMB138" s="547"/>
      <c r="OMC138" s="548"/>
      <c r="OMD138" s="547"/>
      <c r="OME138" s="547"/>
      <c r="OMF138" s="547"/>
      <c r="OMG138" s="552"/>
      <c r="OMH138" s="548"/>
      <c r="OMI138" s="552"/>
      <c r="OMJ138" s="552"/>
      <c r="OMK138" s="552"/>
      <c r="OML138" s="552"/>
      <c r="OMM138" s="548"/>
      <c r="OMN138" s="553"/>
      <c r="OMO138" s="553"/>
      <c r="OMP138" s="553"/>
      <c r="OMQ138" s="8"/>
      <c r="OMR138" s="8"/>
      <c r="OMS138" s="458"/>
      <c r="OMT138" s="8"/>
      <c r="OMU138" s="8"/>
      <c r="OMV138" s="547"/>
      <c r="OMW138" s="547"/>
      <c r="OMX138" s="547"/>
      <c r="OMY138" s="547"/>
      <c r="OMZ138" s="548"/>
      <c r="ONA138" s="547"/>
      <c r="ONB138" s="547"/>
      <c r="ONC138" s="547"/>
      <c r="OND138" s="547"/>
      <c r="ONE138" s="548"/>
      <c r="ONF138" s="547"/>
      <c r="ONG138" s="547"/>
      <c r="ONH138" s="547"/>
      <c r="ONI138" s="547"/>
      <c r="ONJ138" s="548"/>
      <c r="ONK138" s="547"/>
      <c r="ONL138" s="547"/>
      <c r="ONM138" s="547"/>
      <c r="ONN138" s="552"/>
      <c r="ONO138" s="548"/>
      <c r="ONP138" s="552"/>
      <c r="ONQ138" s="552"/>
      <c r="ONR138" s="552"/>
      <c r="ONS138" s="552"/>
      <c r="ONT138" s="548"/>
      <c r="ONU138" s="553"/>
      <c r="ONV138" s="553"/>
      <c r="ONW138" s="553"/>
      <c r="ONX138" s="8"/>
      <c r="ONY138" s="8"/>
      <c r="ONZ138" s="458"/>
      <c r="OOA138" s="8"/>
      <c r="OOB138" s="8"/>
      <c r="OOC138" s="547"/>
      <c r="OOD138" s="547"/>
      <c r="OOE138" s="547"/>
      <c r="OOF138" s="547"/>
      <c r="OOG138" s="548"/>
      <c r="OOH138" s="547"/>
      <c r="OOI138" s="547"/>
      <c r="OOJ138" s="547"/>
      <c r="OOK138" s="547"/>
      <c r="OOL138" s="548"/>
      <c r="OOM138" s="547"/>
      <c r="OON138" s="547"/>
      <c r="OOO138" s="547"/>
      <c r="OOP138" s="547"/>
      <c r="OOQ138" s="548"/>
      <c r="OOR138" s="547"/>
      <c r="OOS138" s="547"/>
      <c r="OOT138" s="547"/>
      <c r="OOU138" s="552"/>
      <c r="OOV138" s="548"/>
      <c r="OOW138" s="552"/>
      <c r="OOX138" s="552"/>
      <c r="OOY138" s="552"/>
      <c r="OOZ138" s="552"/>
      <c r="OPA138" s="548"/>
      <c r="OPB138" s="553"/>
      <c r="OPC138" s="553"/>
      <c r="OPD138" s="553"/>
      <c r="OPE138" s="8"/>
      <c r="OPF138" s="8"/>
      <c r="OPG138" s="458"/>
      <c r="OPH138" s="8"/>
      <c r="OPI138" s="8"/>
      <c r="OPJ138" s="547"/>
      <c r="OPK138" s="547"/>
      <c r="OPL138" s="547"/>
      <c r="OPM138" s="547"/>
      <c r="OPN138" s="548"/>
      <c r="OPO138" s="547"/>
      <c r="OPP138" s="547"/>
      <c r="OPQ138" s="547"/>
      <c r="OPR138" s="547"/>
      <c r="OPS138" s="548"/>
      <c r="OPT138" s="547"/>
      <c r="OPU138" s="547"/>
      <c r="OPV138" s="547"/>
      <c r="OPW138" s="547"/>
      <c r="OPX138" s="548"/>
      <c r="OPY138" s="547"/>
      <c r="OPZ138" s="547"/>
      <c r="OQA138" s="547"/>
      <c r="OQB138" s="552"/>
      <c r="OQC138" s="548"/>
      <c r="OQD138" s="552"/>
      <c r="OQE138" s="552"/>
      <c r="OQF138" s="552"/>
      <c r="OQG138" s="552"/>
      <c r="OQH138" s="548"/>
      <c r="OQI138" s="553"/>
      <c r="OQJ138" s="553"/>
      <c r="OQK138" s="553"/>
      <c r="OQL138" s="8"/>
      <c r="OQM138" s="8"/>
      <c r="OQN138" s="458"/>
      <c r="OQO138" s="8"/>
      <c r="OQP138" s="8"/>
      <c r="OQQ138" s="547"/>
      <c r="OQR138" s="547"/>
      <c r="OQS138" s="547"/>
      <c r="OQT138" s="547"/>
      <c r="OQU138" s="548"/>
      <c r="OQV138" s="547"/>
      <c r="OQW138" s="547"/>
      <c r="OQX138" s="547"/>
      <c r="OQY138" s="547"/>
      <c r="OQZ138" s="548"/>
      <c r="ORA138" s="547"/>
      <c r="ORB138" s="547"/>
      <c r="ORC138" s="547"/>
      <c r="ORD138" s="547"/>
      <c r="ORE138" s="548"/>
      <c r="ORF138" s="547"/>
      <c r="ORG138" s="547"/>
      <c r="ORH138" s="547"/>
      <c r="ORI138" s="552"/>
      <c r="ORJ138" s="548"/>
      <c r="ORK138" s="552"/>
      <c r="ORL138" s="552"/>
      <c r="ORM138" s="552"/>
      <c r="ORN138" s="552"/>
      <c r="ORO138" s="548"/>
      <c r="ORP138" s="553"/>
      <c r="ORQ138" s="553"/>
      <c r="ORR138" s="553"/>
      <c r="ORS138" s="8"/>
      <c r="ORT138" s="8"/>
      <c r="ORU138" s="458"/>
      <c r="ORV138" s="8"/>
      <c r="ORW138" s="8"/>
      <c r="ORX138" s="547"/>
      <c r="ORY138" s="547"/>
      <c r="ORZ138" s="547"/>
      <c r="OSA138" s="547"/>
      <c r="OSB138" s="548"/>
      <c r="OSC138" s="547"/>
      <c r="OSD138" s="547"/>
      <c r="OSE138" s="547"/>
      <c r="OSF138" s="547"/>
      <c r="OSG138" s="548"/>
      <c r="OSH138" s="547"/>
      <c r="OSI138" s="547"/>
      <c r="OSJ138" s="547"/>
      <c r="OSK138" s="547"/>
      <c r="OSL138" s="548"/>
      <c r="OSM138" s="547"/>
      <c r="OSN138" s="547"/>
      <c r="OSO138" s="547"/>
      <c r="OSP138" s="552"/>
      <c r="OSQ138" s="548"/>
      <c r="OSR138" s="552"/>
      <c r="OSS138" s="552"/>
      <c r="OST138" s="552"/>
      <c r="OSU138" s="552"/>
      <c r="OSV138" s="548"/>
      <c r="OSW138" s="553"/>
      <c r="OSX138" s="553"/>
      <c r="OSY138" s="553"/>
      <c r="OSZ138" s="8"/>
      <c r="OTA138" s="8"/>
      <c r="OTB138" s="458"/>
      <c r="OTC138" s="8"/>
      <c r="OTD138" s="8"/>
      <c r="OTE138" s="547"/>
      <c r="OTF138" s="547"/>
      <c r="OTG138" s="547"/>
      <c r="OTH138" s="547"/>
      <c r="OTI138" s="548"/>
      <c r="OTJ138" s="547"/>
      <c r="OTK138" s="547"/>
      <c r="OTL138" s="547"/>
      <c r="OTM138" s="547"/>
      <c r="OTN138" s="548"/>
      <c r="OTO138" s="547"/>
      <c r="OTP138" s="547"/>
      <c r="OTQ138" s="547"/>
      <c r="OTR138" s="547"/>
      <c r="OTS138" s="548"/>
      <c r="OTT138" s="547"/>
      <c r="OTU138" s="547"/>
      <c r="OTV138" s="547"/>
      <c r="OTW138" s="552"/>
      <c r="OTX138" s="548"/>
      <c r="OTY138" s="552"/>
      <c r="OTZ138" s="552"/>
      <c r="OUA138" s="552"/>
      <c r="OUB138" s="552"/>
      <c r="OUC138" s="548"/>
      <c r="OUD138" s="553"/>
      <c r="OUE138" s="553"/>
      <c r="OUF138" s="553"/>
      <c r="OUG138" s="8"/>
      <c r="OUH138" s="8"/>
      <c r="OUI138" s="458"/>
      <c r="OUJ138" s="8"/>
      <c r="OUK138" s="8"/>
      <c r="OUL138" s="547"/>
      <c r="OUM138" s="547"/>
      <c r="OUN138" s="547"/>
      <c r="OUO138" s="547"/>
      <c r="OUP138" s="548"/>
      <c r="OUQ138" s="547"/>
      <c r="OUR138" s="547"/>
      <c r="OUS138" s="547"/>
      <c r="OUT138" s="547"/>
      <c r="OUU138" s="548"/>
      <c r="OUV138" s="547"/>
      <c r="OUW138" s="547"/>
      <c r="OUX138" s="547"/>
      <c r="OUY138" s="547"/>
      <c r="OUZ138" s="548"/>
      <c r="OVA138" s="547"/>
      <c r="OVB138" s="547"/>
      <c r="OVC138" s="547"/>
      <c r="OVD138" s="552"/>
      <c r="OVE138" s="548"/>
      <c r="OVF138" s="552"/>
      <c r="OVG138" s="552"/>
      <c r="OVH138" s="552"/>
      <c r="OVI138" s="552"/>
      <c r="OVJ138" s="548"/>
      <c r="OVK138" s="553"/>
      <c r="OVL138" s="553"/>
      <c r="OVM138" s="553"/>
      <c r="OVN138" s="8"/>
      <c r="OVO138" s="8"/>
      <c r="OVP138" s="458"/>
      <c r="OVQ138" s="8"/>
      <c r="OVR138" s="8"/>
      <c r="OVS138" s="547"/>
      <c r="OVT138" s="547"/>
      <c r="OVU138" s="547"/>
      <c r="OVV138" s="547"/>
      <c r="OVW138" s="548"/>
      <c r="OVX138" s="547"/>
      <c r="OVY138" s="547"/>
      <c r="OVZ138" s="547"/>
      <c r="OWA138" s="547"/>
      <c r="OWB138" s="548"/>
      <c r="OWC138" s="547"/>
      <c r="OWD138" s="547"/>
      <c r="OWE138" s="547"/>
      <c r="OWF138" s="547"/>
      <c r="OWG138" s="548"/>
      <c r="OWH138" s="547"/>
      <c r="OWI138" s="547"/>
      <c r="OWJ138" s="547"/>
      <c r="OWK138" s="552"/>
      <c r="OWL138" s="548"/>
      <c r="OWM138" s="552"/>
      <c r="OWN138" s="552"/>
      <c r="OWO138" s="552"/>
      <c r="OWP138" s="552"/>
      <c r="OWQ138" s="548"/>
      <c r="OWR138" s="553"/>
      <c r="OWS138" s="553"/>
      <c r="OWT138" s="553"/>
      <c r="OWU138" s="8"/>
      <c r="OWV138" s="8"/>
      <c r="OWW138" s="458"/>
      <c r="OWX138" s="8"/>
      <c r="OWY138" s="8"/>
      <c r="OWZ138" s="547"/>
      <c r="OXA138" s="547"/>
      <c r="OXB138" s="547"/>
      <c r="OXC138" s="547"/>
      <c r="OXD138" s="548"/>
      <c r="OXE138" s="547"/>
      <c r="OXF138" s="547"/>
      <c r="OXG138" s="547"/>
      <c r="OXH138" s="547"/>
      <c r="OXI138" s="548"/>
      <c r="OXJ138" s="547"/>
      <c r="OXK138" s="547"/>
      <c r="OXL138" s="547"/>
      <c r="OXM138" s="547"/>
      <c r="OXN138" s="548"/>
      <c r="OXO138" s="547"/>
      <c r="OXP138" s="547"/>
      <c r="OXQ138" s="547"/>
      <c r="OXR138" s="552"/>
      <c r="OXS138" s="548"/>
      <c r="OXT138" s="552"/>
      <c r="OXU138" s="552"/>
      <c r="OXV138" s="552"/>
      <c r="OXW138" s="552"/>
      <c r="OXX138" s="548"/>
      <c r="OXY138" s="553"/>
      <c r="OXZ138" s="553"/>
      <c r="OYA138" s="553"/>
      <c r="OYB138" s="8"/>
      <c r="OYC138" s="8"/>
      <c r="OYD138" s="458"/>
      <c r="OYE138" s="8"/>
      <c r="OYF138" s="8"/>
      <c r="OYG138" s="547"/>
      <c r="OYH138" s="547"/>
      <c r="OYI138" s="547"/>
      <c r="OYJ138" s="547"/>
      <c r="OYK138" s="548"/>
      <c r="OYL138" s="547"/>
      <c r="OYM138" s="547"/>
      <c r="OYN138" s="547"/>
      <c r="OYO138" s="547"/>
      <c r="OYP138" s="548"/>
      <c r="OYQ138" s="547"/>
      <c r="OYR138" s="547"/>
      <c r="OYS138" s="547"/>
      <c r="OYT138" s="547"/>
      <c r="OYU138" s="548"/>
      <c r="OYV138" s="547"/>
      <c r="OYW138" s="547"/>
      <c r="OYX138" s="547"/>
      <c r="OYY138" s="552"/>
      <c r="OYZ138" s="548"/>
      <c r="OZA138" s="552"/>
      <c r="OZB138" s="552"/>
      <c r="OZC138" s="552"/>
      <c r="OZD138" s="552"/>
      <c r="OZE138" s="548"/>
      <c r="OZF138" s="553"/>
      <c r="OZG138" s="553"/>
      <c r="OZH138" s="553"/>
      <c r="OZI138" s="8"/>
      <c r="OZJ138" s="8"/>
      <c r="OZK138" s="458"/>
      <c r="OZL138" s="8"/>
      <c r="OZM138" s="8"/>
      <c r="OZN138" s="547"/>
      <c r="OZO138" s="547"/>
      <c r="OZP138" s="547"/>
      <c r="OZQ138" s="547"/>
      <c r="OZR138" s="548"/>
      <c r="OZS138" s="547"/>
      <c r="OZT138" s="547"/>
      <c r="OZU138" s="547"/>
      <c r="OZV138" s="547"/>
      <c r="OZW138" s="548"/>
      <c r="OZX138" s="547"/>
      <c r="OZY138" s="547"/>
      <c r="OZZ138" s="547"/>
      <c r="PAA138" s="547"/>
      <c r="PAB138" s="548"/>
      <c r="PAC138" s="547"/>
      <c r="PAD138" s="547"/>
      <c r="PAE138" s="547"/>
      <c r="PAF138" s="552"/>
      <c r="PAG138" s="548"/>
      <c r="PAH138" s="552"/>
      <c r="PAI138" s="552"/>
      <c r="PAJ138" s="552"/>
      <c r="PAK138" s="552"/>
      <c r="PAL138" s="548"/>
      <c r="PAM138" s="553"/>
      <c r="PAN138" s="553"/>
      <c r="PAO138" s="553"/>
      <c r="PAP138" s="8"/>
      <c r="PAQ138" s="8"/>
      <c r="PAR138" s="458"/>
      <c r="PAS138" s="8"/>
      <c r="PAT138" s="8"/>
      <c r="PAU138" s="547"/>
      <c r="PAV138" s="547"/>
      <c r="PAW138" s="547"/>
      <c r="PAX138" s="547"/>
      <c r="PAY138" s="548"/>
      <c r="PAZ138" s="547"/>
      <c r="PBA138" s="547"/>
      <c r="PBB138" s="547"/>
      <c r="PBC138" s="547"/>
      <c r="PBD138" s="548"/>
      <c r="PBE138" s="547"/>
      <c r="PBF138" s="547"/>
      <c r="PBG138" s="547"/>
      <c r="PBH138" s="547"/>
      <c r="PBI138" s="548"/>
      <c r="PBJ138" s="547"/>
      <c r="PBK138" s="547"/>
      <c r="PBL138" s="547"/>
      <c r="PBM138" s="552"/>
      <c r="PBN138" s="548"/>
      <c r="PBO138" s="552"/>
      <c r="PBP138" s="552"/>
      <c r="PBQ138" s="552"/>
      <c r="PBR138" s="552"/>
      <c r="PBS138" s="548"/>
      <c r="PBT138" s="553"/>
      <c r="PBU138" s="553"/>
      <c r="PBV138" s="553"/>
      <c r="PBW138" s="8"/>
      <c r="PBX138" s="8"/>
      <c r="PBY138" s="458"/>
      <c r="PBZ138" s="8"/>
      <c r="PCA138" s="8"/>
      <c r="PCB138" s="547"/>
      <c r="PCC138" s="547"/>
      <c r="PCD138" s="547"/>
      <c r="PCE138" s="547"/>
      <c r="PCF138" s="548"/>
      <c r="PCG138" s="547"/>
      <c r="PCH138" s="547"/>
      <c r="PCI138" s="547"/>
      <c r="PCJ138" s="547"/>
      <c r="PCK138" s="548"/>
      <c r="PCL138" s="547"/>
      <c r="PCM138" s="547"/>
      <c r="PCN138" s="547"/>
      <c r="PCO138" s="547"/>
      <c r="PCP138" s="548"/>
      <c r="PCQ138" s="547"/>
      <c r="PCR138" s="547"/>
      <c r="PCS138" s="547"/>
      <c r="PCT138" s="552"/>
      <c r="PCU138" s="548"/>
      <c r="PCV138" s="552"/>
      <c r="PCW138" s="552"/>
      <c r="PCX138" s="552"/>
      <c r="PCY138" s="552"/>
      <c r="PCZ138" s="548"/>
      <c r="PDA138" s="553"/>
      <c r="PDB138" s="553"/>
      <c r="PDC138" s="553"/>
      <c r="PDD138" s="8"/>
      <c r="PDE138" s="8"/>
      <c r="PDF138" s="458"/>
      <c r="PDG138" s="8"/>
      <c r="PDH138" s="8"/>
      <c r="PDI138" s="547"/>
      <c r="PDJ138" s="547"/>
      <c r="PDK138" s="547"/>
      <c r="PDL138" s="547"/>
      <c r="PDM138" s="548"/>
      <c r="PDN138" s="547"/>
      <c r="PDO138" s="547"/>
      <c r="PDP138" s="547"/>
      <c r="PDQ138" s="547"/>
      <c r="PDR138" s="548"/>
      <c r="PDS138" s="547"/>
      <c r="PDT138" s="547"/>
      <c r="PDU138" s="547"/>
      <c r="PDV138" s="547"/>
      <c r="PDW138" s="548"/>
      <c r="PDX138" s="547"/>
      <c r="PDY138" s="547"/>
      <c r="PDZ138" s="547"/>
      <c r="PEA138" s="552"/>
      <c r="PEB138" s="548"/>
      <c r="PEC138" s="552"/>
      <c r="PED138" s="552"/>
      <c r="PEE138" s="552"/>
      <c r="PEF138" s="552"/>
      <c r="PEG138" s="548"/>
      <c r="PEH138" s="553"/>
      <c r="PEI138" s="553"/>
      <c r="PEJ138" s="553"/>
      <c r="PEK138" s="8"/>
      <c r="PEL138" s="8"/>
      <c r="PEM138" s="458"/>
      <c r="PEN138" s="8"/>
      <c r="PEO138" s="8"/>
      <c r="PEP138" s="547"/>
      <c r="PEQ138" s="547"/>
      <c r="PER138" s="547"/>
      <c r="PES138" s="547"/>
      <c r="PET138" s="548"/>
      <c r="PEU138" s="547"/>
      <c r="PEV138" s="547"/>
      <c r="PEW138" s="547"/>
      <c r="PEX138" s="547"/>
      <c r="PEY138" s="548"/>
      <c r="PEZ138" s="547"/>
      <c r="PFA138" s="547"/>
      <c r="PFB138" s="547"/>
      <c r="PFC138" s="547"/>
      <c r="PFD138" s="548"/>
      <c r="PFE138" s="547"/>
      <c r="PFF138" s="547"/>
      <c r="PFG138" s="547"/>
      <c r="PFH138" s="552"/>
      <c r="PFI138" s="548"/>
      <c r="PFJ138" s="552"/>
      <c r="PFK138" s="552"/>
      <c r="PFL138" s="552"/>
      <c r="PFM138" s="552"/>
      <c r="PFN138" s="548"/>
      <c r="PFO138" s="553"/>
      <c r="PFP138" s="553"/>
      <c r="PFQ138" s="553"/>
      <c r="PFR138" s="8"/>
      <c r="PFS138" s="8"/>
      <c r="PFT138" s="458"/>
      <c r="PFU138" s="8"/>
      <c r="PFV138" s="8"/>
      <c r="PFW138" s="547"/>
      <c r="PFX138" s="547"/>
      <c r="PFY138" s="547"/>
      <c r="PFZ138" s="547"/>
      <c r="PGA138" s="548"/>
      <c r="PGB138" s="547"/>
      <c r="PGC138" s="547"/>
      <c r="PGD138" s="547"/>
      <c r="PGE138" s="547"/>
      <c r="PGF138" s="548"/>
      <c r="PGG138" s="547"/>
      <c r="PGH138" s="547"/>
      <c r="PGI138" s="547"/>
      <c r="PGJ138" s="547"/>
      <c r="PGK138" s="548"/>
      <c r="PGL138" s="547"/>
      <c r="PGM138" s="547"/>
      <c r="PGN138" s="547"/>
      <c r="PGO138" s="552"/>
      <c r="PGP138" s="548"/>
      <c r="PGQ138" s="552"/>
      <c r="PGR138" s="552"/>
      <c r="PGS138" s="552"/>
      <c r="PGT138" s="552"/>
      <c r="PGU138" s="548"/>
      <c r="PGV138" s="553"/>
      <c r="PGW138" s="553"/>
      <c r="PGX138" s="553"/>
      <c r="PGY138" s="8"/>
      <c r="PGZ138" s="8"/>
      <c r="PHA138" s="458"/>
      <c r="PHB138" s="8"/>
      <c r="PHC138" s="8"/>
      <c r="PHD138" s="547"/>
      <c r="PHE138" s="547"/>
      <c r="PHF138" s="547"/>
      <c r="PHG138" s="547"/>
      <c r="PHH138" s="548"/>
      <c r="PHI138" s="547"/>
      <c r="PHJ138" s="547"/>
      <c r="PHK138" s="547"/>
      <c r="PHL138" s="547"/>
      <c r="PHM138" s="548"/>
      <c r="PHN138" s="547"/>
      <c r="PHO138" s="547"/>
      <c r="PHP138" s="547"/>
      <c r="PHQ138" s="547"/>
      <c r="PHR138" s="548"/>
      <c r="PHS138" s="547"/>
      <c r="PHT138" s="547"/>
      <c r="PHU138" s="547"/>
      <c r="PHV138" s="552"/>
      <c r="PHW138" s="548"/>
      <c r="PHX138" s="552"/>
      <c r="PHY138" s="552"/>
      <c r="PHZ138" s="552"/>
      <c r="PIA138" s="552"/>
      <c r="PIB138" s="548"/>
      <c r="PIC138" s="553"/>
      <c r="PID138" s="553"/>
      <c r="PIE138" s="553"/>
      <c r="PIF138" s="8"/>
      <c r="PIG138" s="8"/>
      <c r="PIH138" s="458"/>
      <c r="PII138" s="8"/>
      <c r="PIJ138" s="8"/>
      <c r="PIK138" s="547"/>
      <c r="PIL138" s="547"/>
      <c r="PIM138" s="547"/>
      <c r="PIN138" s="547"/>
      <c r="PIO138" s="548"/>
      <c r="PIP138" s="547"/>
      <c r="PIQ138" s="547"/>
      <c r="PIR138" s="547"/>
      <c r="PIS138" s="547"/>
      <c r="PIT138" s="548"/>
      <c r="PIU138" s="547"/>
      <c r="PIV138" s="547"/>
      <c r="PIW138" s="547"/>
      <c r="PIX138" s="547"/>
      <c r="PIY138" s="548"/>
      <c r="PIZ138" s="547"/>
      <c r="PJA138" s="547"/>
      <c r="PJB138" s="547"/>
      <c r="PJC138" s="552"/>
      <c r="PJD138" s="548"/>
      <c r="PJE138" s="552"/>
      <c r="PJF138" s="552"/>
      <c r="PJG138" s="552"/>
      <c r="PJH138" s="552"/>
      <c r="PJI138" s="548"/>
      <c r="PJJ138" s="553"/>
      <c r="PJK138" s="553"/>
      <c r="PJL138" s="553"/>
      <c r="PJM138" s="8"/>
      <c r="PJN138" s="8"/>
      <c r="PJO138" s="458"/>
      <c r="PJP138" s="8"/>
      <c r="PJQ138" s="8"/>
      <c r="PJR138" s="547"/>
      <c r="PJS138" s="547"/>
      <c r="PJT138" s="547"/>
      <c r="PJU138" s="547"/>
      <c r="PJV138" s="548"/>
      <c r="PJW138" s="547"/>
      <c r="PJX138" s="547"/>
      <c r="PJY138" s="547"/>
      <c r="PJZ138" s="547"/>
      <c r="PKA138" s="548"/>
      <c r="PKB138" s="547"/>
      <c r="PKC138" s="547"/>
      <c r="PKD138" s="547"/>
      <c r="PKE138" s="547"/>
      <c r="PKF138" s="548"/>
      <c r="PKG138" s="547"/>
      <c r="PKH138" s="547"/>
      <c r="PKI138" s="547"/>
      <c r="PKJ138" s="552"/>
      <c r="PKK138" s="548"/>
      <c r="PKL138" s="552"/>
      <c r="PKM138" s="552"/>
      <c r="PKN138" s="552"/>
      <c r="PKO138" s="552"/>
      <c r="PKP138" s="548"/>
      <c r="PKQ138" s="553"/>
      <c r="PKR138" s="553"/>
      <c r="PKS138" s="553"/>
      <c r="PKT138" s="8"/>
      <c r="PKU138" s="8"/>
      <c r="PKV138" s="458"/>
      <c r="PKW138" s="8"/>
      <c r="PKX138" s="8"/>
      <c r="PKY138" s="547"/>
      <c r="PKZ138" s="547"/>
      <c r="PLA138" s="547"/>
      <c r="PLB138" s="547"/>
      <c r="PLC138" s="548"/>
      <c r="PLD138" s="547"/>
      <c r="PLE138" s="547"/>
      <c r="PLF138" s="547"/>
      <c r="PLG138" s="547"/>
      <c r="PLH138" s="548"/>
      <c r="PLI138" s="547"/>
      <c r="PLJ138" s="547"/>
      <c r="PLK138" s="547"/>
      <c r="PLL138" s="547"/>
      <c r="PLM138" s="548"/>
      <c r="PLN138" s="547"/>
      <c r="PLO138" s="547"/>
      <c r="PLP138" s="547"/>
      <c r="PLQ138" s="552"/>
      <c r="PLR138" s="548"/>
      <c r="PLS138" s="552"/>
      <c r="PLT138" s="552"/>
      <c r="PLU138" s="552"/>
      <c r="PLV138" s="552"/>
      <c r="PLW138" s="548"/>
      <c r="PLX138" s="553"/>
      <c r="PLY138" s="553"/>
      <c r="PLZ138" s="553"/>
      <c r="PMA138" s="8"/>
      <c r="PMB138" s="8"/>
      <c r="PMC138" s="458"/>
      <c r="PMD138" s="8"/>
      <c r="PME138" s="8"/>
      <c r="PMF138" s="547"/>
      <c r="PMG138" s="547"/>
      <c r="PMH138" s="547"/>
      <c r="PMI138" s="547"/>
      <c r="PMJ138" s="548"/>
      <c r="PMK138" s="547"/>
      <c r="PML138" s="547"/>
      <c r="PMM138" s="547"/>
      <c r="PMN138" s="547"/>
      <c r="PMO138" s="548"/>
      <c r="PMP138" s="547"/>
      <c r="PMQ138" s="547"/>
      <c r="PMR138" s="547"/>
      <c r="PMS138" s="547"/>
      <c r="PMT138" s="548"/>
      <c r="PMU138" s="547"/>
      <c r="PMV138" s="547"/>
      <c r="PMW138" s="547"/>
      <c r="PMX138" s="552"/>
      <c r="PMY138" s="548"/>
      <c r="PMZ138" s="552"/>
      <c r="PNA138" s="552"/>
      <c r="PNB138" s="552"/>
      <c r="PNC138" s="552"/>
      <c r="PND138" s="548"/>
      <c r="PNE138" s="553"/>
      <c r="PNF138" s="553"/>
      <c r="PNG138" s="553"/>
      <c r="PNH138" s="8"/>
      <c r="PNI138" s="8"/>
      <c r="PNJ138" s="458"/>
      <c r="PNK138" s="8"/>
      <c r="PNL138" s="8"/>
      <c r="PNM138" s="547"/>
      <c r="PNN138" s="547"/>
      <c r="PNO138" s="547"/>
      <c r="PNP138" s="547"/>
      <c r="PNQ138" s="548"/>
      <c r="PNR138" s="547"/>
      <c r="PNS138" s="547"/>
      <c r="PNT138" s="547"/>
      <c r="PNU138" s="547"/>
      <c r="PNV138" s="548"/>
      <c r="PNW138" s="547"/>
      <c r="PNX138" s="547"/>
      <c r="PNY138" s="547"/>
      <c r="PNZ138" s="547"/>
      <c r="POA138" s="548"/>
      <c r="POB138" s="547"/>
      <c r="POC138" s="547"/>
      <c r="POD138" s="547"/>
      <c r="POE138" s="552"/>
      <c r="POF138" s="548"/>
      <c r="POG138" s="552"/>
      <c r="POH138" s="552"/>
      <c r="POI138" s="552"/>
      <c r="POJ138" s="552"/>
      <c r="POK138" s="548"/>
      <c r="POL138" s="553"/>
      <c r="POM138" s="553"/>
      <c r="PON138" s="553"/>
      <c r="POO138" s="8"/>
      <c r="POP138" s="8"/>
      <c r="POQ138" s="458"/>
      <c r="POR138" s="8"/>
      <c r="POS138" s="8"/>
      <c r="POT138" s="547"/>
      <c r="POU138" s="547"/>
      <c r="POV138" s="547"/>
      <c r="POW138" s="547"/>
      <c r="POX138" s="548"/>
      <c r="POY138" s="547"/>
      <c r="POZ138" s="547"/>
      <c r="PPA138" s="547"/>
      <c r="PPB138" s="547"/>
      <c r="PPC138" s="548"/>
      <c r="PPD138" s="547"/>
      <c r="PPE138" s="547"/>
      <c r="PPF138" s="547"/>
      <c r="PPG138" s="547"/>
      <c r="PPH138" s="548"/>
      <c r="PPI138" s="547"/>
      <c r="PPJ138" s="547"/>
      <c r="PPK138" s="547"/>
      <c r="PPL138" s="552"/>
      <c r="PPM138" s="548"/>
      <c r="PPN138" s="552"/>
      <c r="PPO138" s="552"/>
      <c r="PPP138" s="552"/>
      <c r="PPQ138" s="552"/>
      <c r="PPR138" s="548"/>
      <c r="PPS138" s="553"/>
      <c r="PPT138" s="553"/>
      <c r="PPU138" s="553"/>
      <c r="PPV138" s="8"/>
      <c r="PPW138" s="8"/>
      <c r="PPX138" s="458"/>
      <c r="PPY138" s="8"/>
      <c r="PPZ138" s="8"/>
      <c r="PQA138" s="547"/>
      <c r="PQB138" s="547"/>
      <c r="PQC138" s="547"/>
      <c r="PQD138" s="547"/>
      <c r="PQE138" s="548"/>
      <c r="PQF138" s="547"/>
      <c r="PQG138" s="547"/>
      <c r="PQH138" s="547"/>
      <c r="PQI138" s="547"/>
      <c r="PQJ138" s="548"/>
      <c r="PQK138" s="547"/>
      <c r="PQL138" s="547"/>
      <c r="PQM138" s="547"/>
      <c r="PQN138" s="547"/>
      <c r="PQO138" s="548"/>
      <c r="PQP138" s="547"/>
      <c r="PQQ138" s="547"/>
      <c r="PQR138" s="547"/>
      <c r="PQS138" s="552"/>
      <c r="PQT138" s="548"/>
      <c r="PQU138" s="552"/>
      <c r="PQV138" s="552"/>
      <c r="PQW138" s="552"/>
      <c r="PQX138" s="552"/>
      <c r="PQY138" s="548"/>
      <c r="PQZ138" s="553"/>
      <c r="PRA138" s="553"/>
      <c r="PRB138" s="553"/>
      <c r="PRC138" s="8"/>
      <c r="PRD138" s="8"/>
      <c r="PRE138" s="458"/>
      <c r="PRF138" s="8"/>
      <c r="PRG138" s="8"/>
      <c r="PRH138" s="547"/>
      <c r="PRI138" s="547"/>
      <c r="PRJ138" s="547"/>
      <c r="PRK138" s="547"/>
      <c r="PRL138" s="548"/>
      <c r="PRM138" s="547"/>
      <c r="PRN138" s="547"/>
      <c r="PRO138" s="547"/>
      <c r="PRP138" s="547"/>
      <c r="PRQ138" s="548"/>
      <c r="PRR138" s="547"/>
      <c r="PRS138" s="547"/>
      <c r="PRT138" s="547"/>
      <c r="PRU138" s="547"/>
      <c r="PRV138" s="548"/>
      <c r="PRW138" s="547"/>
      <c r="PRX138" s="547"/>
      <c r="PRY138" s="547"/>
      <c r="PRZ138" s="552"/>
      <c r="PSA138" s="548"/>
      <c r="PSB138" s="552"/>
      <c r="PSC138" s="552"/>
      <c r="PSD138" s="552"/>
      <c r="PSE138" s="552"/>
      <c r="PSF138" s="548"/>
      <c r="PSG138" s="553"/>
      <c r="PSH138" s="553"/>
      <c r="PSI138" s="553"/>
      <c r="PSJ138" s="8"/>
      <c r="PSK138" s="8"/>
      <c r="PSL138" s="458"/>
      <c r="PSM138" s="8"/>
      <c r="PSN138" s="8"/>
      <c r="PSO138" s="547"/>
      <c r="PSP138" s="547"/>
      <c r="PSQ138" s="547"/>
      <c r="PSR138" s="547"/>
      <c r="PSS138" s="548"/>
      <c r="PST138" s="547"/>
      <c r="PSU138" s="547"/>
      <c r="PSV138" s="547"/>
      <c r="PSW138" s="547"/>
      <c r="PSX138" s="548"/>
      <c r="PSY138" s="547"/>
      <c r="PSZ138" s="547"/>
      <c r="PTA138" s="547"/>
      <c r="PTB138" s="547"/>
      <c r="PTC138" s="548"/>
      <c r="PTD138" s="547"/>
      <c r="PTE138" s="547"/>
      <c r="PTF138" s="547"/>
      <c r="PTG138" s="552"/>
      <c r="PTH138" s="548"/>
      <c r="PTI138" s="552"/>
      <c r="PTJ138" s="552"/>
      <c r="PTK138" s="552"/>
      <c r="PTL138" s="552"/>
      <c r="PTM138" s="548"/>
      <c r="PTN138" s="553"/>
      <c r="PTO138" s="553"/>
      <c r="PTP138" s="553"/>
      <c r="PTQ138" s="8"/>
      <c r="PTR138" s="8"/>
      <c r="PTS138" s="458"/>
      <c r="PTT138" s="8"/>
      <c r="PTU138" s="8"/>
      <c r="PTV138" s="547"/>
      <c r="PTW138" s="547"/>
      <c r="PTX138" s="547"/>
      <c r="PTY138" s="547"/>
      <c r="PTZ138" s="548"/>
      <c r="PUA138" s="547"/>
      <c r="PUB138" s="547"/>
      <c r="PUC138" s="547"/>
      <c r="PUD138" s="547"/>
      <c r="PUE138" s="548"/>
      <c r="PUF138" s="547"/>
      <c r="PUG138" s="547"/>
      <c r="PUH138" s="547"/>
      <c r="PUI138" s="547"/>
      <c r="PUJ138" s="548"/>
      <c r="PUK138" s="547"/>
      <c r="PUL138" s="547"/>
      <c r="PUM138" s="547"/>
      <c r="PUN138" s="552"/>
      <c r="PUO138" s="548"/>
      <c r="PUP138" s="552"/>
      <c r="PUQ138" s="552"/>
      <c r="PUR138" s="552"/>
      <c r="PUS138" s="552"/>
      <c r="PUT138" s="548"/>
      <c r="PUU138" s="553"/>
      <c r="PUV138" s="553"/>
      <c r="PUW138" s="553"/>
      <c r="PUX138" s="8"/>
      <c r="PUY138" s="8"/>
      <c r="PUZ138" s="458"/>
      <c r="PVA138" s="8"/>
      <c r="PVB138" s="8"/>
      <c r="PVC138" s="547"/>
      <c r="PVD138" s="547"/>
      <c r="PVE138" s="547"/>
      <c r="PVF138" s="547"/>
      <c r="PVG138" s="548"/>
      <c r="PVH138" s="547"/>
      <c r="PVI138" s="547"/>
      <c r="PVJ138" s="547"/>
      <c r="PVK138" s="547"/>
      <c r="PVL138" s="548"/>
      <c r="PVM138" s="547"/>
      <c r="PVN138" s="547"/>
      <c r="PVO138" s="547"/>
      <c r="PVP138" s="547"/>
      <c r="PVQ138" s="548"/>
      <c r="PVR138" s="547"/>
      <c r="PVS138" s="547"/>
      <c r="PVT138" s="547"/>
      <c r="PVU138" s="552"/>
      <c r="PVV138" s="548"/>
      <c r="PVW138" s="552"/>
      <c r="PVX138" s="552"/>
      <c r="PVY138" s="552"/>
      <c r="PVZ138" s="552"/>
      <c r="PWA138" s="548"/>
      <c r="PWB138" s="553"/>
      <c r="PWC138" s="553"/>
      <c r="PWD138" s="553"/>
      <c r="PWE138" s="8"/>
      <c r="PWF138" s="8"/>
      <c r="PWG138" s="458"/>
      <c r="PWH138" s="8"/>
      <c r="PWI138" s="8"/>
      <c r="PWJ138" s="547"/>
      <c r="PWK138" s="547"/>
      <c r="PWL138" s="547"/>
      <c r="PWM138" s="547"/>
      <c r="PWN138" s="548"/>
      <c r="PWO138" s="547"/>
      <c r="PWP138" s="547"/>
      <c r="PWQ138" s="547"/>
      <c r="PWR138" s="547"/>
      <c r="PWS138" s="548"/>
      <c r="PWT138" s="547"/>
      <c r="PWU138" s="547"/>
      <c r="PWV138" s="547"/>
      <c r="PWW138" s="547"/>
      <c r="PWX138" s="548"/>
      <c r="PWY138" s="547"/>
      <c r="PWZ138" s="547"/>
      <c r="PXA138" s="547"/>
      <c r="PXB138" s="552"/>
      <c r="PXC138" s="548"/>
      <c r="PXD138" s="552"/>
      <c r="PXE138" s="552"/>
      <c r="PXF138" s="552"/>
      <c r="PXG138" s="552"/>
      <c r="PXH138" s="548"/>
      <c r="PXI138" s="553"/>
      <c r="PXJ138" s="553"/>
      <c r="PXK138" s="553"/>
      <c r="PXL138" s="8"/>
      <c r="PXM138" s="8"/>
      <c r="PXN138" s="458"/>
      <c r="PXO138" s="8"/>
      <c r="PXP138" s="8"/>
      <c r="PXQ138" s="547"/>
      <c r="PXR138" s="547"/>
      <c r="PXS138" s="547"/>
      <c r="PXT138" s="547"/>
      <c r="PXU138" s="548"/>
      <c r="PXV138" s="547"/>
      <c r="PXW138" s="547"/>
      <c r="PXX138" s="547"/>
      <c r="PXY138" s="547"/>
      <c r="PXZ138" s="548"/>
      <c r="PYA138" s="547"/>
      <c r="PYB138" s="547"/>
      <c r="PYC138" s="547"/>
      <c r="PYD138" s="547"/>
      <c r="PYE138" s="548"/>
      <c r="PYF138" s="547"/>
      <c r="PYG138" s="547"/>
      <c r="PYH138" s="547"/>
      <c r="PYI138" s="552"/>
      <c r="PYJ138" s="548"/>
      <c r="PYK138" s="552"/>
      <c r="PYL138" s="552"/>
      <c r="PYM138" s="552"/>
      <c r="PYN138" s="552"/>
      <c r="PYO138" s="548"/>
      <c r="PYP138" s="553"/>
      <c r="PYQ138" s="553"/>
      <c r="PYR138" s="553"/>
      <c r="PYS138" s="8"/>
      <c r="PYT138" s="8"/>
      <c r="PYU138" s="458"/>
      <c r="PYV138" s="8"/>
      <c r="PYW138" s="8"/>
      <c r="PYX138" s="547"/>
      <c r="PYY138" s="547"/>
      <c r="PYZ138" s="547"/>
      <c r="PZA138" s="547"/>
      <c r="PZB138" s="548"/>
      <c r="PZC138" s="547"/>
      <c r="PZD138" s="547"/>
      <c r="PZE138" s="547"/>
      <c r="PZF138" s="547"/>
      <c r="PZG138" s="548"/>
      <c r="PZH138" s="547"/>
      <c r="PZI138" s="547"/>
      <c r="PZJ138" s="547"/>
      <c r="PZK138" s="547"/>
      <c r="PZL138" s="548"/>
      <c r="PZM138" s="547"/>
      <c r="PZN138" s="547"/>
      <c r="PZO138" s="547"/>
      <c r="PZP138" s="552"/>
      <c r="PZQ138" s="548"/>
      <c r="PZR138" s="552"/>
      <c r="PZS138" s="552"/>
      <c r="PZT138" s="552"/>
      <c r="PZU138" s="552"/>
      <c r="PZV138" s="548"/>
      <c r="PZW138" s="553"/>
      <c r="PZX138" s="553"/>
      <c r="PZY138" s="553"/>
      <c r="PZZ138" s="8"/>
      <c r="QAA138" s="8"/>
      <c r="QAB138" s="458"/>
      <c r="QAC138" s="8"/>
      <c r="QAD138" s="8"/>
      <c r="QAE138" s="547"/>
      <c r="QAF138" s="547"/>
      <c r="QAG138" s="547"/>
      <c r="QAH138" s="547"/>
      <c r="QAI138" s="548"/>
      <c r="QAJ138" s="547"/>
      <c r="QAK138" s="547"/>
      <c r="QAL138" s="547"/>
      <c r="QAM138" s="547"/>
      <c r="QAN138" s="548"/>
      <c r="QAO138" s="547"/>
      <c r="QAP138" s="547"/>
      <c r="QAQ138" s="547"/>
      <c r="QAR138" s="547"/>
      <c r="QAS138" s="548"/>
      <c r="QAT138" s="547"/>
      <c r="QAU138" s="547"/>
      <c r="QAV138" s="547"/>
      <c r="QAW138" s="552"/>
      <c r="QAX138" s="548"/>
      <c r="QAY138" s="552"/>
      <c r="QAZ138" s="552"/>
      <c r="QBA138" s="552"/>
      <c r="QBB138" s="552"/>
      <c r="QBC138" s="548"/>
      <c r="QBD138" s="553"/>
      <c r="QBE138" s="553"/>
      <c r="QBF138" s="553"/>
      <c r="QBG138" s="8"/>
      <c r="QBH138" s="8"/>
      <c r="QBI138" s="458"/>
      <c r="QBJ138" s="8"/>
      <c r="QBK138" s="8"/>
      <c r="QBL138" s="547"/>
      <c r="QBM138" s="547"/>
      <c r="QBN138" s="547"/>
      <c r="QBO138" s="547"/>
      <c r="QBP138" s="548"/>
      <c r="QBQ138" s="547"/>
      <c r="QBR138" s="547"/>
      <c r="QBS138" s="547"/>
      <c r="QBT138" s="547"/>
      <c r="QBU138" s="548"/>
      <c r="QBV138" s="547"/>
      <c r="QBW138" s="547"/>
      <c r="QBX138" s="547"/>
      <c r="QBY138" s="547"/>
      <c r="QBZ138" s="548"/>
      <c r="QCA138" s="547"/>
      <c r="QCB138" s="547"/>
      <c r="QCC138" s="547"/>
      <c r="QCD138" s="552"/>
      <c r="QCE138" s="548"/>
      <c r="QCF138" s="552"/>
      <c r="QCG138" s="552"/>
      <c r="QCH138" s="552"/>
      <c r="QCI138" s="552"/>
      <c r="QCJ138" s="548"/>
      <c r="QCK138" s="553"/>
      <c r="QCL138" s="553"/>
      <c r="QCM138" s="553"/>
      <c r="QCN138" s="8"/>
      <c r="QCO138" s="8"/>
      <c r="QCP138" s="458"/>
      <c r="QCQ138" s="8"/>
      <c r="QCR138" s="8"/>
      <c r="QCS138" s="547"/>
      <c r="QCT138" s="547"/>
      <c r="QCU138" s="547"/>
      <c r="QCV138" s="547"/>
      <c r="QCW138" s="548"/>
      <c r="QCX138" s="547"/>
      <c r="QCY138" s="547"/>
      <c r="QCZ138" s="547"/>
      <c r="QDA138" s="547"/>
      <c r="QDB138" s="548"/>
      <c r="QDC138" s="547"/>
      <c r="QDD138" s="547"/>
      <c r="QDE138" s="547"/>
      <c r="QDF138" s="547"/>
      <c r="QDG138" s="548"/>
      <c r="QDH138" s="547"/>
      <c r="QDI138" s="547"/>
      <c r="QDJ138" s="547"/>
      <c r="QDK138" s="552"/>
      <c r="QDL138" s="548"/>
      <c r="QDM138" s="552"/>
      <c r="QDN138" s="552"/>
      <c r="QDO138" s="552"/>
      <c r="QDP138" s="552"/>
      <c r="QDQ138" s="548"/>
      <c r="QDR138" s="553"/>
      <c r="QDS138" s="553"/>
      <c r="QDT138" s="553"/>
      <c r="QDU138" s="8"/>
      <c r="QDV138" s="8"/>
      <c r="QDW138" s="458"/>
      <c r="QDX138" s="8"/>
      <c r="QDY138" s="8"/>
      <c r="QDZ138" s="547"/>
      <c r="QEA138" s="547"/>
      <c r="QEB138" s="547"/>
      <c r="QEC138" s="547"/>
      <c r="QED138" s="548"/>
      <c r="QEE138" s="547"/>
      <c r="QEF138" s="547"/>
      <c r="QEG138" s="547"/>
      <c r="QEH138" s="547"/>
      <c r="QEI138" s="548"/>
      <c r="QEJ138" s="547"/>
      <c r="QEK138" s="547"/>
      <c r="QEL138" s="547"/>
      <c r="QEM138" s="547"/>
      <c r="QEN138" s="548"/>
      <c r="QEO138" s="547"/>
      <c r="QEP138" s="547"/>
      <c r="QEQ138" s="547"/>
      <c r="QER138" s="552"/>
      <c r="QES138" s="548"/>
      <c r="QET138" s="552"/>
      <c r="QEU138" s="552"/>
      <c r="QEV138" s="552"/>
      <c r="QEW138" s="552"/>
      <c r="QEX138" s="548"/>
      <c r="QEY138" s="553"/>
      <c r="QEZ138" s="553"/>
      <c r="QFA138" s="553"/>
      <c r="QFB138" s="8"/>
      <c r="QFC138" s="8"/>
      <c r="QFD138" s="458"/>
      <c r="QFE138" s="8"/>
      <c r="QFF138" s="8"/>
      <c r="QFG138" s="547"/>
      <c r="QFH138" s="547"/>
      <c r="QFI138" s="547"/>
      <c r="QFJ138" s="547"/>
      <c r="QFK138" s="548"/>
      <c r="QFL138" s="547"/>
      <c r="QFM138" s="547"/>
      <c r="QFN138" s="547"/>
      <c r="QFO138" s="547"/>
      <c r="QFP138" s="548"/>
      <c r="QFQ138" s="547"/>
      <c r="QFR138" s="547"/>
      <c r="QFS138" s="547"/>
      <c r="QFT138" s="547"/>
      <c r="QFU138" s="548"/>
      <c r="QFV138" s="547"/>
      <c r="QFW138" s="547"/>
      <c r="QFX138" s="547"/>
      <c r="QFY138" s="552"/>
      <c r="QFZ138" s="548"/>
      <c r="QGA138" s="552"/>
      <c r="QGB138" s="552"/>
      <c r="QGC138" s="552"/>
      <c r="QGD138" s="552"/>
      <c r="QGE138" s="548"/>
      <c r="QGF138" s="553"/>
      <c r="QGG138" s="553"/>
      <c r="QGH138" s="553"/>
      <c r="QGI138" s="8"/>
      <c r="QGJ138" s="8"/>
      <c r="QGK138" s="458"/>
      <c r="QGL138" s="8"/>
      <c r="QGM138" s="8"/>
      <c r="QGN138" s="547"/>
      <c r="QGO138" s="547"/>
      <c r="QGP138" s="547"/>
      <c r="QGQ138" s="547"/>
      <c r="QGR138" s="548"/>
      <c r="QGS138" s="547"/>
      <c r="QGT138" s="547"/>
      <c r="QGU138" s="547"/>
      <c r="QGV138" s="547"/>
      <c r="QGW138" s="548"/>
      <c r="QGX138" s="547"/>
      <c r="QGY138" s="547"/>
      <c r="QGZ138" s="547"/>
      <c r="QHA138" s="547"/>
      <c r="QHB138" s="548"/>
      <c r="QHC138" s="547"/>
      <c r="QHD138" s="547"/>
      <c r="QHE138" s="547"/>
      <c r="QHF138" s="552"/>
      <c r="QHG138" s="548"/>
      <c r="QHH138" s="552"/>
      <c r="QHI138" s="552"/>
      <c r="QHJ138" s="552"/>
      <c r="QHK138" s="552"/>
      <c r="QHL138" s="548"/>
      <c r="QHM138" s="553"/>
      <c r="QHN138" s="553"/>
      <c r="QHO138" s="553"/>
      <c r="QHP138" s="8"/>
      <c r="QHQ138" s="8"/>
      <c r="QHR138" s="458"/>
      <c r="QHS138" s="8"/>
      <c r="QHT138" s="8"/>
      <c r="QHU138" s="547"/>
      <c r="QHV138" s="547"/>
      <c r="QHW138" s="547"/>
      <c r="QHX138" s="547"/>
      <c r="QHY138" s="548"/>
      <c r="QHZ138" s="547"/>
      <c r="QIA138" s="547"/>
      <c r="QIB138" s="547"/>
      <c r="QIC138" s="547"/>
      <c r="QID138" s="548"/>
      <c r="QIE138" s="547"/>
      <c r="QIF138" s="547"/>
      <c r="QIG138" s="547"/>
      <c r="QIH138" s="547"/>
      <c r="QII138" s="548"/>
      <c r="QIJ138" s="547"/>
      <c r="QIK138" s="547"/>
      <c r="QIL138" s="547"/>
      <c r="QIM138" s="552"/>
      <c r="QIN138" s="548"/>
      <c r="QIO138" s="552"/>
      <c r="QIP138" s="552"/>
      <c r="QIQ138" s="552"/>
      <c r="QIR138" s="552"/>
      <c r="QIS138" s="548"/>
      <c r="QIT138" s="553"/>
      <c r="QIU138" s="553"/>
      <c r="QIV138" s="553"/>
      <c r="QIW138" s="8"/>
      <c r="QIX138" s="8"/>
      <c r="QIY138" s="458"/>
      <c r="QIZ138" s="8"/>
      <c r="QJA138" s="8"/>
      <c r="QJB138" s="547"/>
      <c r="QJC138" s="547"/>
      <c r="QJD138" s="547"/>
      <c r="QJE138" s="547"/>
      <c r="QJF138" s="548"/>
      <c r="QJG138" s="547"/>
      <c r="QJH138" s="547"/>
      <c r="QJI138" s="547"/>
      <c r="QJJ138" s="547"/>
      <c r="QJK138" s="548"/>
      <c r="QJL138" s="547"/>
      <c r="QJM138" s="547"/>
      <c r="QJN138" s="547"/>
      <c r="QJO138" s="547"/>
      <c r="QJP138" s="548"/>
      <c r="QJQ138" s="547"/>
      <c r="QJR138" s="547"/>
      <c r="QJS138" s="547"/>
      <c r="QJT138" s="552"/>
      <c r="QJU138" s="548"/>
      <c r="QJV138" s="552"/>
      <c r="QJW138" s="552"/>
      <c r="QJX138" s="552"/>
      <c r="QJY138" s="552"/>
      <c r="QJZ138" s="548"/>
      <c r="QKA138" s="553"/>
      <c r="QKB138" s="553"/>
      <c r="QKC138" s="553"/>
      <c r="QKD138" s="8"/>
      <c r="QKE138" s="8"/>
      <c r="QKF138" s="458"/>
      <c r="QKG138" s="8"/>
      <c r="QKH138" s="8"/>
      <c r="QKI138" s="547"/>
      <c r="QKJ138" s="547"/>
      <c r="QKK138" s="547"/>
      <c r="QKL138" s="547"/>
      <c r="QKM138" s="548"/>
      <c r="QKN138" s="547"/>
      <c r="QKO138" s="547"/>
      <c r="QKP138" s="547"/>
      <c r="QKQ138" s="547"/>
      <c r="QKR138" s="548"/>
      <c r="QKS138" s="547"/>
      <c r="QKT138" s="547"/>
      <c r="QKU138" s="547"/>
      <c r="QKV138" s="547"/>
      <c r="QKW138" s="548"/>
      <c r="QKX138" s="547"/>
      <c r="QKY138" s="547"/>
      <c r="QKZ138" s="547"/>
      <c r="QLA138" s="552"/>
      <c r="QLB138" s="548"/>
      <c r="QLC138" s="552"/>
      <c r="QLD138" s="552"/>
      <c r="QLE138" s="552"/>
      <c r="QLF138" s="552"/>
      <c r="QLG138" s="548"/>
      <c r="QLH138" s="553"/>
      <c r="QLI138" s="553"/>
      <c r="QLJ138" s="553"/>
      <c r="QLK138" s="8"/>
      <c r="QLL138" s="8"/>
      <c r="QLM138" s="458"/>
      <c r="QLN138" s="8"/>
      <c r="QLO138" s="8"/>
      <c r="QLP138" s="547"/>
      <c r="QLQ138" s="547"/>
      <c r="QLR138" s="547"/>
      <c r="QLS138" s="547"/>
      <c r="QLT138" s="548"/>
      <c r="QLU138" s="547"/>
      <c r="QLV138" s="547"/>
      <c r="QLW138" s="547"/>
      <c r="QLX138" s="547"/>
      <c r="QLY138" s="548"/>
      <c r="QLZ138" s="547"/>
      <c r="QMA138" s="547"/>
      <c r="QMB138" s="547"/>
      <c r="QMC138" s="547"/>
      <c r="QMD138" s="548"/>
      <c r="QME138" s="547"/>
      <c r="QMF138" s="547"/>
      <c r="QMG138" s="547"/>
      <c r="QMH138" s="552"/>
      <c r="QMI138" s="548"/>
      <c r="QMJ138" s="552"/>
      <c r="QMK138" s="552"/>
      <c r="QML138" s="552"/>
      <c r="QMM138" s="552"/>
      <c r="QMN138" s="548"/>
      <c r="QMO138" s="553"/>
      <c r="QMP138" s="553"/>
      <c r="QMQ138" s="553"/>
      <c r="QMR138" s="8"/>
      <c r="QMS138" s="8"/>
      <c r="QMT138" s="458"/>
      <c r="QMU138" s="8"/>
      <c r="QMV138" s="8"/>
      <c r="QMW138" s="547"/>
      <c r="QMX138" s="547"/>
      <c r="QMY138" s="547"/>
      <c r="QMZ138" s="547"/>
      <c r="QNA138" s="548"/>
      <c r="QNB138" s="547"/>
      <c r="QNC138" s="547"/>
      <c r="QND138" s="547"/>
      <c r="QNE138" s="547"/>
      <c r="QNF138" s="548"/>
      <c r="QNG138" s="547"/>
      <c r="QNH138" s="547"/>
      <c r="QNI138" s="547"/>
      <c r="QNJ138" s="547"/>
      <c r="QNK138" s="548"/>
      <c r="QNL138" s="547"/>
      <c r="QNM138" s="547"/>
      <c r="QNN138" s="547"/>
      <c r="QNO138" s="552"/>
      <c r="QNP138" s="548"/>
      <c r="QNQ138" s="552"/>
      <c r="QNR138" s="552"/>
      <c r="QNS138" s="552"/>
      <c r="QNT138" s="552"/>
      <c r="QNU138" s="548"/>
      <c r="QNV138" s="553"/>
      <c r="QNW138" s="553"/>
      <c r="QNX138" s="553"/>
      <c r="QNY138" s="8"/>
      <c r="QNZ138" s="8"/>
      <c r="QOA138" s="458"/>
      <c r="QOB138" s="8"/>
      <c r="QOC138" s="8"/>
      <c r="QOD138" s="547"/>
      <c r="QOE138" s="547"/>
      <c r="QOF138" s="547"/>
      <c r="QOG138" s="547"/>
      <c r="QOH138" s="548"/>
      <c r="QOI138" s="547"/>
      <c r="QOJ138" s="547"/>
      <c r="QOK138" s="547"/>
      <c r="QOL138" s="547"/>
      <c r="QOM138" s="548"/>
      <c r="QON138" s="547"/>
      <c r="QOO138" s="547"/>
      <c r="QOP138" s="547"/>
      <c r="QOQ138" s="547"/>
      <c r="QOR138" s="548"/>
      <c r="QOS138" s="547"/>
      <c r="QOT138" s="547"/>
      <c r="QOU138" s="547"/>
      <c r="QOV138" s="552"/>
      <c r="QOW138" s="548"/>
      <c r="QOX138" s="552"/>
      <c r="QOY138" s="552"/>
      <c r="QOZ138" s="552"/>
      <c r="QPA138" s="552"/>
      <c r="QPB138" s="548"/>
      <c r="QPC138" s="553"/>
      <c r="QPD138" s="553"/>
      <c r="QPE138" s="553"/>
      <c r="QPF138" s="8"/>
      <c r="QPG138" s="8"/>
      <c r="QPH138" s="458"/>
      <c r="QPI138" s="8"/>
      <c r="QPJ138" s="8"/>
      <c r="QPK138" s="547"/>
      <c r="QPL138" s="547"/>
      <c r="QPM138" s="547"/>
      <c r="QPN138" s="547"/>
      <c r="QPO138" s="548"/>
      <c r="QPP138" s="547"/>
      <c r="QPQ138" s="547"/>
      <c r="QPR138" s="547"/>
      <c r="QPS138" s="547"/>
      <c r="QPT138" s="548"/>
      <c r="QPU138" s="547"/>
      <c r="QPV138" s="547"/>
      <c r="QPW138" s="547"/>
      <c r="QPX138" s="547"/>
      <c r="QPY138" s="548"/>
      <c r="QPZ138" s="547"/>
      <c r="QQA138" s="547"/>
      <c r="QQB138" s="547"/>
      <c r="QQC138" s="552"/>
      <c r="QQD138" s="548"/>
      <c r="QQE138" s="552"/>
      <c r="QQF138" s="552"/>
      <c r="QQG138" s="552"/>
      <c r="QQH138" s="552"/>
      <c r="QQI138" s="548"/>
      <c r="QQJ138" s="553"/>
      <c r="QQK138" s="553"/>
      <c r="QQL138" s="553"/>
      <c r="QQM138" s="8"/>
      <c r="QQN138" s="8"/>
      <c r="QQO138" s="458"/>
      <c r="QQP138" s="8"/>
      <c r="QQQ138" s="8"/>
      <c r="QQR138" s="547"/>
      <c r="QQS138" s="547"/>
      <c r="QQT138" s="547"/>
      <c r="QQU138" s="547"/>
      <c r="QQV138" s="548"/>
      <c r="QQW138" s="547"/>
      <c r="QQX138" s="547"/>
      <c r="QQY138" s="547"/>
      <c r="QQZ138" s="547"/>
      <c r="QRA138" s="548"/>
      <c r="QRB138" s="547"/>
      <c r="QRC138" s="547"/>
      <c r="QRD138" s="547"/>
      <c r="QRE138" s="547"/>
      <c r="QRF138" s="548"/>
      <c r="QRG138" s="547"/>
      <c r="QRH138" s="547"/>
      <c r="QRI138" s="547"/>
      <c r="QRJ138" s="552"/>
      <c r="QRK138" s="548"/>
      <c r="QRL138" s="552"/>
      <c r="QRM138" s="552"/>
      <c r="QRN138" s="552"/>
      <c r="QRO138" s="552"/>
      <c r="QRP138" s="548"/>
      <c r="QRQ138" s="553"/>
      <c r="QRR138" s="553"/>
      <c r="QRS138" s="553"/>
      <c r="QRT138" s="8"/>
      <c r="QRU138" s="8"/>
      <c r="QRV138" s="458"/>
      <c r="QRW138" s="8"/>
      <c r="QRX138" s="8"/>
      <c r="QRY138" s="547"/>
      <c r="QRZ138" s="547"/>
      <c r="QSA138" s="547"/>
      <c r="QSB138" s="547"/>
      <c r="QSC138" s="548"/>
      <c r="QSD138" s="547"/>
      <c r="QSE138" s="547"/>
      <c r="QSF138" s="547"/>
      <c r="QSG138" s="547"/>
      <c r="QSH138" s="548"/>
      <c r="QSI138" s="547"/>
      <c r="QSJ138" s="547"/>
      <c r="QSK138" s="547"/>
      <c r="QSL138" s="547"/>
      <c r="QSM138" s="548"/>
      <c r="QSN138" s="547"/>
      <c r="QSO138" s="547"/>
      <c r="QSP138" s="547"/>
      <c r="QSQ138" s="552"/>
      <c r="QSR138" s="548"/>
      <c r="QSS138" s="552"/>
      <c r="QST138" s="552"/>
      <c r="QSU138" s="552"/>
      <c r="QSV138" s="552"/>
      <c r="QSW138" s="548"/>
      <c r="QSX138" s="553"/>
      <c r="QSY138" s="553"/>
      <c r="QSZ138" s="553"/>
      <c r="QTA138" s="8"/>
      <c r="QTB138" s="8"/>
      <c r="QTC138" s="458"/>
      <c r="QTD138" s="8"/>
      <c r="QTE138" s="8"/>
      <c r="QTF138" s="547"/>
      <c r="QTG138" s="547"/>
      <c r="QTH138" s="547"/>
      <c r="QTI138" s="547"/>
      <c r="QTJ138" s="548"/>
      <c r="QTK138" s="547"/>
      <c r="QTL138" s="547"/>
      <c r="QTM138" s="547"/>
      <c r="QTN138" s="547"/>
      <c r="QTO138" s="548"/>
      <c r="QTP138" s="547"/>
      <c r="QTQ138" s="547"/>
      <c r="QTR138" s="547"/>
      <c r="QTS138" s="547"/>
      <c r="QTT138" s="548"/>
      <c r="QTU138" s="547"/>
      <c r="QTV138" s="547"/>
      <c r="QTW138" s="547"/>
      <c r="QTX138" s="552"/>
      <c r="QTY138" s="548"/>
      <c r="QTZ138" s="552"/>
      <c r="QUA138" s="552"/>
      <c r="QUB138" s="552"/>
      <c r="QUC138" s="552"/>
      <c r="QUD138" s="548"/>
      <c r="QUE138" s="553"/>
      <c r="QUF138" s="553"/>
      <c r="QUG138" s="553"/>
      <c r="QUH138" s="8"/>
      <c r="QUI138" s="8"/>
      <c r="QUJ138" s="458"/>
      <c r="QUK138" s="8"/>
      <c r="QUL138" s="8"/>
      <c r="QUM138" s="547"/>
      <c r="QUN138" s="547"/>
      <c r="QUO138" s="547"/>
      <c r="QUP138" s="547"/>
      <c r="QUQ138" s="548"/>
      <c r="QUR138" s="547"/>
      <c r="QUS138" s="547"/>
      <c r="QUT138" s="547"/>
      <c r="QUU138" s="547"/>
      <c r="QUV138" s="548"/>
      <c r="QUW138" s="547"/>
      <c r="QUX138" s="547"/>
      <c r="QUY138" s="547"/>
      <c r="QUZ138" s="547"/>
      <c r="QVA138" s="548"/>
      <c r="QVB138" s="547"/>
      <c r="QVC138" s="547"/>
      <c r="QVD138" s="547"/>
      <c r="QVE138" s="552"/>
      <c r="QVF138" s="548"/>
      <c r="QVG138" s="552"/>
      <c r="QVH138" s="552"/>
      <c r="QVI138" s="552"/>
      <c r="QVJ138" s="552"/>
      <c r="QVK138" s="548"/>
      <c r="QVL138" s="553"/>
      <c r="QVM138" s="553"/>
      <c r="QVN138" s="553"/>
      <c r="QVO138" s="8"/>
      <c r="QVP138" s="8"/>
      <c r="QVQ138" s="458"/>
      <c r="QVR138" s="8"/>
      <c r="QVS138" s="8"/>
      <c r="QVT138" s="547"/>
      <c r="QVU138" s="547"/>
      <c r="QVV138" s="547"/>
      <c r="QVW138" s="547"/>
      <c r="QVX138" s="548"/>
      <c r="QVY138" s="547"/>
      <c r="QVZ138" s="547"/>
      <c r="QWA138" s="547"/>
      <c r="QWB138" s="547"/>
      <c r="QWC138" s="548"/>
      <c r="QWD138" s="547"/>
      <c r="QWE138" s="547"/>
      <c r="QWF138" s="547"/>
      <c r="QWG138" s="547"/>
      <c r="QWH138" s="548"/>
      <c r="QWI138" s="547"/>
      <c r="QWJ138" s="547"/>
      <c r="QWK138" s="547"/>
      <c r="QWL138" s="552"/>
      <c r="QWM138" s="548"/>
      <c r="QWN138" s="552"/>
      <c r="QWO138" s="552"/>
      <c r="QWP138" s="552"/>
      <c r="QWQ138" s="552"/>
      <c r="QWR138" s="548"/>
      <c r="QWS138" s="553"/>
      <c r="QWT138" s="553"/>
      <c r="QWU138" s="553"/>
      <c r="QWV138" s="8"/>
      <c r="QWW138" s="8"/>
      <c r="QWX138" s="458"/>
      <c r="QWY138" s="8"/>
      <c r="QWZ138" s="8"/>
      <c r="QXA138" s="547"/>
      <c r="QXB138" s="547"/>
      <c r="QXC138" s="547"/>
      <c r="QXD138" s="547"/>
      <c r="QXE138" s="548"/>
      <c r="QXF138" s="547"/>
      <c r="QXG138" s="547"/>
      <c r="QXH138" s="547"/>
      <c r="QXI138" s="547"/>
      <c r="QXJ138" s="548"/>
      <c r="QXK138" s="547"/>
      <c r="QXL138" s="547"/>
      <c r="QXM138" s="547"/>
      <c r="QXN138" s="547"/>
      <c r="QXO138" s="548"/>
      <c r="QXP138" s="547"/>
      <c r="QXQ138" s="547"/>
      <c r="QXR138" s="547"/>
      <c r="QXS138" s="552"/>
      <c r="QXT138" s="548"/>
      <c r="QXU138" s="552"/>
      <c r="QXV138" s="552"/>
      <c r="QXW138" s="552"/>
      <c r="QXX138" s="552"/>
      <c r="QXY138" s="548"/>
      <c r="QXZ138" s="553"/>
      <c r="QYA138" s="553"/>
      <c r="QYB138" s="553"/>
      <c r="QYC138" s="8"/>
      <c r="QYD138" s="8"/>
      <c r="QYE138" s="458"/>
      <c r="QYF138" s="8"/>
      <c r="QYG138" s="8"/>
      <c r="QYH138" s="547"/>
      <c r="QYI138" s="547"/>
      <c r="QYJ138" s="547"/>
      <c r="QYK138" s="547"/>
      <c r="QYL138" s="548"/>
      <c r="QYM138" s="547"/>
      <c r="QYN138" s="547"/>
      <c r="QYO138" s="547"/>
      <c r="QYP138" s="547"/>
      <c r="QYQ138" s="548"/>
      <c r="QYR138" s="547"/>
      <c r="QYS138" s="547"/>
      <c r="QYT138" s="547"/>
      <c r="QYU138" s="547"/>
      <c r="QYV138" s="548"/>
      <c r="QYW138" s="547"/>
      <c r="QYX138" s="547"/>
      <c r="QYY138" s="547"/>
      <c r="QYZ138" s="552"/>
      <c r="QZA138" s="548"/>
      <c r="QZB138" s="552"/>
      <c r="QZC138" s="552"/>
      <c r="QZD138" s="552"/>
      <c r="QZE138" s="552"/>
      <c r="QZF138" s="548"/>
      <c r="QZG138" s="553"/>
      <c r="QZH138" s="553"/>
      <c r="QZI138" s="553"/>
      <c r="QZJ138" s="8"/>
      <c r="QZK138" s="8"/>
      <c r="QZL138" s="458"/>
      <c r="QZM138" s="8"/>
      <c r="QZN138" s="8"/>
      <c r="QZO138" s="547"/>
      <c r="QZP138" s="547"/>
      <c r="QZQ138" s="547"/>
      <c r="QZR138" s="547"/>
      <c r="QZS138" s="548"/>
      <c r="QZT138" s="547"/>
      <c r="QZU138" s="547"/>
      <c r="QZV138" s="547"/>
      <c r="QZW138" s="547"/>
      <c r="QZX138" s="548"/>
      <c r="QZY138" s="547"/>
      <c r="QZZ138" s="547"/>
      <c r="RAA138" s="547"/>
      <c r="RAB138" s="547"/>
      <c r="RAC138" s="548"/>
      <c r="RAD138" s="547"/>
      <c r="RAE138" s="547"/>
      <c r="RAF138" s="547"/>
      <c r="RAG138" s="552"/>
      <c r="RAH138" s="548"/>
      <c r="RAI138" s="552"/>
      <c r="RAJ138" s="552"/>
      <c r="RAK138" s="552"/>
      <c r="RAL138" s="552"/>
      <c r="RAM138" s="548"/>
      <c r="RAN138" s="553"/>
      <c r="RAO138" s="553"/>
      <c r="RAP138" s="553"/>
      <c r="RAQ138" s="8"/>
      <c r="RAR138" s="8"/>
      <c r="RAS138" s="458"/>
      <c r="RAT138" s="8"/>
      <c r="RAU138" s="8"/>
      <c r="RAV138" s="547"/>
      <c r="RAW138" s="547"/>
      <c r="RAX138" s="547"/>
      <c r="RAY138" s="547"/>
      <c r="RAZ138" s="548"/>
      <c r="RBA138" s="547"/>
      <c r="RBB138" s="547"/>
      <c r="RBC138" s="547"/>
      <c r="RBD138" s="547"/>
      <c r="RBE138" s="548"/>
      <c r="RBF138" s="547"/>
      <c r="RBG138" s="547"/>
      <c r="RBH138" s="547"/>
      <c r="RBI138" s="547"/>
      <c r="RBJ138" s="548"/>
      <c r="RBK138" s="547"/>
      <c r="RBL138" s="547"/>
      <c r="RBM138" s="547"/>
      <c r="RBN138" s="552"/>
      <c r="RBO138" s="548"/>
      <c r="RBP138" s="552"/>
      <c r="RBQ138" s="552"/>
      <c r="RBR138" s="552"/>
      <c r="RBS138" s="552"/>
      <c r="RBT138" s="548"/>
      <c r="RBU138" s="553"/>
      <c r="RBV138" s="553"/>
      <c r="RBW138" s="553"/>
      <c r="RBX138" s="8"/>
      <c r="RBY138" s="8"/>
      <c r="RBZ138" s="458"/>
      <c r="RCA138" s="8"/>
      <c r="RCB138" s="8"/>
      <c r="RCC138" s="547"/>
      <c r="RCD138" s="547"/>
      <c r="RCE138" s="547"/>
      <c r="RCF138" s="547"/>
      <c r="RCG138" s="548"/>
      <c r="RCH138" s="547"/>
      <c r="RCI138" s="547"/>
      <c r="RCJ138" s="547"/>
      <c r="RCK138" s="547"/>
      <c r="RCL138" s="548"/>
      <c r="RCM138" s="547"/>
      <c r="RCN138" s="547"/>
      <c r="RCO138" s="547"/>
      <c r="RCP138" s="547"/>
      <c r="RCQ138" s="548"/>
      <c r="RCR138" s="547"/>
      <c r="RCS138" s="547"/>
      <c r="RCT138" s="547"/>
      <c r="RCU138" s="552"/>
      <c r="RCV138" s="548"/>
      <c r="RCW138" s="552"/>
      <c r="RCX138" s="552"/>
      <c r="RCY138" s="552"/>
      <c r="RCZ138" s="552"/>
      <c r="RDA138" s="548"/>
      <c r="RDB138" s="553"/>
      <c r="RDC138" s="553"/>
      <c r="RDD138" s="553"/>
      <c r="RDE138" s="8"/>
      <c r="RDF138" s="8"/>
      <c r="RDG138" s="458"/>
      <c r="RDH138" s="8"/>
      <c r="RDI138" s="8"/>
      <c r="RDJ138" s="547"/>
      <c r="RDK138" s="547"/>
      <c r="RDL138" s="547"/>
      <c r="RDM138" s="547"/>
      <c r="RDN138" s="548"/>
      <c r="RDO138" s="547"/>
      <c r="RDP138" s="547"/>
      <c r="RDQ138" s="547"/>
      <c r="RDR138" s="547"/>
      <c r="RDS138" s="548"/>
      <c r="RDT138" s="547"/>
      <c r="RDU138" s="547"/>
      <c r="RDV138" s="547"/>
      <c r="RDW138" s="547"/>
      <c r="RDX138" s="548"/>
      <c r="RDY138" s="547"/>
      <c r="RDZ138" s="547"/>
      <c r="REA138" s="547"/>
      <c r="REB138" s="552"/>
      <c r="REC138" s="548"/>
      <c r="RED138" s="552"/>
      <c r="REE138" s="552"/>
      <c r="REF138" s="552"/>
      <c r="REG138" s="552"/>
      <c r="REH138" s="548"/>
      <c r="REI138" s="553"/>
      <c r="REJ138" s="553"/>
      <c r="REK138" s="553"/>
      <c r="REL138" s="8"/>
      <c r="REM138" s="8"/>
      <c r="REN138" s="458"/>
      <c r="REO138" s="8"/>
      <c r="REP138" s="8"/>
      <c r="REQ138" s="547"/>
      <c r="RER138" s="547"/>
      <c r="RES138" s="547"/>
      <c r="RET138" s="547"/>
      <c r="REU138" s="548"/>
      <c r="REV138" s="547"/>
      <c r="REW138" s="547"/>
      <c r="REX138" s="547"/>
      <c r="REY138" s="547"/>
      <c r="REZ138" s="548"/>
      <c r="RFA138" s="547"/>
      <c r="RFB138" s="547"/>
      <c r="RFC138" s="547"/>
      <c r="RFD138" s="547"/>
      <c r="RFE138" s="548"/>
      <c r="RFF138" s="547"/>
      <c r="RFG138" s="547"/>
      <c r="RFH138" s="547"/>
      <c r="RFI138" s="552"/>
      <c r="RFJ138" s="548"/>
      <c r="RFK138" s="552"/>
      <c r="RFL138" s="552"/>
      <c r="RFM138" s="552"/>
      <c r="RFN138" s="552"/>
      <c r="RFO138" s="548"/>
      <c r="RFP138" s="553"/>
      <c r="RFQ138" s="553"/>
      <c r="RFR138" s="553"/>
      <c r="RFS138" s="8"/>
      <c r="RFT138" s="8"/>
      <c r="RFU138" s="458"/>
      <c r="RFV138" s="8"/>
      <c r="RFW138" s="8"/>
      <c r="RFX138" s="547"/>
      <c r="RFY138" s="547"/>
      <c r="RFZ138" s="547"/>
      <c r="RGA138" s="547"/>
      <c r="RGB138" s="548"/>
      <c r="RGC138" s="547"/>
      <c r="RGD138" s="547"/>
      <c r="RGE138" s="547"/>
      <c r="RGF138" s="547"/>
      <c r="RGG138" s="548"/>
      <c r="RGH138" s="547"/>
      <c r="RGI138" s="547"/>
      <c r="RGJ138" s="547"/>
      <c r="RGK138" s="547"/>
      <c r="RGL138" s="548"/>
      <c r="RGM138" s="547"/>
      <c r="RGN138" s="547"/>
      <c r="RGO138" s="547"/>
      <c r="RGP138" s="552"/>
      <c r="RGQ138" s="548"/>
      <c r="RGR138" s="552"/>
      <c r="RGS138" s="552"/>
      <c r="RGT138" s="552"/>
      <c r="RGU138" s="552"/>
      <c r="RGV138" s="548"/>
      <c r="RGW138" s="553"/>
      <c r="RGX138" s="553"/>
      <c r="RGY138" s="553"/>
      <c r="RGZ138" s="8"/>
      <c r="RHA138" s="8"/>
      <c r="RHB138" s="458"/>
      <c r="RHC138" s="8"/>
      <c r="RHD138" s="8"/>
      <c r="RHE138" s="547"/>
      <c r="RHF138" s="547"/>
      <c r="RHG138" s="547"/>
      <c r="RHH138" s="547"/>
      <c r="RHI138" s="548"/>
      <c r="RHJ138" s="547"/>
      <c r="RHK138" s="547"/>
      <c r="RHL138" s="547"/>
      <c r="RHM138" s="547"/>
      <c r="RHN138" s="548"/>
      <c r="RHO138" s="547"/>
      <c r="RHP138" s="547"/>
      <c r="RHQ138" s="547"/>
      <c r="RHR138" s="547"/>
      <c r="RHS138" s="548"/>
      <c r="RHT138" s="547"/>
      <c r="RHU138" s="547"/>
      <c r="RHV138" s="547"/>
      <c r="RHW138" s="552"/>
      <c r="RHX138" s="548"/>
      <c r="RHY138" s="552"/>
      <c r="RHZ138" s="552"/>
      <c r="RIA138" s="552"/>
      <c r="RIB138" s="552"/>
      <c r="RIC138" s="548"/>
      <c r="RID138" s="553"/>
      <c r="RIE138" s="553"/>
      <c r="RIF138" s="553"/>
      <c r="RIG138" s="8"/>
      <c r="RIH138" s="8"/>
      <c r="RII138" s="458"/>
      <c r="RIJ138" s="8"/>
      <c r="RIK138" s="8"/>
      <c r="RIL138" s="547"/>
      <c r="RIM138" s="547"/>
      <c r="RIN138" s="547"/>
      <c r="RIO138" s="547"/>
      <c r="RIP138" s="548"/>
      <c r="RIQ138" s="547"/>
      <c r="RIR138" s="547"/>
      <c r="RIS138" s="547"/>
      <c r="RIT138" s="547"/>
      <c r="RIU138" s="548"/>
      <c r="RIV138" s="547"/>
      <c r="RIW138" s="547"/>
      <c r="RIX138" s="547"/>
      <c r="RIY138" s="547"/>
      <c r="RIZ138" s="548"/>
      <c r="RJA138" s="547"/>
      <c r="RJB138" s="547"/>
      <c r="RJC138" s="547"/>
      <c r="RJD138" s="552"/>
      <c r="RJE138" s="548"/>
      <c r="RJF138" s="552"/>
      <c r="RJG138" s="552"/>
      <c r="RJH138" s="552"/>
      <c r="RJI138" s="552"/>
      <c r="RJJ138" s="548"/>
      <c r="RJK138" s="553"/>
      <c r="RJL138" s="553"/>
      <c r="RJM138" s="553"/>
      <c r="RJN138" s="8"/>
      <c r="RJO138" s="8"/>
      <c r="RJP138" s="458"/>
      <c r="RJQ138" s="8"/>
      <c r="RJR138" s="8"/>
      <c r="RJS138" s="547"/>
      <c r="RJT138" s="547"/>
      <c r="RJU138" s="547"/>
      <c r="RJV138" s="547"/>
      <c r="RJW138" s="548"/>
      <c r="RJX138" s="547"/>
      <c r="RJY138" s="547"/>
      <c r="RJZ138" s="547"/>
      <c r="RKA138" s="547"/>
      <c r="RKB138" s="548"/>
      <c r="RKC138" s="547"/>
      <c r="RKD138" s="547"/>
      <c r="RKE138" s="547"/>
      <c r="RKF138" s="547"/>
      <c r="RKG138" s="548"/>
      <c r="RKH138" s="547"/>
      <c r="RKI138" s="547"/>
      <c r="RKJ138" s="547"/>
      <c r="RKK138" s="552"/>
      <c r="RKL138" s="548"/>
      <c r="RKM138" s="552"/>
      <c r="RKN138" s="552"/>
      <c r="RKO138" s="552"/>
      <c r="RKP138" s="552"/>
      <c r="RKQ138" s="548"/>
      <c r="RKR138" s="553"/>
      <c r="RKS138" s="553"/>
      <c r="RKT138" s="553"/>
      <c r="RKU138" s="8"/>
      <c r="RKV138" s="8"/>
      <c r="RKW138" s="458"/>
      <c r="RKX138" s="8"/>
      <c r="RKY138" s="8"/>
      <c r="RKZ138" s="547"/>
      <c r="RLA138" s="547"/>
      <c r="RLB138" s="547"/>
      <c r="RLC138" s="547"/>
      <c r="RLD138" s="548"/>
      <c r="RLE138" s="547"/>
      <c r="RLF138" s="547"/>
      <c r="RLG138" s="547"/>
      <c r="RLH138" s="547"/>
      <c r="RLI138" s="548"/>
      <c r="RLJ138" s="547"/>
      <c r="RLK138" s="547"/>
      <c r="RLL138" s="547"/>
      <c r="RLM138" s="547"/>
      <c r="RLN138" s="548"/>
      <c r="RLO138" s="547"/>
      <c r="RLP138" s="547"/>
      <c r="RLQ138" s="547"/>
      <c r="RLR138" s="552"/>
      <c r="RLS138" s="548"/>
      <c r="RLT138" s="552"/>
      <c r="RLU138" s="552"/>
      <c r="RLV138" s="552"/>
      <c r="RLW138" s="552"/>
      <c r="RLX138" s="548"/>
      <c r="RLY138" s="553"/>
      <c r="RLZ138" s="553"/>
      <c r="RMA138" s="553"/>
      <c r="RMB138" s="8"/>
      <c r="RMC138" s="8"/>
      <c r="RMD138" s="458"/>
      <c r="RME138" s="8"/>
      <c r="RMF138" s="8"/>
      <c r="RMG138" s="547"/>
      <c r="RMH138" s="547"/>
      <c r="RMI138" s="547"/>
      <c r="RMJ138" s="547"/>
      <c r="RMK138" s="548"/>
      <c r="RML138" s="547"/>
      <c r="RMM138" s="547"/>
      <c r="RMN138" s="547"/>
      <c r="RMO138" s="547"/>
      <c r="RMP138" s="548"/>
      <c r="RMQ138" s="547"/>
      <c r="RMR138" s="547"/>
      <c r="RMS138" s="547"/>
      <c r="RMT138" s="547"/>
      <c r="RMU138" s="548"/>
      <c r="RMV138" s="547"/>
      <c r="RMW138" s="547"/>
      <c r="RMX138" s="547"/>
      <c r="RMY138" s="552"/>
      <c r="RMZ138" s="548"/>
      <c r="RNA138" s="552"/>
      <c r="RNB138" s="552"/>
      <c r="RNC138" s="552"/>
      <c r="RND138" s="552"/>
      <c r="RNE138" s="548"/>
      <c r="RNF138" s="553"/>
      <c r="RNG138" s="553"/>
      <c r="RNH138" s="553"/>
      <c r="RNI138" s="8"/>
      <c r="RNJ138" s="8"/>
      <c r="RNK138" s="458"/>
      <c r="RNL138" s="8"/>
      <c r="RNM138" s="8"/>
      <c r="RNN138" s="547"/>
      <c r="RNO138" s="547"/>
      <c r="RNP138" s="547"/>
      <c r="RNQ138" s="547"/>
      <c r="RNR138" s="548"/>
      <c r="RNS138" s="547"/>
      <c r="RNT138" s="547"/>
      <c r="RNU138" s="547"/>
      <c r="RNV138" s="547"/>
      <c r="RNW138" s="548"/>
      <c r="RNX138" s="547"/>
      <c r="RNY138" s="547"/>
      <c r="RNZ138" s="547"/>
      <c r="ROA138" s="547"/>
      <c r="ROB138" s="548"/>
      <c r="ROC138" s="547"/>
      <c r="ROD138" s="547"/>
      <c r="ROE138" s="547"/>
      <c r="ROF138" s="552"/>
      <c r="ROG138" s="548"/>
      <c r="ROH138" s="552"/>
      <c r="ROI138" s="552"/>
      <c r="ROJ138" s="552"/>
      <c r="ROK138" s="552"/>
      <c r="ROL138" s="548"/>
      <c r="ROM138" s="553"/>
      <c r="RON138" s="553"/>
      <c r="ROO138" s="553"/>
      <c r="ROP138" s="8"/>
      <c r="ROQ138" s="8"/>
      <c r="ROR138" s="458"/>
      <c r="ROS138" s="8"/>
      <c r="ROT138" s="8"/>
      <c r="ROU138" s="547"/>
      <c r="ROV138" s="547"/>
      <c r="ROW138" s="547"/>
      <c r="ROX138" s="547"/>
      <c r="ROY138" s="548"/>
      <c r="ROZ138" s="547"/>
      <c r="RPA138" s="547"/>
      <c r="RPB138" s="547"/>
      <c r="RPC138" s="547"/>
      <c r="RPD138" s="548"/>
      <c r="RPE138" s="547"/>
      <c r="RPF138" s="547"/>
      <c r="RPG138" s="547"/>
      <c r="RPH138" s="547"/>
      <c r="RPI138" s="548"/>
      <c r="RPJ138" s="547"/>
      <c r="RPK138" s="547"/>
      <c r="RPL138" s="547"/>
      <c r="RPM138" s="552"/>
      <c r="RPN138" s="548"/>
      <c r="RPO138" s="552"/>
      <c r="RPP138" s="552"/>
      <c r="RPQ138" s="552"/>
      <c r="RPR138" s="552"/>
      <c r="RPS138" s="548"/>
      <c r="RPT138" s="553"/>
      <c r="RPU138" s="553"/>
      <c r="RPV138" s="553"/>
      <c r="RPW138" s="8"/>
      <c r="RPX138" s="8"/>
      <c r="RPY138" s="458"/>
      <c r="RPZ138" s="8"/>
      <c r="RQA138" s="8"/>
      <c r="RQB138" s="547"/>
      <c r="RQC138" s="547"/>
      <c r="RQD138" s="547"/>
      <c r="RQE138" s="547"/>
      <c r="RQF138" s="548"/>
      <c r="RQG138" s="547"/>
      <c r="RQH138" s="547"/>
      <c r="RQI138" s="547"/>
      <c r="RQJ138" s="547"/>
      <c r="RQK138" s="548"/>
      <c r="RQL138" s="547"/>
      <c r="RQM138" s="547"/>
      <c r="RQN138" s="547"/>
      <c r="RQO138" s="547"/>
      <c r="RQP138" s="548"/>
      <c r="RQQ138" s="547"/>
      <c r="RQR138" s="547"/>
      <c r="RQS138" s="547"/>
      <c r="RQT138" s="552"/>
      <c r="RQU138" s="548"/>
      <c r="RQV138" s="552"/>
      <c r="RQW138" s="552"/>
      <c r="RQX138" s="552"/>
      <c r="RQY138" s="552"/>
      <c r="RQZ138" s="548"/>
      <c r="RRA138" s="553"/>
      <c r="RRB138" s="553"/>
      <c r="RRC138" s="553"/>
      <c r="RRD138" s="8"/>
      <c r="RRE138" s="8"/>
      <c r="RRF138" s="458"/>
      <c r="RRG138" s="8"/>
      <c r="RRH138" s="8"/>
      <c r="RRI138" s="547"/>
      <c r="RRJ138" s="547"/>
      <c r="RRK138" s="547"/>
      <c r="RRL138" s="547"/>
      <c r="RRM138" s="548"/>
      <c r="RRN138" s="547"/>
      <c r="RRO138" s="547"/>
      <c r="RRP138" s="547"/>
      <c r="RRQ138" s="547"/>
      <c r="RRR138" s="548"/>
      <c r="RRS138" s="547"/>
      <c r="RRT138" s="547"/>
      <c r="RRU138" s="547"/>
      <c r="RRV138" s="547"/>
      <c r="RRW138" s="548"/>
      <c r="RRX138" s="547"/>
      <c r="RRY138" s="547"/>
      <c r="RRZ138" s="547"/>
      <c r="RSA138" s="552"/>
      <c r="RSB138" s="548"/>
      <c r="RSC138" s="552"/>
      <c r="RSD138" s="552"/>
      <c r="RSE138" s="552"/>
      <c r="RSF138" s="552"/>
      <c r="RSG138" s="548"/>
      <c r="RSH138" s="553"/>
      <c r="RSI138" s="553"/>
      <c r="RSJ138" s="553"/>
      <c r="RSK138" s="8"/>
      <c r="RSL138" s="8"/>
      <c r="RSM138" s="458"/>
      <c r="RSN138" s="8"/>
      <c r="RSO138" s="8"/>
      <c r="RSP138" s="547"/>
      <c r="RSQ138" s="547"/>
      <c r="RSR138" s="547"/>
      <c r="RSS138" s="547"/>
      <c r="RST138" s="548"/>
      <c r="RSU138" s="547"/>
      <c r="RSV138" s="547"/>
      <c r="RSW138" s="547"/>
      <c r="RSX138" s="547"/>
      <c r="RSY138" s="548"/>
      <c r="RSZ138" s="547"/>
      <c r="RTA138" s="547"/>
      <c r="RTB138" s="547"/>
      <c r="RTC138" s="547"/>
      <c r="RTD138" s="548"/>
      <c r="RTE138" s="547"/>
      <c r="RTF138" s="547"/>
      <c r="RTG138" s="547"/>
      <c r="RTH138" s="552"/>
      <c r="RTI138" s="548"/>
      <c r="RTJ138" s="552"/>
      <c r="RTK138" s="552"/>
      <c r="RTL138" s="552"/>
      <c r="RTM138" s="552"/>
      <c r="RTN138" s="548"/>
      <c r="RTO138" s="553"/>
      <c r="RTP138" s="553"/>
      <c r="RTQ138" s="553"/>
      <c r="RTR138" s="8"/>
      <c r="RTS138" s="8"/>
      <c r="RTT138" s="458"/>
      <c r="RTU138" s="8"/>
      <c r="RTV138" s="8"/>
      <c r="RTW138" s="547"/>
      <c r="RTX138" s="547"/>
      <c r="RTY138" s="547"/>
      <c r="RTZ138" s="547"/>
      <c r="RUA138" s="548"/>
      <c r="RUB138" s="547"/>
      <c r="RUC138" s="547"/>
      <c r="RUD138" s="547"/>
      <c r="RUE138" s="547"/>
      <c r="RUF138" s="548"/>
      <c r="RUG138" s="547"/>
      <c r="RUH138" s="547"/>
      <c r="RUI138" s="547"/>
      <c r="RUJ138" s="547"/>
      <c r="RUK138" s="548"/>
      <c r="RUL138" s="547"/>
      <c r="RUM138" s="547"/>
      <c r="RUN138" s="547"/>
      <c r="RUO138" s="552"/>
      <c r="RUP138" s="548"/>
      <c r="RUQ138" s="552"/>
      <c r="RUR138" s="552"/>
      <c r="RUS138" s="552"/>
      <c r="RUT138" s="552"/>
      <c r="RUU138" s="548"/>
      <c r="RUV138" s="553"/>
      <c r="RUW138" s="553"/>
      <c r="RUX138" s="553"/>
      <c r="RUY138" s="8"/>
      <c r="RUZ138" s="8"/>
      <c r="RVA138" s="458"/>
      <c r="RVB138" s="8"/>
      <c r="RVC138" s="8"/>
      <c r="RVD138" s="547"/>
      <c r="RVE138" s="547"/>
      <c r="RVF138" s="547"/>
      <c r="RVG138" s="547"/>
      <c r="RVH138" s="548"/>
      <c r="RVI138" s="547"/>
      <c r="RVJ138" s="547"/>
      <c r="RVK138" s="547"/>
      <c r="RVL138" s="547"/>
      <c r="RVM138" s="548"/>
      <c r="RVN138" s="547"/>
      <c r="RVO138" s="547"/>
      <c r="RVP138" s="547"/>
      <c r="RVQ138" s="547"/>
      <c r="RVR138" s="548"/>
      <c r="RVS138" s="547"/>
      <c r="RVT138" s="547"/>
      <c r="RVU138" s="547"/>
      <c r="RVV138" s="552"/>
      <c r="RVW138" s="548"/>
      <c r="RVX138" s="552"/>
      <c r="RVY138" s="552"/>
      <c r="RVZ138" s="552"/>
      <c r="RWA138" s="552"/>
      <c r="RWB138" s="548"/>
      <c r="RWC138" s="553"/>
      <c r="RWD138" s="553"/>
      <c r="RWE138" s="553"/>
      <c r="RWF138" s="8"/>
      <c r="RWG138" s="8"/>
      <c r="RWH138" s="458"/>
      <c r="RWI138" s="8"/>
      <c r="RWJ138" s="8"/>
      <c r="RWK138" s="547"/>
      <c r="RWL138" s="547"/>
      <c r="RWM138" s="547"/>
      <c r="RWN138" s="547"/>
      <c r="RWO138" s="548"/>
      <c r="RWP138" s="547"/>
      <c r="RWQ138" s="547"/>
      <c r="RWR138" s="547"/>
      <c r="RWS138" s="547"/>
      <c r="RWT138" s="548"/>
      <c r="RWU138" s="547"/>
      <c r="RWV138" s="547"/>
      <c r="RWW138" s="547"/>
      <c r="RWX138" s="547"/>
      <c r="RWY138" s="548"/>
      <c r="RWZ138" s="547"/>
      <c r="RXA138" s="547"/>
      <c r="RXB138" s="547"/>
      <c r="RXC138" s="552"/>
      <c r="RXD138" s="548"/>
      <c r="RXE138" s="552"/>
      <c r="RXF138" s="552"/>
      <c r="RXG138" s="552"/>
      <c r="RXH138" s="552"/>
      <c r="RXI138" s="548"/>
      <c r="RXJ138" s="553"/>
      <c r="RXK138" s="553"/>
      <c r="RXL138" s="553"/>
      <c r="RXM138" s="8"/>
      <c r="RXN138" s="8"/>
      <c r="RXO138" s="458"/>
      <c r="RXP138" s="8"/>
      <c r="RXQ138" s="8"/>
      <c r="RXR138" s="547"/>
      <c r="RXS138" s="547"/>
      <c r="RXT138" s="547"/>
      <c r="RXU138" s="547"/>
      <c r="RXV138" s="548"/>
      <c r="RXW138" s="547"/>
      <c r="RXX138" s="547"/>
      <c r="RXY138" s="547"/>
      <c r="RXZ138" s="547"/>
      <c r="RYA138" s="548"/>
      <c r="RYB138" s="547"/>
      <c r="RYC138" s="547"/>
      <c r="RYD138" s="547"/>
      <c r="RYE138" s="547"/>
      <c r="RYF138" s="548"/>
      <c r="RYG138" s="547"/>
      <c r="RYH138" s="547"/>
      <c r="RYI138" s="547"/>
      <c r="RYJ138" s="552"/>
      <c r="RYK138" s="548"/>
      <c r="RYL138" s="552"/>
      <c r="RYM138" s="552"/>
      <c r="RYN138" s="552"/>
      <c r="RYO138" s="552"/>
      <c r="RYP138" s="548"/>
      <c r="RYQ138" s="553"/>
      <c r="RYR138" s="553"/>
      <c r="RYS138" s="553"/>
      <c r="RYT138" s="8"/>
      <c r="RYU138" s="8"/>
      <c r="RYV138" s="458"/>
      <c r="RYW138" s="8"/>
      <c r="RYX138" s="8"/>
      <c r="RYY138" s="547"/>
      <c r="RYZ138" s="547"/>
      <c r="RZA138" s="547"/>
      <c r="RZB138" s="547"/>
      <c r="RZC138" s="548"/>
      <c r="RZD138" s="547"/>
      <c r="RZE138" s="547"/>
      <c r="RZF138" s="547"/>
      <c r="RZG138" s="547"/>
      <c r="RZH138" s="548"/>
      <c r="RZI138" s="547"/>
      <c r="RZJ138" s="547"/>
      <c r="RZK138" s="547"/>
      <c r="RZL138" s="547"/>
      <c r="RZM138" s="548"/>
      <c r="RZN138" s="547"/>
      <c r="RZO138" s="547"/>
      <c r="RZP138" s="547"/>
      <c r="RZQ138" s="552"/>
      <c r="RZR138" s="548"/>
      <c r="RZS138" s="552"/>
      <c r="RZT138" s="552"/>
      <c r="RZU138" s="552"/>
      <c r="RZV138" s="552"/>
      <c r="RZW138" s="548"/>
      <c r="RZX138" s="553"/>
      <c r="RZY138" s="553"/>
      <c r="RZZ138" s="553"/>
      <c r="SAA138" s="8"/>
      <c r="SAB138" s="8"/>
      <c r="SAC138" s="458"/>
      <c r="SAD138" s="8"/>
      <c r="SAE138" s="8"/>
      <c r="SAF138" s="547"/>
      <c r="SAG138" s="547"/>
      <c r="SAH138" s="547"/>
      <c r="SAI138" s="547"/>
      <c r="SAJ138" s="548"/>
      <c r="SAK138" s="547"/>
      <c r="SAL138" s="547"/>
      <c r="SAM138" s="547"/>
      <c r="SAN138" s="547"/>
      <c r="SAO138" s="548"/>
      <c r="SAP138" s="547"/>
      <c r="SAQ138" s="547"/>
      <c r="SAR138" s="547"/>
      <c r="SAS138" s="547"/>
      <c r="SAT138" s="548"/>
      <c r="SAU138" s="547"/>
      <c r="SAV138" s="547"/>
      <c r="SAW138" s="547"/>
      <c r="SAX138" s="552"/>
      <c r="SAY138" s="548"/>
      <c r="SAZ138" s="552"/>
      <c r="SBA138" s="552"/>
      <c r="SBB138" s="552"/>
      <c r="SBC138" s="552"/>
      <c r="SBD138" s="548"/>
      <c r="SBE138" s="553"/>
      <c r="SBF138" s="553"/>
      <c r="SBG138" s="553"/>
      <c r="SBH138" s="8"/>
      <c r="SBI138" s="8"/>
      <c r="SBJ138" s="458"/>
      <c r="SBK138" s="8"/>
      <c r="SBL138" s="8"/>
      <c r="SBM138" s="547"/>
      <c r="SBN138" s="547"/>
      <c r="SBO138" s="547"/>
      <c r="SBP138" s="547"/>
      <c r="SBQ138" s="548"/>
      <c r="SBR138" s="547"/>
      <c r="SBS138" s="547"/>
      <c r="SBT138" s="547"/>
      <c r="SBU138" s="547"/>
      <c r="SBV138" s="548"/>
      <c r="SBW138" s="547"/>
      <c r="SBX138" s="547"/>
      <c r="SBY138" s="547"/>
      <c r="SBZ138" s="547"/>
      <c r="SCA138" s="548"/>
      <c r="SCB138" s="547"/>
      <c r="SCC138" s="547"/>
      <c r="SCD138" s="547"/>
      <c r="SCE138" s="552"/>
      <c r="SCF138" s="548"/>
      <c r="SCG138" s="552"/>
      <c r="SCH138" s="552"/>
      <c r="SCI138" s="552"/>
      <c r="SCJ138" s="552"/>
      <c r="SCK138" s="548"/>
      <c r="SCL138" s="553"/>
      <c r="SCM138" s="553"/>
      <c r="SCN138" s="553"/>
      <c r="SCO138" s="8"/>
      <c r="SCP138" s="8"/>
      <c r="SCQ138" s="458"/>
      <c r="SCR138" s="8"/>
      <c r="SCS138" s="8"/>
      <c r="SCT138" s="547"/>
      <c r="SCU138" s="547"/>
      <c r="SCV138" s="547"/>
      <c r="SCW138" s="547"/>
      <c r="SCX138" s="548"/>
      <c r="SCY138" s="547"/>
      <c r="SCZ138" s="547"/>
      <c r="SDA138" s="547"/>
      <c r="SDB138" s="547"/>
      <c r="SDC138" s="548"/>
      <c r="SDD138" s="547"/>
      <c r="SDE138" s="547"/>
      <c r="SDF138" s="547"/>
      <c r="SDG138" s="547"/>
      <c r="SDH138" s="548"/>
      <c r="SDI138" s="547"/>
      <c r="SDJ138" s="547"/>
      <c r="SDK138" s="547"/>
      <c r="SDL138" s="552"/>
      <c r="SDM138" s="548"/>
      <c r="SDN138" s="552"/>
      <c r="SDO138" s="552"/>
      <c r="SDP138" s="552"/>
      <c r="SDQ138" s="552"/>
      <c r="SDR138" s="548"/>
      <c r="SDS138" s="553"/>
      <c r="SDT138" s="553"/>
      <c r="SDU138" s="553"/>
      <c r="SDV138" s="8"/>
      <c r="SDW138" s="8"/>
      <c r="SDX138" s="458"/>
      <c r="SDY138" s="8"/>
      <c r="SDZ138" s="8"/>
      <c r="SEA138" s="547"/>
      <c r="SEB138" s="547"/>
      <c r="SEC138" s="547"/>
      <c r="SED138" s="547"/>
      <c r="SEE138" s="548"/>
      <c r="SEF138" s="547"/>
      <c r="SEG138" s="547"/>
      <c r="SEH138" s="547"/>
      <c r="SEI138" s="547"/>
      <c r="SEJ138" s="548"/>
      <c r="SEK138" s="547"/>
      <c r="SEL138" s="547"/>
      <c r="SEM138" s="547"/>
      <c r="SEN138" s="547"/>
      <c r="SEO138" s="548"/>
      <c r="SEP138" s="547"/>
      <c r="SEQ138" s="547"/>
      <c r="SER138" s="547"/>
      <c r="SES138" s="552"/>
      <c r="SET138" s="548"/>
      <c r="SEU138" s="552"/>
      <c r="SEV138" s="552"/>
      <c r="SEW138" s="552"/>
      <c r="SEX138" s="552"/>
      <c r="SEY138" s="548"/>
      <c r="SEZ138" s="553"/>
      <c r="SFA138" s="553"/>
      <c r="SFB138" s="553"/>
      <c r="SFC138" s="8"/>
      <c r="SFD138" s="8"/>
      <c r="SFE138" s="458"/>
      <c r="SFF138" s="8"/>
      <c r="SFG138" s="8"/>
      <c r="SFH138" s="547"/>
      <c r="SFI138" s="547"/>
      <c r="SFJ138" s="547"/>
      <c r="SFK138" s="547"/>
      <c r="SFL138" s="548"/>
      <c r="SFM138" s="547"/>
      <c r="SFN138" s="547"/>
      <c r="SFO138" s="547"/>
      <c r="SFP138" s="547"/>
      <c r="SFQ138" s="548"/>
      <c r="SFR138" s="547"/>
      <c r="SFS138" s="547"/>
      <c r="SFT138" s="547"/>
      <c r="SFU138" s="547"/>
      <c r="SFV138" s="548"/>
      <c r="SFW138" s="547"/>
      <c r="SFX138" s="547"/>
      <c r="SFY138" s="547"/>
      <c r="SFZ138" s="552"/>
      <c r="SGA138" s="548"/>
      <c r="SGB138" s="552"/>
      <c r="SGC138" s="552"/>
      <c r="SGD138" s="552"/>
      <c r="SGE138" s="552"/>
      <c r="SGF138" s="548"/>
      <c r="SGG138" s="553"/>
      <c r="SGH138" s="553"/>
      <c r="SGI138" s="553"/>
      <c r="SGJ138" s="8"/>
      <c r="SGK138" s="8"/>
      <c r="SGL138" s="458"/>
      <c r="SGM138" s="8"/>
      <c r="SGN138" s="8"/>
      <c r="SGO138" s="547"/>
      <c r="SGP138" s="547"/>
      <c r="SGQ138" s="547"/>
      <c r="SGR138" s="547"/>
      <c r="SGS138" s="548"/>
      <c r="SGT138" s="547"/>
      <c r="SGU138" s="547"/>
      <c r="SGV138" s="547"/>
      <c r="SGW138" s="547"/>
      <c r="SGX138" s="548"/>
      <c r="SGY138" s="547"/>
      <c r="SGZ138" s="547"/>
      <c r="SHA138" s="547"/>
      <c r="SHB138" s="547"/>
      <c r="SHC138" s="548"/>
      <c r="SHD138" s="547"/>
      <c r="SHE138" s="547"/>
      <c r="SHF138" s="547"/>
      <c r="SHG138" s="552"/>
      <c r="SHH138" s="548"/>
      <c r="SHI138" s="552"/>
      <c r="SHJ138" s="552"/>
      <c r="SHK138" s="552"/>
      <c r="SHL138" s="552"/>
      <c r="SHM138" s="548"/>
      <c r="SHN138" s="553"/>
      <c r="SHO138" s="553"/>
      <c r="SHP138" s="553"/>
      <c r="SHQ138" s="8"/>
      <c r="SHR138" s="8"/>
      <c r="SHS138" s="458"/>
      <c r="SHT138" s="8"/>
      <c r="SHU138" s="8"/>
      <c r="SHV138" s="547"/>
      <c r="SHW138" s="547"/>
      <c r="SHX138" s="547"/>
      <c r="SHY138" s="547"/>
      <c r="SHZ138" s="548"/>
      <c r="SIA138" s="547"/>
      <c r="SIB138" s="547"/>
      <c r="SIC138" s="547"/>
      <c r="SID138" s="547"/>
      <c r="SIE138" s="548"/>
      <c r="SIF138" s="547"/>
      <c r="SIG138" s="547"/>
      <c r="SIH138" s="547"/>
      <c r="SII138" s="547"/>
      <c r="SIJ138" s="548"/>
      <c r="SIK138" s="547"/>
      <c r="SIL138" s="547"/>
      <c r="SIM138" s="547"/>
      <c r="SIN138" s="552"/>
      <c r="SIO138" s="548"/>
      <c r="SIP138" s="552"/>
      <c r="SIQ138" s="552"/>
      <c r="SIR138" s="552"/>
      <c r="SIS138" s="552"/>
      <c r="SIT138" s="548"/>
      <c r="SIU138" s="553"/>
      <c r="SIV138" s="553"/>
      <c r="SIW138" s="553"/>
      <c r="SIX138" s="8"/>
      <c r="SIY138" s="8"/>
      <c r="SIZ138" s="458"/>
      <c r="SJA138" s="8"/>
      <c r="SJB138" s="8"/>
      <c r="SJC138" s="547"/>
      <c r="SJD138" s="547"/>
      <c r="SJE138" s="547"/>
      <c r="SJF138" s="547"/>
      <c r="SJG138" s="548"/>
      <c r="SJH138" s="547"/>
      <c r="SJI138" s="547"/>
      <c r="SJJ138" s="547"/>
      <c r="SJK138" s="547"/>
      <c r="SJL138" s="548"/>
      <c r="SJM138" s="547"/>
      <c r="SJN138" s="547"/>
      <c r="SJO138" s="547"/>
      <c r="SJP138" s="547"/>
      <c r="SJQ138" s="548"/>
      <c r="SJR138" s="547"/>
      <c r="SJS138" s="547"/>
      <c r="SJT138" s="547"/>
      <c r="SJU138" s="552"/>
      <c r="SJV138" s="548"/>
      <c r="SJW138" s="552"/>
      <c r="SJX138" s="552"/>
      <c r="SJY138" s="552"/>
      <c r="SJZ138" s="552"/>
      <c r="SKA138" s="548"/>
      <c r="SKB138" s="553"/>
      <c r="SKC138" s="553"/>
      <c r="SKD138" s="553"/>
      <c r="SKE138" s="8"/>
      <c r="SKF138" s="8"/>
      <c r="SKG138" s="458"/>
      <c r="SKH138" s="8"/>
      <c r="SKI138" s="8"/>
      <c r="SKJ138" s="547"/>
      <c r="SKK138" s="547"/>
      <c r="SKL138" s="547"/>
      <c r="SKM138" s="547"/>
      <c r="SKN138" s="548"/>
      <c r="SKO138" s="547"/>
      <c r="SKP138" s="547"/>
      <c r="SKQ138" s="547"/>
      <c r="SKR138" s="547"/>
      <c r="SKS138" s="548"/>
      <c r="SKT138" s="547"/>
      <c r="SKU138" s="547"/>
      <c r="SKV138" s="547"/>
      <c r="SKW138" s="547"/>
      <c r="SKX138" s="548"/>
      <c r="SKY138" s="547"/>
      <c r="SKZ138" s="547"/>
      <c r="SLA138" s="547"/>
      <c r="SLB138" s="552"/>
      <c r="SLC138" s="548"/>
      <c r="SLD138" s="552"/>
      <c r="SLE138" s="552"/>
      <c r="SLF138" s="552"/>
      <c r="SLG138" s="552"/>
      <c r="SLH138" s="548"/>
      <c r="SLI138" s="553"/>
      <c r="SLJ138" s="553"/>
      <c r="SLK138" s="553"/>
      <c r="SLL138" s="8"/>
      <c r="SLM138" s="8"/>
      <c r="SLN138" s="458"/>
      <c r="SLO138" s="8"/>
      <c r="SLP138" s="8"/>
      <c r="SLQ138" s="547"/>
      <c r="SLR138" s="547"/>
      <c r="SLS138" s="547"/>
      <c r="SLT138" s="547"/>
      <c r="SLU138" s="548"/>
      <c r="SLV138" s="547"/>
      <c r="SLW138" s="547"/>
      <c r="SLX138" s="547"/>
      <c r="SLY138" s="547"/>
      <c r="SLZ138" s="548"/>
      <c r="SMA138" s="547"/>
      <c r="SMB138" s="547"/>
      <c r="SMC138" s="547"/>
      <c r="SMD138" s="547"/>
      <c r="SME138" s="548"/>
      <c r="SMF138" s="547"/>
      <c r="SMG138" s="547"/>
      <c r="SMH138" s="547"/>
      <c r="SMI138" s="552"/>
      <c r="SMJ138" s="548"/>
      <c r="SMK138" s="552"/>
      <c r="SML138" s="552"/>
      <c r="SMM138" s="552"/>
      <c r="SMN138" s="552"/>
      <c r="SMO138" s="548"/>
      <c r="SMP138" s="553"/>
      <c r="SMQ138" s="553"/>
      <c r="SMR138" s="553"/>
      <c r="SMS138" s="8"/>
      <c r="SMT138" s="8"/>
      <c r="SMU138" s="458"/>
      <c r="SMV138" s="8"/>
      <c r="SMW138" s="8"/>
      <c r="SMX138" s="547"/>
      <c r="SMY138" s="547"/>
      <c r="SMZ138" s="547"/>
      <c r="SNA138" s="547"/>
      <c r="SNB138" s="548"/>
      <c r="SNC138" s="547"/>
      <c r="SND138" s="547"/>
      <c r="SNE138" s="547"/>
      <c r="SNF138" s="547"/>
      <c r="SNG138" s="548"/>
      <c r="SNH138" s="547"/>
      <c r="SNI138" s="547"/>
      <c r="SNJ138" s="547"/>
      <c r="SNK138" s="547"/>
      <c r="SNL138" s="548"/>
      <c r="SNM138" s="547"/>
      <c r="SNN138" s="547"/>
      <c r="SNO138" s="547"/>
      <c r="SNP138" s="552"/>
      <c r="SNQ138" s="548"/>
      <c r="SNR138" s="552"/>
      <c r="SNS138" s="552"/>
      <c r="SNT138" s="552"/>
      <c r="SNU138" s="552"/>
      <c r="SNV138" s="548"/>
      <c r="SNW138" s="553"/>
      <c r="SNX138" s="553"/>
      <c r="SNY138" s="553"/>
      <c r="SNZ138" s="8"/>
      <c r="SOA138" s="8"/>
      <c r="SOB138" s="458"/>
      <c r="SOC138" s="8"/>
      <c r="SOD138" s="8"/>
      <c r="SOE138" s="547"/>
      <c r="SOF138" s="547"/>
      <c r="SOG138" s="547"/>
      <c r="SOH138" s="547"/>
      <c r="SOI138" s="548"/>
      <c r="SOJ138" s="547"/>
      <c r="SOK138" s="547"/>
      <c r="SOL138" s="547"/>
      <c r="SOM138" s="547"/>
      <c r="SON138" s="548"/>
      <c r="SOO138" s="547"/>
      <c r="SOP138" s="547"/>
      <c r="SOQ138" s="547"/>
      <c r="SOR138" s="547"/>
      <c r="SOS138" s="548"/>
      <c r="SOT138" s="547"/>
      <c r="SOU138" s="547"/>
      <c r="SOV138" s="547"/>
      <c r="SOW138" s="552"/>
      <c r="SOX138" s="548"/>
      <c r="SOY138" s="552"/>
      <c r="SOZ138" s="552"/>
      <c r="SPA138" s="552"/>
      <c r="SPB138" s="552"/>
      <c r="SPC138" s="548"/>
      <c r="SPD138" s="553"/>
      <c r="SPE138" s="553"/>
      <c r="SPF138" s="553"/>
      <c r="SPG138" s="8"/>
      <c r="SPH138" s="8"/>
      <c r="SPI138" s="458"/>
      <c r="SPJ138" s="8"/>
      <c r="SPK138" s="8"/>
      <c r="SPL138" s="547"/>
      <c r="SPM138" s="547"/>
      <c r="SPN138" s="547"/>
      <c r="SPO138" s="547"/>
      <c r="SPP138" s="548"/>
      <c r="SPQ138" s="547"/>
      <c r="SPR138" s="547"/>
      <c r="SPS138" s="547"/>
      <c r="SPT138" s="547"/>
      <c r="SPU138" s="548"/>
      <c r="SPV138" s="547"/>
      <c r="SPW138" s="547"/>
      <c r="SPX138" s="547"/>
      <c r="SPY138" s="547"/>
      <c r="SPZ138" s="548"/>
      <c r="SQA138" s="547"/>
      <c r="SQB138" s="547"/>
      <c r="SQC138" s="547"/>
      <c r="SQD138" s="552"/>
      <c r="SQE138" s="548"/>
      <c r="SQF138" s="552"/>
      <c r="SQG138" s="552"/>
      <c r="SQH138" s="552"/>
      <c r="SQI138" s="552"/>
      <c r="SQJ138" s="548"/>
      <c r="SQK138" s="553"/>
      <c r="SQL138" s="553"/>
      <c r="SQM138" s="553"/>
      <c r="SQN138" s="8"/>
      <c r="SQO138" s="8"/>
      <c r="SQP138" s="458"/>
      <c r="SQQ138" s="8"/>
      <c r="SQR138" s="8"/>
      <c r="SQS138" s="547"/>
      <c r="SQT138" s="547"/>
      <c r="SQU138" s="547"/>
      <c r="SQV138" s="547"/>
      <c r="SQW138" s="548"/>
      <c r="SQX138" s="547"/>
      <c r="SQY138" s="547"/>
      <c r="SQZ138" s="547"/>
      <c r="SRA138" s="547"/>
      <c r="SRB138" s="548"/>
      <c r="SRC138" s="547"/>
      <c r="SRD138" s="547"/>
      <c r="SRE138" s="547"/>
      <c r="SRF138" s="547"/>
      <c r="SRG138" s="548"/>
      <c r="SRH138" s="547"/>
      <c r="SRI138" s="547"/>
      <c r="SRJ138" s="547"/>
      <c r="SRK138" s="552"/>
      <c r="SRL138" s="548"/>
      <c r="SRM138" s="552"/>
      <c r="SRN138" s="552"/>
      <c r="SRO138" s="552"/>
      <c r="SRP138" s="552"/>
      <c r="SRQ138" s="548"/>
      <c r="SRR138" s="553"/>
      <c r="SRS138" s="553"/>
      <c r="SRT138" s="553"/>
      <c r="SRU138" s="8"/>
      <c r="SRV138" s="8"/>
      <c r="SRW138" s="458"/>
      <c r="SRX138" s="8"/>
      <c r="SRY138" s="8"/>
      <c r="SRZ138" s="547"/>
      <c r="SSA138" s="547"/>
      <c r="SSB138" s="547"/>
      <c r="SSC138" s="547"/>
      <c r="SSD138" s="548"/>
      <c r="SSE138" s="547"/>
      <c r="SSF138" s="547"/>
      <c r="SSG138" s="547"/>
      <c r="SSH138" s="547"/>
      <c r="SSI138" s="548"/>
      <c r="SSJ138" s="547"/>
      <c r="SSK138" s="547"/>
      <c r="SSL138" s="547"/>
      <c r="SSM138" s="547"/>
      <c r="SSN138" s="548"/>
      <c r="SSO138" s="547"/>
      <c r="SSP138" s="547"/>
      <c r="SSQ138" s="547"/>
      <c r="SSR138" s="552"/>
      <c r="SSS138" s="548"/>
      <c r="SST138" s="552"/>
      <c r="SSU138" s="552"/>
      <c r="SSV138" s="552"/>
      <c r="SSW138" s="552"/>
      <c r="SSX138" s="548"/>
      <c r="SSY138" s="553"/>
      <c r="SSZ138" s="553"/>
      <c r="STA138" s="553"/>
      <c r="STB138" s="8"/>
      <c r="STC138" s="8"/>
      <c r="STD138" s="458"/>
      <c r="STE138" s="8"/>
      <c r="STF138" s="8"/>
      <c r="STG138" s="547"/>
      <c r="STH138" s="547"/>
      <c r="STI138" s="547"/>
      <c r="STJ138" s="547"/>
      <c r="STK138" s="548"/>
      <c r="STL138" s="547"/>
      <c r="STM138" s="547"/>
      <c r="STN138" s="547"/>
      <c r="STO138" s="547"/>
      <c r="STP138" s="548"/>
      <c r="STQ138" s="547"/>
      <c r="STR138" s="547"/>
      <c r="STS138" s="547"/>
      <c r="STT138" s="547"/>
      <c r="STU138" s="548"/>
      <c r="STV138" s="547"/>
      <c r="STW138" s="547"/>
      <c r="STX138" s="547"/>
      <c r="STY138" s="552"/>
      <c r="STZ138" s="548"/>
      <c r="SUA138" s="552"/>
      <c r="SUB138" s="552"/>
      <c r="SUC138" s="552"/>
      <c r="SUD138" s="552"/>
      <c r="SUE138" s="548"/>
      <c r="SUF138" s="553"/>
      <c r="SUG138" s="553"/>
      <c r="SUH138" s="553"/>
      <c r="SUI138" s="8"/>
      <c r="SUJ138" s="8"/>
      <c r="SUK138" s="458"/>
      <c r="SUL138" s="8"/>
      <c r="SUM138" s="8"/>
      <c r="SUN138" s="547"/>
      <c r="SUO138" s="547"/>
      <c r="SUP138" s="547"/>
      <c r="SUQ138" s="547"/>
      <c r="SUR138" s="548"/>
      <c r="SUS138" s="547"/>
      <c r="SUT138" s="547"/>
      <c r="SUU138" s="547"/>
      <c r="SUV138" s="547"/>
      <c r="SUW138" s="548"/>
      <c r="SUX138" s="547"/>
      <c r="SUY138" s="547"/>
      <c r="SUZ138" s="547"/>
      <c r="SVA138" s="547"/>
      <c r="SVB138" s="548"/>
      <c r="SVC138" s="547"/>
      <c r="SVD138" s="547"/>
      <c r="SVE138" s="547"/>
      <c r="SVF138" s="552"/>
      <c r="SVG138" s="548"/>
      <c r="SVH138" s="552"/>
      <c r="SVI138" s="552"/>
      <c r="SVJ138" s="552"/>
      <c r="SVK138" s="552"/>
      <c r="SVL138" s="548"/>
      <c r="SVM138" s="553"/>
      <c r="SVN138" s="553"/>
      <c r="SVO138" s="553"/>
      <c r="SVP138" s="8"/>
      <c r="SVQ138" s="8"/>
      <c r="SVR138" s="458"/>
      <c r="SVS138" s="8"/>
      <c r="SVT138" s="8"/>
      <c r="SVU138" s="547"/>
      <c r="SVV138" s="547"/>
      <c r="SVW138" s="547"/>
      <c r="SVX138" s="547"/>
      <c r="SVY138" s="548"/>
      <c r="SVZ138" s="547"/>
      <c r="SWA138" s="547"/>
      <c r="SWB138" s="547"/>
      <c r="SWC138" s="547"/>
      <c r="SWD138" s="548"/>
      <c r="SWE138" s="547"/>
      <c r="SWF138" s="547"/>
      <c r="SWG138" s="547"/>
      <c r="SWH138" s="547"/>
      <c r="SWI138" s="548"/>
      <c r="SWJ138" s="547"/>
      <c r="SWK138" s="547"/>
      <c r="SWL138" s="547"/>
      <c r="SWM138" s="552"/>
      <c r="SWN138" s="548"/>
      <c r="SWO138" s="552"/>
      <c r="SWP138" s="552"/>
      <c r="SWQ138" s="552"/>
      <c r="SWR138" s="552"/>
      <c r="SWS138" s="548"/>
      <c r="SWT138" s="553"/>
      <c r="SWU138" s="553"/>
      <c r="SWV138" s="553"/>
      <c r="SWW138" s="8"/>
      <c r="SWX138" s="8"/>
      <c r="SWY138" s="458"/>
      <c r="SWZ138" s="8"/>
      <c r="SXA138" s="8"/>
      <c r="SXB138" s="547"/>
      <c r="SXC138" s="547"/>
      <c r="SXD138" s="547"/>
      <c r="SXE138" s="547"/>
      <c r="SXF138" s="548"/>
      <c r="SXG138" s="547"/>
      <c r="SXH138" s="547"/>
      <c r="SXI138" s="547"/>
      <c r="SXJ138" s="547"/>
      <c r="SXK138" s="548"/>
      <c r="SXL138" s="547"/>
      <c r="SXM138" s="547"/>
      <c r="SXN138" s="547"/>
      <c r="SXO138" s="547"/>
      <c r="SXP138" s="548"/>
      <c r="SXQ138" s="547"/>
      <c r="SXR138" s="547"/>
      <c r="SXS138" s="547"/>
      <c r="SXT138" s="552"/>
      <c r="SXU138" s="548"/>
      <c r="SXV138" s="552"/>
      <c r="SXW138" s="552"/>
      <c r="SXX138" s="552"/>
      <c r="SXY138" s="552"/>
      <c r="SXZ138" s="548"/>
      <c r="SYA138" s="553"/>
      <c r="SYB138" s="553"/>
      <c r="SYC138" s="553"/>
      <c r="SYD138" s="8"/>
      <c r="SYE138" s="8"/>
      <c r="SYF138" s="458"/>
      <c r="SYG138" s="8"/>
      <c r="SYH138" s="8"/>
      <c r="SYI138" s="547"/>
      <c r="SYJ138" s="547"/>
      <c r="SYK138" s="547"/>
      <c r="SYL138" s="547"/>
      <c r="SYM138" s="548"/>
      <c r="SYN138" s="547"/>
      <c r="SYO138" s="547"/>
      <c r="SYP138" s="547"/>
      <c r="SYQ138" s="547"/>
      <c r="SYR138" s="548"/>
      <c r="SYS138" s="547"/>
      <c r="SYT138" s="547"/>
      <c r="SYU138" s="547"/>
      <c r="SYV138" s="547"/>
      <c r="SYW138" s="548"/>
      <c r="SYX138" s="547"/>
      <c r="SYY138" s="547"/>
      <c r="SYZ138" s="547"/>
      <c r="SZA138" s="552"/>
      <c r="SZB138" s="548"/>
      <c r="SZC138" s="552"/>
      <c r="SZD138" s="552"/>
      <c r="SZE138" s="552"/>
      <c r="SZF138" s="552"/>
      <c r="SZG138" s="548"/>
      <c r="SZH138" s="553"/>
      <c r="SZI138" s="553"/>
      <c r="SZJ138" s="553"/>
      <c r="SZK138" s="8"/>
      <c r="SZL138" s="8"/>
      <c r="SZM138" s="458"/>
      <c r="SZN138" s="8"/>
      <c r="SZO138" s="8"/>
      <c r="SZP138" s="547"/>
      <c r="SZQ138" s="547"/>
      <c r="SZR138" s="547"/>
      <c r="SZS138" s="547"/>
      <c r="SZT138" s="548"/>
      <c r="SZU138" s="547"/>
      <c r="SZV138" s="547"/>
      <c r="SZW138" s="547"/>
      <c r="SZX138" s="547"/>
      <c r="SZY138" s="548"/>
      <c r="SZZ138" s="547"/>
      <c r="TAA138" s="547"/>
      <c r="TAB138" s="547"/>
      <c r="TAC138" s="547"/>
      <c r="TAD138" s="548"/>
      <c r="TAE138" s="547"/>
      <c r="TAF138" s="547"/>
      <c r="TAG138" s="547"/>
      <c r="TAH138" s="552"/>
      <c r="TAI138" s="548"/>
      <c r="TAJ138" s="552"/>
      <c r="TAK138" s="552"/>
      <c r="TAL138" s="552"/>
      <c r="TAM138" s="552"/>
      <c r="TAN138" s="548"/>
      <c r="TAO138" s="553"/>
      <c r="TAP138" s="553"/>
      <c r="TAQ138" s="553"/>
      <c r="TAR138" s="8"/>
      <c r="TAS138" s="8"/>
      <c r="TAT138" s="458"/>
      <c r="TAU138" s="8"/>
      <c r="TAV138" s="8"/>
      <c r="TAW138" s="547"/>
      <c r="TAX138" s="547"/>
      <c r="TAY138" s="547"/>
      <c r="TAZ138" s="547"/>
      <c r="TBA138" s="548"/>
      <c r="TBB138" s="547"/>
      <c r="TBC138" s="547"/>
      <c r="TBD138" s="547"/>
      <c r="TBE138" s="547"/>
      <c r="TBF138" s="548"/>
      <c r="TBG138" s="547"/>
      <c r="TBH138" s="547"/>
      <c r="TBI138" s="547"/>
      <c r="TBJ138" s="547"/>
      <c r="TBK138" s="548"/>
      <c r="TBL138" s="547"/>
      <c r="TBM138" s="547"/>
      <c r="TBN138" s="547"/>
      <c r="TBO138" s="552"/>
      <c r="TBP138" s="548"/>
      <c r="TBQ138" s="552"/>
      <c r="TBR138" s="552"/>
      <c r="TBS138" s="552"/>
      <c r="TBT138" s="552"/>
      <c r="TBU138" s="548"/>
      <c r="TBV138" s="553"/>
      <c r="TBW138" s="553"/>
      <c r="TBX138" s="553"/>
      <c r="TBY138" s="8"/>
      <c r="TBZ138" s="8"/>
      <c r="TCA138" s="458"/>
      <c r="TCB138" s="8"/>
      <c r="TCC138" s="8"/>
      <c r="TCD138" s="547"/>
      <c r="TCE138" s="547"/>
      <c r="TCF138" s="547"/>
      <c r="TCG138" s="547"/>
      <c r="TCH138" s="548"/>
      <c r="TCI138" s="547"/>
      <c r="TCJ138" s="547"/>
      <c r="TCK138" s="547"/>
      <c r="TCL138" s="547"/>
      <c r="TCM138" s="548"/>
      <c r="TCN138" s="547"/>
      <c r="TCO138" s="547"/>
      <c r="TCP138" s="547"/>
      <c r="TCQ138" s="547"/>
      <c r="TCR138" s="548"/>
      <c r="TCS138" s="547"/>
      <c r="TCT138" s="547"/>
      <c r="TCU138" s="547"/>
      <c r="TCV138" s="552"/>
      <c r="TCW138" s="548"/>
      <c r="TCX138" s="552"/>
      <c r="TCY138" s="552"/>
      <c r="TCZ138" s="552"/>
      <c r="TDA138" s="552"/>
      <c r="TDB138" s="548"/>
      <c r="TDC138" s="553"/>
      <c r="TDD138" s="553"/>
      <c r="TDE138" s="553"/>
      <c r="TDF138" s="8"/>
      <c r="TDG138" s="8"/>
      <c r="TDH138" s="458"/>
      <c r="TDI138" s="8"/>
      <c r="TDJ138" s="8"/>
      <c r="TDK138" s="547"/>
      <c r="TDL138" s="547"/>
      <c r="TDM138" s="547"/>
      <c r="TDN138" s="547"/>
      <c r="TDO138" s="548"/>
      <c r="TDP138" s="547"/>
      <c r="TDQ138" s="547"/>
      <c r="TDR138" s="547"/>
      <c r="TDS138" s="547"/>
      <c r="TDT138" s="548"/>
      <c r="TDU138" s="547"/>
      <c r="TDV138" s="547"/>
      <c r="TDW138" s="547"/>
      <c r="TDX138" s="547"/>
      <c r="TDY138" s="548"/>
      <c r="TDZ138" s="547"/>
      <c r="TEA138" s="547"/>
      <c r="TEB138" s="547"/>
      <c r="TEC138" s="552"/>
      <c r="TED138" s="548"/>
      <c r="TEE138" s="552"/>
      <c r="TEF138" s="552"/>
      <c r="TEG138" s="552"/>
      <c r="TEH138" s="552"/>
      <c r="TEI138" s="548"/>
      <c r="TEJ138" s="553"/>
      <c r="TEK138" s="553"/>
      <c r="TEL138" s="553"/>
      <c r="TEM138" s="8"/>
      <c r="TEN138" s="8"/>
      <c r="TEO138" s="458"/>
      <c r="TEP138" s="8"/>
      <c r="TEQ138" s="8"/>
      <c r="TER138" s="547"/>
      <c r="TES138" s="547"/>
      <c r="TET138" s="547"/>
      <c r="TEU138" s="547"/>
      <c r="TEV138" s="548"/>
      <c r="TEW138" s="547"/>
      <c r="TEX138" s="547"/>
      <c r="TEY138" s="547"/>
      <c r="TEZ138" s="547"/>
      <c r="TFA138" s="548"/>
      <c r="TFB138" s="547"/>
      <c r="TFC138" s="547"/>
      <c r="TFD138" s="547"/>
      <c r="TFE138" s="547"/>
      <c r="TFF138" s="548"/>
      <c r="TFG138" s="547"/>
      <c r="TFH138" s="547"/>
      <c r="TFI138" s="547"/>
      <c r="TFJ138" s="552"/>
      <c r="TFK138" s="548"/>
      <c r="TFL138" s="552"/>
      <c r="TFM138" s="552"/>
      <c r="TFN138" s="552"/>
      <c r="TFO138" s="552"/>
      <c r="TFP138" s="548"/>
      <c r="TFQ138" s="553"/>
      <c r="TFR138" s="553"/>
      <c r="TFS138" s="553"/>
      <c r="TFT138" s="8"/>
      <c r="TFU138" s="8"/>
      <c r="TFV138" s="458"/>
      <c r="TFW138" s="8"/>
      <c r="TFX138" s="8"/>
      <c r="TFY138" s="547"/>
      <c r="TFZ138" s="547"/>
      <c r="TGA138" s="547"/>
      <c r="TGB138" s="547"/>
      <c r="TGC138" s="548"/>
      <c r="TGD138" s="547"/>
      <c r="TGE138" s="547"/>
      <c r="TGF138" s="547"/>
      <c r="TGG138" s="547"/>
      <c r="TGH138" s="548"/>
      <c r="TGI138" s="547"/>
      <c r="TGJ138" s="547"/>
      <c r="TGK138" s="547"/>
      <c r="TGL138" s="547"/>
      <c r="TGM138" s="548"/>
      <c r="TGN138" s="547"/>
      <c r="TGO138" s="547"/>
      <c r="TGP138" s="547"/>
      <c r="TGQ138" s="552"/>
      <c r="TGR138" s="548"/>
      <c r="TGS138" s="552"/>
      <c r="TGT138" s="552"/>
      <c r="TGU138" s="552"/>
      <c r="TGV138" s="552"/>
      <c r="TGW138" s="548"/>
      <c r="TGX138" s="553"/>
      <c r="TGY138" s="553"/>
      <c r="TGZ138" s="553"/>
      <c r="THA138" s="8"/>
      <c r="THB138" s="8"/>
      <c r="THC138" s="458"/>
      <c r="THD138" s="8"/>
      <c r="THE138" s="8"/>
      <c r="THF138" s="547"/>
      <c r="THG138" s="547"/>
      <c r="THH138" s="547"/>
      <c r="THI138" s="547"/>
      <c r="THJ138" s="548"/>
      <c r="THK138" s="547"/>
      <c r="THL138" s="547"/>
      <c r="THM138" s="547"/>
      <c r="THN138" s="547"/>
      <c r="THO138" s="548"/>
      <c r="THP138" s="547"/>
      <c r="THQ138" s="547"/>
      <c r="THR138" s="547"/>
      <c r="THS138" s="547"/>
      <c r="THT138" s="548"/>
      <c r="THU138" s="547"/>
      <c r="THV138" s="547"/>
      <c r="THW138" s="547"/>
      <c r="THX138" s="552"/>
      <c r="THY138" s="548"/>
      <c r="THZ138" s="552"/>
      <c r="TIA138" s="552"/>
      <c r="TIB138" s="552"/>
      <c r="TIC138" s="552"/>
      <c r="TID138" s="548"/>
      <c r="TIE138" s="553"/>
      <c r="TIF138" s="553"/>
      <c r="TIG138" s="553"/>
      <c r="TIH138" s="8"/>
      <c r="TII138" s="8"/>
      <c r="TIJ138" s="458"/>
      <c r="TIK138" s="8"/>
      <c r="TIL138" s="8"/>
      <c r="TIM138" s="547"/>
      <c r="TIN138" s="547"/>
      <c r="TIO138" s="547"/>
      <c r="TIP138" s="547"/>
      <c r="TIQ138" s="548"/>
      <c r="TIR138" s="547"/>
      <c r="TIS138" s="547"/>
      <c r="TIT138" s="547"/>
      <c r="TIU138" s="547"/>
      <c r="TIV138" s="548"/>
      <c r="TIW138" s="547"/>
      <c r="TIX138" s="547"/>
      <c r="TIY138" s="547"/>
      <c r="TIZ138" s="547"/>
      <c r="TJA138" s="548"/>
      <c r="TJB138" s="547"/>
      <c r="TJC138" s="547"/>
      <c r="TJD138" s="547"/>
      <c r="TJE138" s="552"/>
      <c r="TJF138" s="548"/>
      <c r="TJG138" s="552"/>
      <c r="TJH138" s="552"/>
      <c r="TJI138" s="552"/>
      <c r="TJJ138" s="552"/>
      <c r="TJK138" s="548"/>
      <c r="TJL138" s="553"/>
      <c r="TJM138" s="553"/>
      <c r="TJN138" s="553"/>
      <c r="TJO138" s="8"/>
      <c r="TJP138" s="8"/>
      <c r="TJQ138" s="458"/>
      <c r="TJR138" s="8"/>
      <c r="TJS138" s="8"/>
      <c r="TJT138" s="547"/>
      <c r="TJU138" s="547"/>
      <c r="TJV138" s="547"/>
      <c r="TJW138" s="547"/>
      <c r="TJX138" s="548"/>
      <c r="TJY138" s="547"/>
      <c r="TJZ138" s="547"/>
      <c r="TKA138" s="547"/>
      <c r="TKB138" s="547"/>
      <c r="TKC138" s="548"/>
      <c r="TKD138" s="547"/>
      <c r="TKE138" s="547"/>
      <c r="TKF138" s="547"/>
      <c r="TKG138" s="547"/>
      <c r="TKH138" s="548"/>
      <c r="TKI138" s="547"/>
      <c r="TKJ138" s="547"/>
      <c r="TKK138" s="547"/>
      <c r="TKL138" s="552"/>
      <c r="TKM138" s="548"/>
      <c r="TKN138" s="552"/>
      <c r="TKO138" s="552"/>
      <c r="TKP138" s="552"/>
      <c r="TKQ138" s="552"/>
      <c r="TKR138" s="548"/>
      <c r="TKS138" s="553"/>
      <c r="TKT138" s="553"/>
      <c r="TKU138" s="553"/>
      <c r="TKV138" s="8"/>
      <c r="TKW138" s="8"/>
      <c r="TKX138" s="458"/>
      <c r="TKY138" s="8"/>
      <c r="TKZ138" s="8"/>
      <c r="TLA138" s="547"/>
      <c r="TLB138" s="547"/>
      <c r="TLC138" s="547"/>
      <c r="TLD138" s="547"/>
      <c r="TLE138" s="548"/>
      <c r="TLF138" s="547"/>
      <c r="TLG138" s="547"/>
      <c r="TLH138" s="547"/>
      <c r="TLI138" s="547"/>
      <c r="TLJ138" s="548"/>
      <c r="TLK138" s="547"/>
      <c r="TLL138" s="547"/>
      <c r="TLM138" s="547"/>
      <c r="TLN138" s="547"/>
      <c r="TLO138" s="548"/>
      <c r="TLP138" s="547"/>
      <c r="TLQ138" s="547"/>
      <c r="TLR138" s="547"/>
      <c r="TLS138" s="552"/>
      <c r="TLT138" s="548"/>
      <c r="TLU138" s="552"/>
      <c r="TLV138" s="552"/>
      <c r="TLW138" s="552"/>
      <c r="TLX138" s="552"/>
      <c r="TLY138" s="548"/>
      <c r="TLZ138" s="553"/>
      <c r="TMA138" s="553"/>
      <c r="TMB138" s="553"/>
      <c r="TMC138" s="8"/>
      <c r="TMD138" s="8"/>
      <c r="TME138" s="458"/>
      <c r="TMF138" s="8"/>
      <c r="TMG138" s="8"/>
      <c r="TMH138" s="547"/>
      <c r="TMI138" s="547"/>
      <c r="TMJ138" s="547"/>
      <c r="TMK138" s="547"/>
      <c r="TML138" s="548"/>
      <c r="TMM138" s="547"/>
      <c r="TMN138" s="547"/>
      <c r="TMO138" s="547"/>
      <c r="TMP138" s="547"/>
      <c r="TMQ138" s="548"/>
      <c r="TMR138" s="547"/>
      <c r="TMS138" s="547"/>
      <c r="TMT138" s="547"/>
      <c r="TMU138" s="547"/>
      <c r="TMV138" s="548"/>
      <c r="TMW138" s="547"/>
      <c r="TMX138" s="547"/>
      <c r="TMY138" s="547"/>
      <c r="TMZ138" s="552"/>
      <c r="TNA138" s="548"/>
      <c r="TNB138" s="552"/>
      <c r="TNC138" s="552"/>
      <c r="TND138" s="552"/>
      <c r="TNE138" s="552"/>
      <c r="TNF138" s="548"/>
      <c r="TNG138" s="553"/>
      <c r="TNH138" s="553"/>
      <c r="TNI138" s="553"/>
      <c r="TNJ138" s="8"/>
      <c r="TNK138" s="8"/>
      <c r="TNL138" s="458"/>
      <c r="TNM138" s="8"/>
      <c r="TNN138" s="8"/>
      <c r="TNO138" s="547"/>
      <c r="TNP138" s="547"/>
      <c r="TNQ138" s="547"/>
      <c r="TNR138" s="547"/>
      <c r="TNS138" s="548"/>
      <c r="TNT138" s="547"/>
      <c r="TNU138" s="547"/>
      <c r="TNV138" s="547"/>
      <c r="TNW138" s="547"/>
      <c r="TNX138" s="548"/>
      <c r="TNY138" s="547"/>
      <c r="TNZ138" s="547"/>
      <c r="TOA138" s="547"/>
      <c r="TOB138" s="547"/>
      <c r="TOC138" s="548"/>
      <c r="TOD138" s="547"/>
      <c r="TOE138" s="547"/>
      <c r="TOF138" s="547"/>
      <c r="TOG138" s="552"/>
      <c r="TOH138" s="548"/>
      <c r="TOI138" s="552"/>
      <c r="TOJ138" s="552"/>
      <c r="TOK138" s="552"/>
      <c r="TOL138" s="552"/>
      <c r="TOM138" s="548"/>
      <c r="TON138" s="553"/>
      <c r="TOO138" s="553"/>
      <c r="TOP138" s="553"/>
      <c r="TOQ138" s="8"/>
      <c r="TOR138" s="8"/>
      <c r="TOS138" s="458"/>
      <c r="TOT138" s="8"/>
      <c r="TOU138" s="8"/>
      <c r="TOV138" s="547"/>
      <c r="TOW138" s="547"/>
      <c r="TOX138" s="547"/>
      <c r="TOY138" s="547"/>
      <c r="TOZ138" s="548"/>
      <c r="TPA138" s="547"/>
      <c r="TPB138" s="547"/>
      <c r="TPC138" s="547"/>
      <c r="TPD138" s="547"/>
      <c r="TPE138" s="548"/>
      <c r="TPF138" s="547"/>
      <c r="TPG138" s="547"/>
      <c r="TPH138" s="547"/>
      <c r="TPI138" s="547"/>
      <c r="TPJ138" s="548"/>
      <c r="TPK138" s="547"/>
      <c r="TPL138" s="547"/>
      <c r="TPM138" s="547"/>
      <c r="TPN138" s="552"/>
      <c r="TPO138" s="548"/>
      <c r="TPP138" s="552"/>
      <c r="TPQ138" s="552"/>
      <c r="TPR138" s="552"/>
      <c r="TPS138" s="552"/>
      <c r="TPT138" s="548"/>
      <c r="TPU138" s="553"/>
      <c r="TPV138" s="553"/>
      <c r="TPW138" s="553"/>
      <c r="TPX138" s="8"/>
      <c r="TPY138" s="8"/>
      <c r="TPZ138" s="458"/>
      <c r="TQA138" s="8"/>
      <c r="TQB138" s="8"/>
      <c r="TQC138" s="547"/>
      <c r="TQD138" s="547"/>
      <c r="TQE138" s="547"/>
      <c r="TQF138" s="547"/>
      <c r="TQG138" s="548"/>
      <c r="TQH138" s="547"/>
      <c r="TQI138" s="547"/>
      <c r="TQJ138" s="547"/>
      <c r="TQK138" s="547"/>
      <c r="TQL138" s="548"/>
      <c r="TQM138" s="547"/>
      <c r="TQN138" s="547"/>
      <c r="TQO138" s="547"/>
      <c r="TQP138" s="547"/>
      <c r="TQQ138" s="548"/>
      <c r="TQR138" s="547"/>
      <c r="TQS138" s="547"/>
      <c r="TQT138" s="547"/>
      <c r="TQU138" s="552"/>
      <c r="TQV138" s="548"/>
      <c r="TQW138" s="552"/>
      <c r="TQX138" s="552"/>
      <c r="TQY138" s="552"/>
      <c r="TQZ138" s="552"/>
      <c r="TRA138" s="548"/>
      <c r="TRB138" s="553"/>
      <c r="TRC138" s="553"/>
      <c r="TRD138" s="553"/>
      <c r="TRE138" s="8"/>
      <c r="TRF138" s="8"/>
      <c r="TRG138" s="458"/>
      <c r="TRH138" s="8"/>
      <c r="TRI138" s="8"/>
      <c r="TRJ138" s="547"/>
      <c r="TRK138" s="547"/>
      <c r="TRL138" s="547"/>
      <c r="TRM138" s="547"/>
      <c r="TRN138" s="548"/>
      <c r="TRO138" s="547"/>
      <c r="TRP138" s="547"/>
      <c r="TRQ138" s="547"/>
      <c r="TRR138" s="547"/>
      <c r="TRS138" s="548"/>
      <c r="TRT138" s="547"/>
      <c r="TRU138" s="547"/>
      <c r="TRV138" s="547"/>
      <c r="TRW138" s="547"/>
      <c r="TRX138" s="548"/>
      <c r="TRY138" s="547"/>
      <c r="TRZ138" s="547"/>
      <c r="TSA138" s="547"/>
      <c r="TSB138" s="552"/>
      <c r="TSC138" s="548"/>
      <c r="TSD138" s="552"/>
      <c r="TSE138" s="552"/>
      <c r="TSF138" s="552"/>
      <c r="TSG138" s="552"/>
      <c r="TSH138" s="548"/>
      <c r="TSI138" s="553"/>
      <c r="TSJ138" s="553"/>
      <c r="TSK138" s="553"/>
      <c r="TSL138" s="8"/>
      <c r="TSM138" s="8"/>
      <c r="TSN138" s="458"/>
      <c r="TSO138" s="8"/>
      <c r="TSP138" s="8"/>
      <c r="TSQ138" s="547"/>
      <c r="TSR138" s="547"/>
      <c r="TSS138" s="547"/>
      <c r="TST138" s="547"/>
      <c r="TSU138" s="548"/>
      <c r="TSV138" s="547"/>
      <c r="TSW138" s="547"/>
      <c r="TSX138" s="547"/>
      <c r="TSY138" s="547"/>
      <c r="TSZ138" s="548"/>
      <c r="TTA138" s="547"/>
      <c r="TTB138" s="547"/>
      <c r="TTC138" s="547"/>
      <c r="TTD138" s="547"/>
      <c r="TTE138" s="548"/>
      <c r="TTF138" s="547"/>
      <c r="TTG138" s="547"/>
      <c r="TTH138" s="547"/>
      <c r="TTI138" s="552"/>
      <c r="TTJ138" s="548"/>
      <c r="TTK138" s="552"/>
      <c r="TTL138" s="552"/>
      <c r="TTM138" s="552"/>
      <c r="TTN138" s="552"/>
      <c r="TTO138" s="548"/>
      <c r="TTP138" s="553"/>
      <c r="TTQ138" s="553"/>
      <c r="TTR138" s="553"/>
      <c r="TTS138" s="8"/>
      <c r="TTT138" s="8"/>
      <c r="TTU138" s="458"/>
      <c r="TTV138" s="8"/>
      <c r="TTW138" s="8"/>
      <c r="TTX138" s="547"/>
      <c r="TTY138" s="547"/>
      <c r="TTZ138" s="547"/>
      <c r="TUA138" s="547"/>
      <c r="TUB138" s="548"/>
      <c r="TUC138" s="547"/>
      <c r="TUD138" s="547"/>
      <c r="TUE138" s="547"/>
      <c r="TUF138" s="547"/>
      <c r="TUG138" s="548"/>
      <c r="TUH138" s="547"/>
      <c r="TUI138" s="547"/>
      <c r="TUJ138" s="547"/>
      <c r="TUK138" s="547"/>
      <c r="TUL138" s="548"/>
      <c r="TUM138" s="547"/>
      <c r="TUN138" s="547"/>
      <c r="TUO138" s="547"/>
      <c r="TUP138" s="552"/>
      <c r="TUQ138" s="548"/>
      <c r="TUR138" s="552"/>
      <c r="TUS138" s="552"/>
      <c r="TUT138" s="552"/>
      <c r="TUU138" s="552"/>
      <c r="TUV138" s="548"/>
      <c r="TUW138" s="553"/>
      <c r="TUX138" s="553"/>
      <c r="TUY138" s="553"/>
      <c r="TUZ138" s="8"/>
      <c r="TVA138" s="8"/>
      <c r="TVB138" s="458"/>
      <c r="TVC138" s="8"/>
      <c r="TVD138" s="8"/>
      <c r="TVE138" s="547"/>
      <c r="TVF138" s="547"/>
      <c r="TVG138" s="547"/>
      <c r="TVH138" s="547"/>
      <c r="TVI138" s="548"/>
      <c r="TVJ138" s="547"/>
      <c r="TVK138" s="547"/>
      <c r="TVL138" s="547"/>
      <c r="TVM138" s="547"/>
      <c r="TVN138" s="548"/>
      <c r="TVO138" s="547"/>
      <c r="TVP138" s="547"/>
      <c r="TVQ138" s="547"/>
      <c r="TVR138" s="547"/>
      <c r="TVS138" s="548"/>
      <c r="TVT138" s="547"/>
      <c r="TVU138" s="547"/>
      <c r="TVV138" s="547"/>
      <c r="TVW138" s="552"/>
      <c r="TVX138" s="548"/>
      <c r="TVY138" s="552"/>
      <c r="TVZ138" s="552"/>
      <c r="TWA138" s="552"/>
      <c r="TWB138" s="552"/>
      <c r="TWC138" s="548"/>
      <c r="TWD138" s="553"/>
      <c r="TWE138" s="553"/>
      <c r="TWF138" s="553"/>
      <c r="TWG138" s="8"/>
      <c r="TWH138" s="8"/>
      <c r="TWI138" s="458"/>
      <c r="TWJ138" s="8"/>
      <c r="TWK138" s="8"/>
      <c r="TWL138" s="547"/>
      <c r="TWM138" s="547"/>
      <c r="TWN138" s="547"/>
      <c r="TWO138" s="547"/>
      <c r="TWP138" s="548"/>
      <c r="TWQ138" s="547"/>
      <c r="TWR138" s="547"/>
      <c r="TWS138" s="547"/>
      <c r="TWT138" s="547"/>
      <c r="TWU138" s="548"/>
      <c r="TWV138" s="547"/>
      <c r="TWW138" s="547"/>
      <c r="TWX138" s="547"/>
      <c r="TWY138" s="547"/>
      <c r="TWZ138" s="548"/>
      <c r="TXA138" s="547"/>
      <c r="TXB138" s="547"/>
      <c r="TXC138" s="547"/>
      <c r="TXD138" s="552"/>
      <c r="TXE138" s="548"/>
      <c r="TXF138" s="552"/>
      <c r="TXG138" s="552"/>
      <c r="TXH138" s="552"/>
      <c r="TXI138" s="552"/>
      <c r="TXJ138" s="548"/>
      <c r="TXK138" s="553"/>
      <c r="TXL138" s="553"/>
      <c r="TXM138" s="553"/>
      <c r="TXN138" s="8"/>
      <c r="TXO138" s="8"/>
      <c r="TXP138" s="458"/>
      <c r="TXQ138" s="8"/>
      <c r="TXR138" s="8"/>
      <c r="TXS138" s="547"/>
      <c r="TXT138" s="547"/>
      <c r="TXU138" s="547"/>
      <c r="TXV138" s="547"/>
      <c r="TXW138" s="548"/>
      <c r="TXX138" s="547"/>
      <c r="TXY138" s="547"/>
      <c r="TXZ138" s="547"/>
      <c r="TYA138" s="547"/>
      <c r="TYB138" s="548"/>
      <c r="TYC138" s="547"/>
      <c r="TYD138" s="547"/>
      <c r="TYE138" s="547"/>
      <c r="TYF138" s="547"/>
      <c r="TYG138" s="548"/>
      <c r="TYH138" s="547"/>
      <c r="TYI138" s="547"/>
      <c r="TYJ138" s="547"/>
      <c r="TYK138" s="552"/>
      <c r="TYL138" s="548"/>
      <c r="TYM138" s="552"/>
      <c r="TYN138" s="552"/>
      <c r="TYO138" s="552"/>
      <c r="TYP138" s="552"/>
      <c r="TYQ138" s="548"/>
      <c r="TYR138" s="553"/>
      <c r="TYS138" s="553"/>
      <c r="TYT138" s="553"/>
      <c r="TYU138" s="8"/>
      <c r="TYV138" s="8"/>
      <c r="TYW138" s="458"/>
      <c r="TYX138" s="8"/>
      <c r="TYY138" s="8"/>
      <c r="TYZ138" s="547"/>
      <c r="TZA138" s="547"/>
      <c r="TZB138" s="547"/>
      <c r="TZC138" s="547"/>
      <c r="TZD138" s="548"/>
      <c r="TZE138" s="547"/>
      <c r="TZF138" s="547"/>
      <c r="TZG138" s="547"/>
      <c r="TZH138" s="547"/>
      <c r="TZI138" s="548"/>
      <c r="TZJ138" s="547"/>
      <c r="TZK138" s="547"/>
      <c r="TZL138" s="547"/>
      <c r="TZM138" s="547"/>
      <c r="TZN138" s="548"/>
      <c r="TZO138" s="547"/>
      <c r="TZP138" s="547"/>
      <c r="TZQ138" s="547"/>
      <c r="TZR138" s="552"/>
      <c r="TZS138" s="548"/>
      <c r="TZT138" s="552"/>
      <c r="TZU138" s="552"/>
      <c r="TZV138" s="552"/>
      <c r="TZW138" s="552"/>
      <c r="TZX138" s="548"/>
      <c r="TZY138" s="553"/>
      <c r="TZZ138" s="553"/>
      <c r="UAA138" s="553"/>
      <c r="UAB138" s="8"/>
      <c r="UAC138" s="8"/>
      <c r="UAD138" s="458"/>
      <c r="UAE138" s="8"/>
      <c r="UAF138" s="8"/>
      <c r="UAG138" s="547"/>
      <c r="UAH138" s="547"/>
      <c r="UAI138" s="547"/>
      <c r="UAJ138" s="547"/>
      <c r="UAK138" s="548"/>
      <c r="UAL138" s="547"/>
      <c r="UAM138" s="547"/>
      <c r="UAN138" s="547"/>
      <c r="UAO138" s="547"/>
      <c r="UAP138" s="548"/>
      <c r="UAQ138" s="547"/>
      <c r="UAR138" s="547"/>
      <c r="UAS138" s="547"/>
      <c r="UAT138" s="547"/>
      <c r="UAU138" s="548"/>
      <c r="UAV138" s="547"/>
      <c r="UAW138" s="547"/>
      <c r="UAX138" s="547"/>
      <c r="UAY138" s="552"/>
      <c r="UAZ138" s="548"/>
      <c r="UBA138" s="552"/>
      <c r="UBB138" s="552"/>
      <c r="UBC138" s="552"/>
      <c r="UBD138" s="552"/>
      <c r="UBE138" s="548"/>
      <c r="UBF138" s="553"/>
      <c r="UBG138" s="553"/>
      <c r="UBH138" s="553"/>
      <c r="UBI138" s="8"/>
      <c r="UBJ138" s="8"/>
      <c r="UBK138" s="458"/>
      <c r="UBL138" s="8"/>
      <c r="UBM138" s="8"/>
      <c r="UBN138" s="547"/>
      <c r="UBO138" s="547"/>
      <c r="UBP138" s="547"/>
      <c r="UBQ138" s="547"/>
      <c r="UBR138" s="548"/>
      <c r="UBS138" s="547"/>
      <c r="UBT138" s="547"/>
      <c r="UBU138" s="547"/>
      <c r="UBV138" s="547"/>
      <c r="UBW138" s="548"/>
      <c r="UBX138" s="547"/>
      <c r="UBY138" s="547"/>
      <c r="UBZ138" s="547"/>
      <c r="UCA138" s="547"/>
      <c r="UCB138" s="548"/>
      <c r="UCC138" s="547"/>
      <c r="UCD138" s="547"/>
      <c r="UCE138" s="547"/>
      <c r="UCF138" s="552"/>
      <c r="UCG138" s="548"/>
      <c r="UCH138" s="552"/>
      <c r="UCI138" s="552"/>
      <c r="UCJ138" s="552"/>
      <c r="UCK138" s="552"/>
      <c r="UCL138" s="548"/>
      <c r="UCM138" s="553"/>
      <c r="UCN138" s="553"/>
      <c r="UCO138" s="553"/>
      <c r="UCP138" s="8"/>
      <c r="UCQ138" s="8"/>
      <c r="UCR138" s="458"/>
      <c r="UCS138" s="8"/>
      <c r="UCT138" s="8"/>
      <c r="UCU138" s="547"/>
      <c r="UCV138" s="547"/>
      <c r="UCW138" s="547"/>
      <c r="UCX138" s="547"/>
      <c r="UCY138" s="548"/>
      <c r="UCZ138" s="547"/>
      <c r="UDA138" s="547"/>
      <c r="UDB138" s="547"/>
      <c r="UDC138" s="547"/>
      <c r="UDD138" s="548"/>
      <c r="UDE138" s="547"/>
      <c r="UDF138" s="547"/>
      <c r="UDG138" s="547"/>
      <c r="UDH138" s="547"/>
      <c r="UDI138" s="548"/>
      <c r="UDJ138" s="547"/>
      <c r="UDK138" s="547"/>
      <c r="UDL138" s="547"/>
      <c r="UDM138" s="552"/>
      <c r="UDN138" s="548"/>
      <c r="UDO138" s="552"/>
      <c r="UDP138" s="552"/>
      <c r="UDQ138" s="552"/>
      <c r="UDR138" s="552"/>
      <c r="UDS138" s="548"/>
      <c r="UDT138" s="553"/>
      <c r="UDU138" s="553"/>
      <c r="UDV138" s="553"/>
      <c r="UDW138" s="8"/>
      <c r="UDX138" s="8"/>
      <c r="UDY138" s="458"/>
      <c r="UDZ138" s="8"/>
      <c r="UEA138" s="8"/>
      <c r="UEB138" s="547"/>
      <c r="UEC138" s="547"/>
      <c r="UED138" s="547"/>
      <c r="UEE138" s="547"/>
      <c r="UEF138" s="548"/>
      <c r="UEG138" s="547"/>
      <c r="UEH138" s="547"/>
      <c r="UEI138" s="547"/>
      <c r="UEJ138" s="547"/>
      <c r="UEK138" s="548"/>
      <c r="UEL138" s="547"/>
      <c r="UEM138" s="547"/>
      <c r="UEN138" s="547"/>
      <c r="UEO138" s="547"/>
      <c r="UEP138" s="548"/>
      <c r="UEQ138" s="547"/>
      <c r="UER138" s="547"/>
      <c r="UES138" s="547"/>
      <c r="UET138" s="552"/>
      <c r="UEU138" s="548"/>
      <c r="UEV138" s="552"/>
      <c r="UEW138" s="552"/>
      <c r="UEX138" s="552"/>
      <c r="UEY138" s="552"/>
      <c r="UEZ138" s="548"/>
      <c r="UFA138" s="553"/>
      <c r="UFB138" s="553"/>
      <c r="UFC138" s="553"/>
      <c r="UFD138" s="8"/>
      <c r="UFE138" s="8"/>
      <c r="UFF138" s="458"/>
      <c r="UFG138" s="8"/>
      <c r="UFH138" s="8"/>
      <c r="UFI138" s="547"/>
      <c r="UFJ138" s="547"/>
      <c r="UFK138" s="547"/>
      <c r="UFL138" s="547"/>
      <c r="UFM138" s="548"/>
      <c r="UFN138" s="547"/>
      <c r="UFO138" s="547"/>
      <c r="UFP138" s="547"/>
      <c r="UFQ138" s="547"/>
      <c r="UFR138" s="548"/>
      <c r="UFS138" s="547"/>
      <c r="UFT138" s="547"/>
      <c r="UFU138" s="547"/>
      <c r="UFV138" s="547"/>
      <c r="UFW138" s="548"/>
      <c r="UFX138" s="547"/>
      <c r="UFY138" s="547"/>
      <c r="UFZ138" s="547"/>
      <c r="UGA138" s="552"/>
      <c r="UGB138" s="548"/>
      <c r="UGC138" s="552"/>
      <c r="UGD138" s="552"/>
      <c r="UGE138" s="552"/>
      <c r="UGF138" s="552"/>
      <c r="UGG138" s="548"/>
      <c r="UGH138" s="553"/>
      <c r="UGI138" s="553"/>
      <c r="UGJ138" s="553"/>
      <c r="UGK138" s="8"/>
      <c r="UGL138" s="8"/>
      <c r="UGM138" s="458"/>
      <c r="UGN138" s="8"/>
      <c r="UGO138" s="8"/>
      <c r="UGP138" s="547"/>
      <c r="UGQ138" s="547"/>
      <c r="UGR138" s="547"/>
      <c r="UGS138" s="547"/>
      <c r="UGT138" s="548"/>
      <c r="UGU138" s="547"/>
      <c r="UGV138" s="547"/>
      <c r="UGW138" s="547"/>
      <c r="UGX138" s="547"/>
      <c r="UGY138" s="548"/>
      <c r="UGZ138" s="547"/>
      <c r="UHA138" s="547"/>
      <c r="UHB138" s="547"/>
      <c r="UHC138" s="547"/>
      <c r="UHD138" s="548"/>
      <c r="UHE138" s="547"/>
      <c r="UHF138" s="547"/>
      <c r="UHG138" s="547"/>
      <c r="UHH138" s="552"/>
      <c r="UHI138" s="548"/>
      <c r="UHJ138" s="552"/>
      <c r="UHK138" s="552"/>
      <c r="UHL138" s="552"/>
      <c r="UHM138" s="552"/>
      <c r="UHN138" s="548"/>
      <c r="UHO138" s="553"/>
      <c r="UHP138" s="553"/>
      <c r="UHQ138" s="553"/>
      <c r="UHR138" s="8"/>
      <c r="UHS138" s="8"/>
      <c r="UHT138" s="458"/>
      <c r="UHU138" s="8"/>
      <c r="UHV138" s="8"/>
      <c r="UHW138" s="547"/>
      <c r="UHX138" s="547"/>
      <c r="UHY138" s="547"/>
      <c r="UHZ138" s="547"/>
      <c r="UIA138" s="548"/>
      <c r="UIB138" s="547"/>
      <c r="UIC138" s="547"/>
      <c r="UID138" s="547"/>
      <c r="UIE138" s="547"/>
      <c r="UIF138" s="548"/>
      <c r="UIG138" s="547"/>
      <c r="UIH138" s="547"/>
      <c r="UII138" s="547"/>
      <c r="UIJ138" s="547"/>
      <c r="UIK138" s="548"/>
      <c r="UIL138" s="547"/>
      <c r="UIM138" s="547"/>
      <c r="UIN138" s="547"/>
      <c r="UIO138" s="552"/>
      <c r="UIP138" s="548"/>
      <c r="UIQ138" s="552"/>
      <c r="UIR138" s="552"/>
      <c r="UIS138" s="552"/>
      <c r="UIT138" s="552"/>
      <c r="UIU138" s="548"/>
      <c r="UIV138" s="553"/>
      <c r="UIW138" s="553"/>
      <c r="UIX138" s="553"/>
      <c r="UIY138" s="8"/>
      <c r="UIZ138" s="8"/>
      <c r="UJA138" s="458"/>
      <c r="UJB138" s="8"/>
      <c r="UJC138" s="8"/>
      <c r="UJD138" s="547"/>
      <c r="UJE138" s="547"/>
      <c r="UJF138" s="547"/>
      <c r="UJG138" s="547"/>
      <c r="UJH138" s="548"/>
      <c r="UJI138" s="547"/>
      <c r="UJJ138" s="547"/>
      <c r="UJK138" s="547"/>
      <c r="UJL138" s="547"/>
      <c r="UJM138" s="548"/>
      <c r="UJN138" s="547"/>
      <c r="UJO138" s="547"/>
      <c r="UJP138" s="547"/>
      <c r="UJQ138" s="547"/>
      <c r="UJR138" s="548"/>
      <c r="UJS138" s="547"/>
      <c r="UJT138" s="547"/>
      <c r="UJU138" s="547"/>
      <c r="UJV138" s="552"/>
      <c r="UJW138" s="548"/>
      <c r="UJX138" s="552"/>
      <c r="UJY138" s="552"/>
      <c r="UJZ138" s="552"/>
      <c r="UKA138" s="552"/>
      <c r="UKB138" s="548"/>
      <c r="UKC138" s="553"/>
      <c r="UKD138" s="553"/>
      <c r="UKE138" s="553"/>
      <c r="UKF138" s="8"/>
      <c r="UKG138" s="8"/>
      <c r="UKH138" s="458"/>
      <c r="UKI138" s="8"/>
      <c r="UKJ138" s="8"/>
      <c r="UKK138" s="547"/>
      <c r="UKL138" s="547"/>
      <c r="UKM138" s="547"/>
      <c r="UKN138" s="547"/>
      <c r="UKO138" s="548"/>
      <c r="UKP138" s="547"/>
      <c r="UKQ138" s="547"/>
      <c r="UKR138" s="547"/>
      <c r="UKS138" s="547"/>
      <c r="UKT138" s="548"/>
      <c r="UKU138" s="547"/>
      <c r="UKV138" s="547"/>
      <c r="UKW138" s="547"/>
      <c r="UKX138" s="547"/>
      <c r="UKY138" s="548"/>
      <c r="UKZ138" s="547"/>
      <c r="ULA138" s="547"/>
      <c r="ULB138" s="547"/>
      <c r="ULC138" s="552"/>
      <c r="ULD138" s="548"/>
      <c r="ULE138" s="552"/>
      <c r="ULF138" s="552"/>
      <c r="ULG138" s="552"/>
      <c r="ULH138" s="552"/>
      <c r="ULI138" s="548"/>
      <c r="ULJ138" s="553"/>
      <c r="ULK138" s="553"/>
      <c r="ULL138" s="553"/>
      <c r="ULM138" s="8"/>
      <c r="ULN138" s="8"/>
      <c r="ULO138" s="458"/>
      <c r="ULP138" s="8"/>
      <c r="ULQ138" s="8"/>
      <c r="ULR138" s="547"/>
      <c r="ULS138" s="547"/>
      <c r="ULT138" s="547"/>
      <c r="ULU138" s="547"/>
      <c r="ULV138" s="548"/>
      <c r="ULW138" s="547"/>
      <c r="ULX138" s="547"/>
      <c r="ULY138" s="547"/>
      <c r="ULZ138" s="547"/>
      <c r="UMA138" s="548"/>
      <c r="UMB138" s="547"/>
      <c r="UMC138" s="547"/>
      <c r="UMD138" s="547"/>
      <c r="UME138" s="547"/>
      <c r="UMF138" s="548"/>
      <c r="UMG138" s="547"/>
      <c r="UMH138" s="547"/>
      <c r="UMI138" s="547"/>
      <c r="UMJ138" s="552"/>
      <c r="UMK138" s="548"/>
      <c r="UML138" s="552"/>
      <c r="UMM138" s="552"/>
      <c r="UMN138" s="552"/>
      <c r="UMO138" s="552"/>
      <c r="UMP138" s="548"/>
      <c r="UMQ138" s="553"/>
      <c r="UMR138" s="553"/>
      <c r="UMS138" s="553"/>
      <c r="UMT138" s="8"/>
      <c r="UMU138" s="8"/>
      <c r="UMV138" s="458"/>
      <c r="UMW138" s="8"/>
      <c r="UMX138" s="8"/>
      <c r="UMY138" s="547"/>
      <c r="UMZ138" s="547"/>
      <c r="UNA138" s="547"/>
      <c r="UNB138" s="547"/>
      <c r="UNC138" s="548"/>
      <c r="UND138" s="547"/>
      <c r="UNE138" s="547"/>
      <c r="UNF138" s="547"/>
      <c r="UNG138" s="547"/>
      <c r="UNH138" s="548"/>
      <c r="UNI138" s="547"/>
      <c r="UNJ138" s="547"/>
      <c r="UNK138" s="547"/>
      <c r="UNL138" s="547"/>
      <c r="UNM138" s="548"/>
      <c r="UNN138" s="547"/>
      <c r="UNO138" s="547"/>
      <c r="UNP138" s="547"/>
      <c r="UNQ138" s="552"/>
      <c r="UNR138" s="548"/>
      <c r="UNS138" s="552"/>
      <c r="UNT138" s="552"/>
      <c r="UNU138" s="552"/>
      <c r="UNV138" s="552"/>
      <c r="UNW138" s="548"/>
      <c r="UNX138" s="553"/>
      <c r="UNY138" s="553"/>
      <c r="UNZ138" s="553"/>
      <c r="UOA138" s="8"/>
      <c r="UOB138" s="8"/>
      <c r="UOC138" s="458"/>
      <c r="UOD138" s="8"/>
      <c r="UOE138" s="8"/>
      <c r="UOF138" s="547"/>
      <c r="UOG138" s="547"/>
      <c r="UOH138" s="547"/>
      <c r="UOI138" s="547"/>
      <c r="UOJ138" s="548"/>
      <c r="UOK138" s="547"/>
      <c r="UOL138" s="547"/>
      <c r="UOM138" s="547"/>
      <c r="UON138" s="547"/>
      <c r="UOO138" s="548"/>
      <c r="UOP138" s="547"/>
      <c r="UOQ138" s="547"/>
      <c r="UOR138" s="547"/>
      <c r="UOS138" s="547"/>
      <c r="UOT138" s="548"/>
      <c r="UOU138" s="547"/>
      <c r="UOV138" s="547"/>
      <c r="UOW138" s="547"/>
      <c r="UOX138" s="552"/>
      <c r="UOY138" s="548"/>
      <c r="UOZ138" s="552"/>
      <c r="UPA138" s="552"/>
      <c r="UPB138" s="552"/>
      <c r="UPC138" s="552"/>
      <c r="UPD138" s="548"/>
      <c r="UPE138" s="553"/>
      <c r="UPF138" s="553"/>
      <c r="UPG138" s="553"/>
      <c r="UPH138" s="8"/>
      <c r="UPI138" s="8"/>
      <c r="UPJ138" s="458"/>
      <c r="UPK138" s="8"/>
      <c r="UPL138" s="8"/>
      <c r="UPM138" s="547"/>
      <c r="UPN138" s="547"/>
      <c r="UPO138" s="547"/>
      <c r="UPP138" s="547"/>
      <c r="UPQ138" s="548"/>
      <c r="UPR138" s="547"/>
      <c r="UPS138" s="547"/>
      <c r="UPT138" s="547"/>
      <c r="UPU138" s="547"/>
      <c r="UPV138" s="548"/>
      <c r="UPW138" s="547"/>
      <c r="UPX138" s="547"/>
      <c r="UPY138" s="547"/>
      <c r="UPZ138" s="547"/>
      <c r="UQA138" s="548"/>
      <c r="UQB138" s="547"/>
      <c r="UQC138" s="547"/>
      <c r="UQD138" s="547"/>
      <c r="UQE138" s="552"/>
      <c r="UQF138" s="548"/>
      <c r="UQG138" s="552"/>
      <c r="UQH138" s="552"/>
      <c r="UQI138" s="552"/>
      <c r="UQJ138" s="552"/>
      <c r="UQK138" s="548"/>
      <c r="UQL138" s="553"/>
      <c r="UQM138" s="553"/>
      <c r="UQN138" s="553"/>
      <c r="UQO138" s="8"/>
      <c r="UQP138" s="8"/>
      <c r="UQQ138" s="458"/>
      <c r="UQR138" s="8"/>
      <c r="UQS138" s="8"/>
      <c r="UQT138" s="547"/>
      <c r="UQU138" s="547"/>
      <c r="UQV138" s="547"/>
      <c r="UQW138" s="547"/>
      <c r="UQX138" s="548"/>
      <c r="UQY138" s="547"/>
      <c r="UQZ138" s="547"/>
      <c r="URA138" s="547"/>
      <c r="URB138" s="547"/>
      <c r="URC138" s="548"/>
      <c r="URD138" s="547"/>
      <c r="URE138" s="547"/>
      <c r="URF138" s="547"/>
      <c r="URG138" s="547"/>
      <c r="URH138" s="548"/>
      <c r="URI138" s="547"/>
      <c r="URJ138" s="547"/>
      <c r="URK138" s="547"/>
      <c r="URL138" s="552"/>
      <c r="URM138" s="548"/>
      <c r="URN138" s="552"/>
      <c r="URO138" s="552"/>
      <c r="URP138" s="552"/>
      <c r="URQ138" s="552"/>
      <c r="URR138" s="548"/>
      <c r="URS138" s="553"/>
      <c r="URT138" s="553"/>
      <c r="URU138" s="553"/>
      <c r="URV138" s="8"/>
      <c r="URW138" s="8"/>
      <c r="URX138" s="458"/>
      <c r="URY138" s="8"/>
      <c r="URZ138" s="8"/>
      <c r="USA138" s="547"/>
      <c r="USB138" s="547"/>
      <c r="USC138" s="547"/>
      <c r="USD138" s="547"/>
      <c r="USE138" s="548"/>
      <c r="USF138" s="547"/>
      <c r="USG138" s="547"/>
      <c r="USH138" s="547"/>
      <c r="USI138" s="547"/>
      <c r="USJ138" s="548"/>
      <c r="USK138" s="547"/>
      <c r="USL138" s="547"/>
      <c r="USM138" s="547"/>
      <c r="USN138" s="547"/>
      <c r="USO138" s="548"/>
      <c r="USP138" s="547"/>
      <c r="USQ138" s="547"/>
      <c r="USR138" s="547"/>
      <c r="USS138" s="552"/>
      <c r="UST138" s="548"/>
      <c r="USU138" s="552"/>
      <c r="USV138" s="552"/>
      <c r="USW138" s="552"/>
      <c r="USX138" s="552"/>
      <c r="USY138" s="548"/>
      <c r="USZ138" s="553"/>
      <c r="UTA138" s="553"/>
      <c r="UTB138" s="553"/>
      <c r="UTC138" s="8"/>
      <c r="UTD138" s="8"/>
      <c r="UTE138" s="458"/>
      <c r="UTF138" s="8"/>
      <c r="UTG138" s="8"/>
      <c r="UTH138" s="547"/>
      <c r="UTI138" s="547"/>
      <c r="UTJ138" s="547"/>
      <c r="UTK138" s="547"/>
      <c r="UTL138" s="548"/>
      <c r="UTM138" s="547"/>
      <c r="UTN138" s="547"/>
      <c r="UTO138" s="547"/>
      <c r="UTP138" s="547"/>
      <c r="UTQ138" s="548"/>
      <c r="UTR138" s="547"/>
      <c r="UTS138" s="547"/>
      <c r="UTT138" s="547"/>
      <c r="UTU138" s="547"/>
      <c r="UTV138" s="548"/>
      <c r="UTW138" s="547"/>
      <c r="UTX138" s="547"/>
      <c r="UTY138" s="547"/>
      <c r="UTZ138" s="552"/>
      <c r="UUA138" s="548"/>
      <c r="UUB138" s="552"/>
      <c r="UUC138" s="552"/>
      <c r="UUD138" s="552"/>
      <c r="UUE138" s="552"/>
      <c r="UUF138" s="548"/>
      <c r="UUG138" s="553"/>
      <c r="UUH138" s="553"/>
      <c r="UUI138" s="553"/>
      <c r="UUJ138" s="8"/>
      <c r="UUK138" s="8"/>
      <c r="UUL138" s="458"/>
      <c r="UUM138" s="8"/>
      <c r="UUN138" s="8"/>
      <c r="UUO138" s="547"/>
      <c r="UUP138" s="547"/>
      <c r="UUQ138" s="547"/>
      <c r="UUR138" s="547"/>
      <c r="UUS138" s="548"/>
      <c r="UUT138" s="547"/>
      <c r="UUU138" s="547"/>
      <c r="UUV138" s="547"/>
      <c r="UUW138" s="547"/>
      <c r="UUX138" s="548"/>
      <c r="UUY138" s="547"/>
      <c r="UUZ138" s="547"/>
      <c r="UVA138" s="547"/>
      <c r="UVB138" s="547"/>
      <c r="UVC138" s="548"/>
      <c r="UVD138" s="547"/>
      <c r="UVE138" s="547"/>
      <c r="UVF138" s="547"/>
      <c r="UVG138" s="552"/>
      <c r="UVH138" s="548"/>
      <c r="UVI138" s="552"/>
      <c r="UVJ138" s="552"/>
      <c r="UVK138" s="552"/>
      <c r="UVL138" s="552"/>
      <c r="UVM138" s="548"/>
      <c r="UVN138" s="553"/>
      <c r="UVO138" s="553"/>
      <c r="UVP138" s="553"/>
      <c r="UVQ138" s="8"/>
      <c r="UVR138" s="8"/>
      <c r="UVS138" s="458"/>
      <c r="UVT138" s="8"/>
      <c r="UVU138" s="8"/>
      <c r="UVV138" s="547"/>
      <c r="UVW138" s="547"/>
      <c r="UVX138" s="547"/>
      <c r="UVY138" s="547"/>
      <c r="UVZ138" s="548"/>
      <c r="UWA138" s="547"/>
      <c r="UWB138" s="547"/>
      <c r="UWC138" s="547"/>
      <c r="UWD138" s="547"/>
      <c r="UWE138" s="548"/>
      <c r="UWF138" s="547"/>
      <c r="UWG138" s="547"/>
      <c r="UWH138" s="547"/>
      <c r="UWI138" s="547"/>
      <c r="UWJ138" s="548"/>
      <c r="UWK138" s="547"/>
      <c r="UWL138" s="547"/>
      <c r="UWM138" s="547"/>
      <c r="UWN138" s="552"/>
      <c r="UWO138" s="548"/>
      <c r="UWP138" s="552"/>
      <c r="UWQ138" s="552"/>
      <c r="UWR138" s="552"/>
      <c r="UWS138" s="552"/>
      <c r="UWT138" s="548"/>
      <c r="UWU138" s="553"/>
      <c r="UWV138" s="553"/>
      <c r="UWW138" s="553"/>
      <c r="UWX138" s="8"/>
      <c r="UWY138" s="8"/>
      <c r="UWZ138" s="458"/>
      <c r="UXA138" s="8"/>
      <c r="UXB138" s="8"/>
      <c r="UXC138" s="547"/>
      <c r="UXD138" s="547"/>
      <c r="UXE138" s="547"/>
      <c r="UXF138" s="547"/>
      <c r="UXG138" s="548"/>
      <c r="UXH138" s="547"/>
      <c r="UXI138" s="547"/>
      <c r="UXJ138" s="547"/>
      <c r="UXK138" s="547"/>
      <c r="UXL138" s="548"/>
      <c r="UXM138" s="547"/>
      <c r="UXN138" s="547"/>
      <c r="UXO138" s="547"/>
      <c r="UXP138" s="547"/>
      <c r="UXQ138" s="548"/>
      <c r="UXR138" s="547"/>
      <c r="UXS138" s="547"/>
      <c r="UXT138" s="547"/>
      <c r="UXU138" s="552"/>
      <c r="UXV138" s="548"/>
      <c r="UXW138" s="552"/>
      <c r="UXX138" s="552"/>
      <c r="UXY138" s="552"/>
      <c r="UXZ138" s="552"/>
      <c r="UYA138" s="548"/>
      <c r="UYB138" s="553"/>
      <c r="UYC138" s="553"/>
      <c r="UYD138" s="553"/>
      <c r="UYE138" s="8"/>
      <c r="UYF138" s="8"/>
      <c r="UYG138" s="458"/>
      <c r="UYH138" s="8"/>
      <c r="UYI138" s="8"/>
      <c r="UYJ138" s="547"/>
      <c r="UYK138" s="547"/>
      <c r="UYL138" s="547"/>
      <c r="UYM138" s="547"/>
      <c r="UYN138" s="548"/>
      <c r="UYO138" s="547"/>
      <c r="UYP138" s="547"/>
      <c r="UYQ138" s="547"/>
      <c r="UYR138" s="547"/>
      <c r="UYS138" s="548"/>
      <c r="UYT138" s="547"/>
      <c r="UYU138" s="547"/>
      <c r="UYV138" s="547"/>
      <c r="UYW138" s="547"/>
      <c r="UYX138" s="548"/>
      <c r="UYY138" s="547"/>
      <c r="UYZ138" s="547"/>
      <c r="UZA138" s="547"/>
      <c r="UZB138" s="552"/>
      <c r="UZC138" s="548"/>
      <c r="UZD138" s="552"/>
      <c r="UZE138" s="552"/>
      <c r="UZF138" s="552"/>
      <c r="UZG138" s="552"/>
      <c r="UZH138" s="548"/>
      <c r="UZI138" s="553"/>
      <c r="UZJ138" s="553"/>
      <c r="UZK138" s="553"/>
      <c r="UZL138" s="8"/>
      <c r="UZM138" s="8"/>
      <c r="UZN138" s="458"/>
      <c r="UZO138" s="8"/>
      <c r="UZP138" s="8"/>
      <c r="UZQ138" s="547"/>
      <c r="UZR138" s="547"/>
      <c r="UZS138" s="547"/>
      <c r="UZT138" s="547"/>
      <c r="UZU138" s="548"/>
      <c r="UZV138" s="547"/>
      <c r="UZW138" s="547"/>
      <c r="UZX138" s="547"/>
      <c r="UZY138" s="547"/>
      <c r="UZZ138" s="548"/>
      <c r="VAA138" s="547"/>
      <c r="VAB138" s="547"/>
      <c r="VAC138" s="547"/>
      <c r="VAD138" s="547"/>
      <c r="VAE138" s="548"/>
      <c r="VAF138" s="547"/>
      <c r="VAG138" s="547"/>
      <c r="VAH138" s="547"/>
      <c r="VAI138" s="552"/>
      <c r="VAJ138" s="548"/>
      <c r="VAK138" s="552"/>
      <c r="VAL138" s="552"/>
      <c r="VAM138" s="552"/>
      <c r="VAN138" s="552"/>
      <c r="VAO138" s="548"/>
      <c r="VAP138" s="553"/>
      <c r="VAQ138" s="553"/>
      <c r="VAR138" s="553"/>
      <c r="VAS138" s="8"/>
      <c r="VAT138" s="8"/>
      <c r="VAU138" s="458"/>
      <c r="VAV138" s="8"/>
      <c r="VAW138" s="8"/>
      <c r="VAX138" s="547"/>
      <c r="VAY138" s="547"/>
      <c r="VAZ138" s="547"/>
      <c r="VBA138" s="547"/>
      <c r="VBB138" s="548"/>
      <c r="VBC138" s="547"/>
      <c r="VBD138" s="547"/>
      <c r="VBE138" s="547"/>
      <c r="VBF138" s="547"/>
      <c r="VBG138" s="548"/>
      <c r="VBH138" s="547"/>
      <c r="VBI138" s="547"/>
      <c r="VBJ138" s="547"/>
      <c r="VBK138" s="547"/>
      <c r="VBL138" s="548"/>
      <c r="VBM138" s="547"/>
      <c r="VBN138" s="547"/>
      <c r="VBO138" s="547"/>
      <c r="VBP138" s="552"/>
      <c r="VBQ138" s="548"/>
      <c r="VBR138" s="552"/>
      <c r="VBS138" s="552"/>
      <c r="VBT138" s="552"/>
      <c r="VBU138" s="552"/>
      <c r="VBV138" s="548"/>
      <c r="VBW138" s="553"/>
      <c r="VBX138" s="553"/>
      <c r="VBY138" s="553"/>
      <c r="VBZ138" s="8"/>
      <c r="VCA138" s="8"/>
      <c r="VCB138" s="458"/>
      <c r="VCC138" s="8"/>
      <c r="VCD138" s="8"/>
      <c r="VCE138" s="547"/>
      <c r="VCF138" s="547"/>
      <c r="VCG138" s="547"/>
      <c r="VCH138" s="547"/>
      <c r="VCI138" s="548"/>
      <c r="VCJ138" s="547"/>
      <c r="VCK138" s="547"/>
      <c r="VCL138" s="547"/>
      <c r="VCM138" s="547"/>
      <c r="VCN138" s="548"/>
      <c r="VCO138" s="547"/>
      <c r="VCP138" s="547"/>
      <c r="VCQ138" s="547"/>
      <c r="VCR138" s="547"/>
      <c r="VCS138" s="548"/>
      <c r="VCT138" s="547"/>
      <c r="VCU138" s="547"/>
      <c r="VCV138" s="547"/>
      <c r="VCW138" s="552"/>
      <c r="VCX138" s="548"/>
      <c r="VCY138" s="552"/>
      <c r="VCZ138" s="552"/>
      <c r="VDA138" s="552"/>
      <c r="VDB138" s="552"/>
      <c r="VDC138" s="548"/>
      <c r="VDD138" s="553"/>
      <c r="VDE138" s="553"/>
      <c r="VDF138" s="553"/>
      <c r="VDG138" s="8"/>
      <c r="VDH138" s="8"/>
      <c r="VDI138" s="458"/>
      <c r="VDJ138" s="8"/>
      <c r="VDK138" s="8"/>
      <c r="VDL138" s="547"/>
      <c r="VDM138" s="547"/>
      <c r="VDN138" s="547"/>
      <c r="VDO138" s="547"/>
      <c r="VDP138" s="548"/>
      <c r="VDQ138" s="547"/>
      <c r="VDR138" s="547"/>
      <c r="VDS138" s="547"/>
      <c r="VDT138" s="547"/>
      <c r="VDU138" s="548"/>
      <c r="VDV138" s="547"/>
      <c r="VDW138" s="547"/>
      <c r="VDX138" s="547"/>
      <c r="VDY138" s="547"/>
      <c r="VDZ138" s="548"/>
      <c r="VEA138" s="547"/>
      <c r="VEB138" s="547"/>
      <c r="VEC138" s="547"/>
      <c r="VED138" s="552"/>
      <c r="VEE138" s="548"/>
      <c r="VEF138" s="552"/>
      <c r="VEG138" s="552"/>
      <c r="VEH138" s="552"/>
      <c r="VEI138" s="552"/>
      <c r="VEJ138" s="548"/>
      <c r="VEK138" s="553"/>
      <c r="VEL138" s="553"/>
      <c r="VEM138" s="553"/>
      <c r="VEN138" s="8"/>
      <c r="VEO138" s="8"/>
      <c r="VEP138" s="458"/>
      <c r="VEQ138" s="8"/>
      <c r="VER138" s="8"/>
      <c r="VES138" s="547"/>
      <c r="VET138" s="547"/>
      <c r="VEU138" s="547"/>
      <c r="VEV138" s="547"/>
      <c r="VEW138" s="548"/>
      <c r="VEX138" s="547"/>
      <c r="VEY138" s="547"/>
      <c r="VEZ138" s="547"/>
      <c r="VFA138" s="547"/>
      <c r="VFB138" s="548"/>
      <c r="VFC138" s="547"/>
      <c r="VFD138" s="547"/>
      <c r="VFE138" s="547"/>
      <c r="VFF138" s="547"/>
      <c r="VFG138" s="548"/>
      <c r="VFH138" s="547"/>
      <c r="VFI138" s="547"/>
      <c r="VFJ138" s="547"/>
      <c r="VFK138" s="552"/>
      <c r="VFL138" s="548"/>
      <c r="VFM138" s="552"/>
      <c r="VFN138" s="552"/>
      <c r="VFO138" s="552"/>
      <c r="VFP138" s="552"/>
      <c r="VFQ138" s="548"/>
      <c r="VFR138" s="553"/>
      <c r="VFS138" s="553"/>
      <c r="VFT138" s="553"/>
      <c r="VFU138" s="8"/>
      <c r="VFV138" s="8"/>
      <c r="VFW138" s="458"/>
      <c r="VFX138" s="8"/>
      <c r="VFY138" s="8"/>
      <c r="VFZ138" s="547"/>
      <c r="VGA138" s="547"/>
      <c r="VGB138" s="547"/>
      <c r="VGC138" s="547"/>
      <c r="VGD138" s="548"/>
      <c r="VGE138" s="547"/>
      <c r="VGF138" s="547"/>
      <c r="VGG138" s="547"/>
      <c r="VGH138" s="547"/>
      <c r="VGI138" s="548"/>
      <c r="VGJ138" s="547"/>
      <c r="VGK138" s="547"/>
      <c r="VGL138" s="547"/>
      <c r="VGM138" s="547"/>
      <c r="VGN138" s="548"/>
      <c r="VGO138" s="547"/>
      <c r="VGP138" s="547"/>
      <c r="VGQ138" s="547"/>
      <c r="VGR138" s="552"/>
      <c r="VGS138" s="548"/>
      <c r="VGT138" s="552"/>
      <c r="VGU138" s="552"/>
      <c r="VGV138" s="552"/>
      <c r="VGW138" s="552"/>
      <c r="VGX138" s="548"/>
      <c r="VGY138" s="553"/>
      <c r="VGZ138" s="553"/>
      <c r="VHA138" s="553"/>
      <c r="VHB138" s="8"/>
      <c r="VHC138" s="8"/>
      <c r="VHD138" s="458"/>
      <c r="VHE138" s="8"/>
      <c r="VHF138" s="8"/>
      <c r="VHG138" s="547"/>
      <c r="VHH138" s="547"/>
      <c r="VHI138" s="547"/>
      <c r="VHJ138" s="547"/>
      <c r="VHK138" s="548"/>
      <c r="VHL138" s="547"/>
      <c r="VHM138" s="547"/>
      <c r="VHN138" s="547"/>
      <c r="VHO138" s="547"/>
      <c r="VHP138" s="548"/>
      <c r="VHQ138" s="547"/>
      <c r="VHR138" s="547"/>
      <c r="VHS138" s="547"/>
      <c r="VHT138" s="547"/>
      <c r="VHU138" s="548"/>
      <c r="VHV138" s="547"/>
      <c r="VHW138" s="547"/>
      <c r="VHX138" s="547"/>
      <c r="VHY138" s="552"/>
      <c r="VHZ138" s="548"/>
      <c r="VIA138" s="552"/>
      <c r="VIB138" s="552"/>
      <c r="VIC138" s="552"/>
      <c r="VID138" s="552"/>
      <c r="VIE138" s="548"/>
      <c r="VIF138" s="553"/>
      <c r="VIG138" s="553"/>
      <c r="VIH138" s="553"/>
      <c r="VII138" s="8"/>
      <c r="VIJ138" s="8"/>
      <c r="VIK138" s="458"/>
      <c r="VIL138" s="8"/>
      <c r="VIM138" s="8"/>
      <c r="VIN138" s="547"/>
      <c r="VIO138" s="547"/>
      <c r="VIP138" s="547"/>
      <c r="VIQ138" s="547"/>
      <c r="VIR138" s="548"/>
      <c r="VIS138" s="547"/>
      <c r="VIT138" s="547"/>
      <c r="VIU138" s="547"/>
      <c r="VIV138" s="547"/>
      <c r="VIW138" s="548"/>
      <c r="VIX138" s="547"/>
      <c r="VIY138" s="547"/>
      <c r="VIZ138" s="547"/>
      <c r="VJA138" s="547"/>
      <c r="VJB138" s="548"/>
      <c r="VJC138" s="547"/>
      <c r="VJD138" s="547"/>
      <c r="VJE138" s="547"/>
      <c r="VJF138" s="552"/>
      <c r="VJG138" s="548"/>
      <c r="VJH138" s="552"/>
      <c r="VJI138" s="552"/>
      <c r="VJJ138" s="552"/>
      <c r="VJK138" s="552"/>
      <c r="VJL138" s="548"/>
      <c r="VJM138" s="553"/>
      <c r="VJN138" s="553"/>
      <c r="VJO138" s="553"/>
      <c r="VJP138" s="8"/>
      <c r="VJQ138" s="8"/>
      <c r="VJR138" s="458"/>
      <c r="VJS138" s="8"/>
      <c r="VJT138" s="8"/>
      <c r="VJU138" s="547"/>
      <c r="VJV138" s="547"/>
      <c r="VJW138" s="547"/>
      <c r="VJX138" s="547"/>
      <c r="VJY138" s="548"/>
      <c r="VJZ138" s="547"/>
      <c r="VKA138" s="547"/>
      <c r="VKB138" s="547"/>
      <c r="VKC138" s="547"/>
      <c r="VKD138" s="548"/>
      <c r="VKE138" s="547"/>
      <c r="VKF138" s="547"/>
      <c r="VKG138" s="547"/>
      <c r="VKH138" s="547"/>
      <c r="VKI138" s="548"/>
      <c r="VKJ138" s="547"/>
      <c r="VKK138" s="547"/>
      <c r="VKL138" s="547"/>
      <c r="VKM138" s="552"/>
      <c r="VKN138" s="548"/>
      <c r="VKO138" s="552"/>
      <c r="VKP138" s="552"/>
      <c r="VKQ138" s="552"/>
      <c r="VKR138" s="552"/>
      <c r="VKS138" s="548"/>
      <c r="VKT138" s="553"/>
      <c r="VKU138" s="553"/>
      <c r="VKV138" s="553"/>
      <c r="VKW138" s="8"/>
      <c r="VKX138" s="8"/>
      <c r="VKY138" s="458"/>
      <c r="VKZ138" s="8"/>
      <c r="VLA138" s="8"/>
      <c r="VLB138" s="547"/>
      <c r="VLC138" s="547"/>
      <c r="VLD138" s="547"/>
      <c r="VLE138" s="547"/>
      <c r="VLF138" s="548"/>
      <c r="VLG138" s="547"/>
      <c r="VLH138" s="547"/>
      <c r="VLI138" s="547"/>
      <c r="VLJ138" s="547"/>
      <c r="VLK138" s="548"/>
      <c r="VLL138" s="547"/>
      <c r="VLM138" s="547"/>
      <c r="VLN138" s="547"/>
      <c r="VLO138" s="547"/>
      <c r="VLP138" s="548"/>
      <c r="VLQ138" s="547"/>
      <c r="VLR138" s="547"/>
      <c r="VLS138" s="547"/>
      <c r="VLT138" s="552"/>
      <c r="VLU138" s="548"/>
      <c r="VLV138" s="552"/>
      <c r="VLW138" s="552"/>
      <c r="VLX138" s="552"/>
      <c r="VLY138" s="552"/>
      <c r="VLZ138" s="548"/>
      <c r="VMA138" s="553"/>
      <c r="VMB138" s="553"/>
      <c r="VMC138" s="553"/>
      <c r="VMD138" s="8"/>
      <c r="VME138" s="8"/>
      <c r="VMF138" s="458"/>
      <c r="VMG138" s="8"/>
      <c r="VMH138" s="8"/>
      <c r="VMI138" s="547"/>
      <c r="VMJ138" s="547"/>
      <c r="VMK138" s="547"/>
      <c r="VML138" s="547"/>
      <c r="VMM138" s="548"/>
      <c r="VMN138" s="547"/>
      <c r="VMO138" s="547"/>
      <c r="VMP138" s="547"/>
      <c r="VMQ138" s="547"/>
      <c r="VMR138" s="548"/>
      <c r="VMS138" s="547"/>
      <c r="VMT138" s="547"/>
      <c r="VMU138" s="547"/>
      <c r="VMV138" s="547"/>
      <c r="VMW138" s="548"/>
      <c r="VMX138" s="547"/>
      <c r="VMY138" s="547"/>
      <c r="VMZ138" s="547"/>
      <c r="VNA138" s="552"/>
      <c r="VNB138" s="548"/>
      <c r="VNC138" s="552"/>
      <c r="VND138" s="552"/>
      <c r="VNE138" s="552"/>
      <c r="VNF138" s="552"/>
      <c r="VNG138" s="548"/>
      <c r="VNH138" s="553"/>
      <c r="VNI138" s="553"/>
      <c r="VNJ138" s="553"/>
      <c r="VNK138" s="8"/>
      <c r="VNL138" s="8"/>
      <c r="VNM138" s="458"/>
      <c r="VNN138" s="8"/>
      <c r="VNO138" s="8"/>
      <c r="VNP138" s="547"/>
      <c r="VNQ138" s="547"/>
      <c r="VNR138" s="547"/>
      <c r="VNS138" s="547"/>
      <c r="VNT138" s="548"/>
      <c r="VNU138" s="547"/>
      <c r="VNV138" s="547"/>
      <c r="VNW138" s="547"/>
      <c r="VNX138" s="547"/>
      <c r="VNY138" s="548"/>
      <c r="VNZ138" s="547"/>
      <c r="VOA138" s="547"/>
      <c r="VOB138" s="547"/>
      <c r="VOC138" s="547"/>
      <c r="VOD138" s="548"/>
      <c r="VOE138" s="547"/>
      <c r="VOF138" s="547"/>
      <c r="VOG138" s="547"/>
      <c r="VOH138" s="552"/>
      <c r="VOI138" s="548"/>
      <c r="VOJ138" s="552"/>
      <c r="VOK138" s="552"/>
      <c r="VOL138" s="552"/>
      <c r="VOM138" s="552"/>
      <c r="VON138" s="548"/>
      <c r="VOO138" s="553"/>
      <c r="VOP138" s="553"/>
      <c r="VOQ138" s="553"/>
      <c r="VOR138" s="8"/>
      <c r="VOS138" s="8"/>
      <c r="VOT138" s="458"/>
      <c r="VOU138" s="8"/>
      <c r="VOV138" s="8"/>
      <c r="VOW138" s="547"/>
      <c r="VOX138" s="547"/>
      <c r="VOY138" s="547"/>
      <c r="VOZ138" s="547"/>
      <c r="VPA138" s="548"/>
      <c r="VPB138" s="547"/>
      <c r="VPC138" s="547"/>
      <c r="VPD138" s="547"/>
      <c r="VPE138" s="547"/>
      <c r="VPF138" s="548"/>
      <c r="VPG138" s="547"/>
      <c r="VPH138" s="547"/>
      <c r="VPI138" s="547"/>
      <c r="VPJ138" s="547"/>
      <c r="VPK138" s="548"/>
      <c r="VPL138" s="547"/>
      <c r="VPM138" s="547"/>
      <c r="VPN138" s="547"/>
      <c r="VPO138" s="552"/>
      <c r="VPP138" s="548"/>
      <c r="VPQ138" s="552"/>
      <c r="VPR138" s="552"/>
      <c r="VPS138" s="552"/>
      <c r="VPT138" s="552"/>
      <c r="VPU138" s="548"/>
      <c r="VPV138" s="553"/>
      <c r="VPW138" s="553"/>
      <c r="VPX138" s="553"/>
      <c r="VPY138" s="8"/>
      <c r="VPZ138" s="8"/>
      <c r="VQA138" s="458"/>
      <c r="VQB138" s="8"/>
      <c r="VQC138" s="8"/>
      <c r="VQD138" s="547"/>
      <c r="VQE138" s="547"/>
      <c r="VQF138" s="547"/>
      <c r="VQG138" s="547"/>
      <c r="VQH138" s="548"/>
      <c r="VQI138" s="547"/>
      <c r="VQJ138" s="547"/>
      <c r="VQK138" s="547"/>
      <c r="VQL138" s="547"/>
      <c r="VQM138" s="548"/>
      <c r="VQN138" s="547"/>
      <c r="VQO138" s="547"/>
      <c r="VQP138" s="547"/>
      <c r="VQQ138" s="547"/>
      <c r="VQR138" s="548"/>
      <c r="VQS138" s="547"/>
      <c r="VQT138" s="547"/>
      <c r="VQU138" s="547"/>
      <c r="VQV138" s="552"/>
      <c r="VQW138" s="548"/>
      <c r="VQX138" s="552"/>
      <c r="VQY138" s="552"/>
      <c r="VQZ138" s="552"/>
      <c r="VRA138" s="552"/>
      <c r="VRB138" s="548"/>
      <c r="VRC138" s="553"/>
      <c r="VRD138" s="553"/>
      <c r="VRE138" s="553"/>
      <c r="VRF138" s="8"/>
      <c r="VRG138" s="8"/>
      <c r="VRH138" s="458"/>
      <c r="VRI138" s="8"/>
      <c r="VRJ138" s="8"/>
      <c r="VRK138" s="547"/>
      <c r="VRL138" s="547"/>
      <c r="VRM138" s="547"/>
      <c r="VRN138" s="547"/>
      <c r="VRO138" s="548"/>
      <c r="VRP138" s="547"/>
      <c r="VRQ138" s="547"/>
      <c r="VRR138" s="547"/>
      <c r="VRS138" s="547"/>
      <c r="VRT138" s="548"/>
      <c r="VRU138" s="547"/>
      <c r="VRV138" s="547"/>
      <c r="VRW138" s="547"/>
      <c r="VRX138" s="547"/>
      <c r="VRY138" s="548"/>
      <c r="VRZ138" s="547"/>
      <c r="VSA138" s="547"/>
      <c r="VSB138" s="547"/>
      <c r="VSC138" s="552"/>
      <c r="VSD138" s="548"/>
      <c r="VSE138" s="552"/>
      <c r="VSF138" s="552"/>
      <c r="VSG138" s="552"/>
      <c r="VSH138" s="552"/>
      <c r="VSI138" s="548"/>
      <c r="VSJ138" s="553"/>
      <c r="VSK138" s="553"/>
      <c r="VSL138" s="553"/>
      <c r="VSM138" s="8"/>
      <c r="VSN138" s="8"/>
      <c r="VSO138" s="458"/>
      <c r="VSP138" s="8"/>
      <c r="VSQ138" s="8"/>
      <c r="VSR138" s="547"/>
      <c r="VSS138" s="547"/>
      <c r="VST138" s="547"/>
      <c r="VSU138" s="547"/>
      <c r="VSV138" s="548"/>
      <c r="VSW138" s="547"/>
      <c r="VSX138" s="547"/>
      <c r="VSY138" s="547"/>
      <c r="VSZ138" s="547"/>
      <c r="VTA138" s="548"/>
      <c r="VTB138" s="547"/>
      <c r="VTC138" s="547"/>
      <c r="VTD138" s="547"/>
      <c r="VTE138" s="547"/>
      <c r="VTF138" s="548"/>
      <c r="VTG138" s="547"/>
      <c r="VTH138" s="547"/>
      <c r="VTI138" s="547"/>
      <c r="VTJ138" s="552"/>
      <c r="VTK138" s="548"/>
      <c r="VTL138" s="552"/>
      <c r="VTM138" s="552"/>
      <c r="VTN138" s="552"/>
      <c r="VTO138" s="552"/>
      <c r="VTP138" s="548"/>
      <c r="VTQ138" s="553"/>
      <c r="VTR138" s="553"/>
      <c r="VTS138" s="553"/>
      <c r="VTT138" s="8"/>
      <c r="VTU138" s="8"/>
      <c r="VTV138" s="458"/>
      <c r="VTW138" s="8"/>
      <c r="VTX138" s="8"/>
      <c r="VTY138" s="547"/>
      <c r="VTZ138" s="547"/>
      <c r="VUA138" s="547"/>
      <c r="VUB138" s="547"/>
      <c r="VUC138" s="548"/>
      <c r="VUD138" s="547"/>
      <c r="VUE138" s="547"/>
      <c r="VUF138" s="547"/>
      <c r="VUG138" s="547"/>
      <c r="VUH138" s="548"/>
      <c r="VUI138" s="547"/>
      <c r="VUJ138" s="547"/>
      <c r="VUK138" s="547"/>
      <c r="VUL138" s="547"/>
      <c r="VUM138" s="548"/>
      <c r="VUN138" s="547"/>
      <c r="VUO138" s="547"/>
      <c r="VUP138" s="547"/>
      <c r="VUQ138" s="552"/>
      <c r="VUR138" s="548"/>
      <c r="VUS138" s="552"/>
      <c r="VUT138" s="552"/>
      <c r="VUU138" s="552"/>
      <c r="VUV138" s="552"/>
      <c r="VUW138" s="548"/>
      <c r="VUX138" s="553"/>
      <c r="VUY138" s="553"/>
      <c r="VUZ138" s="553"/>
      <c r="VVA138" s="8"/>
      <c r="VVB138" s="8"/>
      <c r="VVC138" s="458"/>
      <c r="VVD138" s="8"/>
      <c r="VVE138" s="8"/>
      <c r="VVF138" s="547"/>
      <c r="VVG138" s="547"/>
      <c r="VVH138" s="547"/>
      <c r="VVI138" s="547"/>
      <c r="VVJ138" s="548"/>
      <c r="VVK138" s="547"/>
      <c r="VVL138" s="547"/>
      <c r="VVM138" s="547"/>
      <c r="VVN138" s="547"/>
      <c r="VVO138" s="548"/>
      <c r="VVP138" s="547"/>
      <c r="VVQ138" s="547"/>
      <c r="VVR138" s="547"/>
      <c r="VVS138" s="547"/>
      <c r="VVT138" s="548"/>
      <c r="VVU138" s="547"/>
      <c r="VVV138" s="547"/>
      <c r="VVW138" s="547"/>
      <c r="VVX138" s="552"/>
      <c r="VVY138" s="548"/>
      <c r="VVZ138" s="552"/>
      <c r="VWA138" s="552"/>
      <c r="VWB138" s="552"/>
      <c r="VWC138" s="552"/>
      <c r="VWD138" s="548"/>
      <c r="VWE138" s="553"/>
      <c r="VWF138" s="553"/>
      <c r="VWG138" s="553"/>
      <c r="VWH138" s="8"/>
      <c r="VWI138" s="8"/>
      <c r="VWJ138" s="458"/>
      <c r="VWK138" s="8"/>
      <c r="VWL138" s="8"/>
      <c r="VWM138" s="547"/>
      <c r="VWN138" s="547"/>
      <c r="VWO138" s="547"/>
      <c r="VWP138" s="547"/>
      <c r="VWQ138" s="548"/>
      <c r="VWR138" s="547"/>
      <c r="VWS138" s="547"/>
      <c r="VWT138" s="547"/>
      <c r="VWU138" s="547"/>
      <c r="VWV138" s="548"/>
      <c r="VWW138" s="547"/>
      <c r="VWX138" s="547"/>
      <c r="VWY138" s="547"/>
      <c r="VWZ138" s="547"/>
      <c r="VXA138" s="548"/>
      <c r="VXB138" s="547"/>
      <c r="VXC138" s="547"/>
      <c r="VXD138" s="547"/>
      <c r="VXE138" s="552"/>
      <c r="VXF138" s="548"/>
      <c r="VXG138" s="552"/>
      <c r="VXH138" s="552"/>
      <c r="VXI138" s="552"/>
      <c r="VXJ138" s="552"/>
      <c r="VXK138" s="548"/>
      <c r="VXL138" s="553"/>
      <c r="VXM138" s="553"/>
      <c r="VXN138" s="553"/>
      <c r="VXO138" s="8"/>
      <c r="VXP138" s="8"/>
      <c r="VXQ138" s="458"/>
      <c r="VXR138" s="8"/>
      <c r="VXS138" s="8"/>
      <c r="VXT138" s="547"/>
      <c r="VXU138" s="547"/>
      <c r="VXV138" s="547"/>
      <c r="VXW138" s="547"/>
      <c r="VXX138" s="548"/>
      <c r="VXY138" s="547"/>
      <c r="VXZ138" s="547"/>
      <c r="VYA138" s="547"/>
      <c r="VYB138" s="547"/>
      <c r="VYC138" s="548"/>
      <c r="VYD138" s="547"/>
      <c r="VYE138" s="547"/>
      <c r="VYF138" s="547"/>
      <c r="VYG138" s="547"/>
      <c r="VYH138" s="548"/>
      <c r="VYI138" s="547"/>
      <c r="VYJ138" s="547"/>
      <c r="VYK138" s="547"/>
      <c r="VYL138" s="552"/>
      <c r="VYM138" s="548"/>
      <c r="VYN138" s="552"/>
      <c r="VYO138" s="552"/>
      <c r="VYP138" s="552"/>
      <c r="VYQ138" s="552"/>
      <c r="VYR138" s="548"/>
      <c r="VYS138" s="553"/>
      <c r="VYT138" s="553"/>
      <c r="VYU138" s="553"/>
      <c r="VYV138" s="8"/>
      <c r="VYW138" s="8"/>
      <c r="VYX138" s="458"/>
      <c r="VYY138" s="8"/>
      <c r="VYZ138" s="8"/>
      <c r="VZA138" s="547"/>
      <c r="VZB138" s="547"/>
      <c r="VZC138" s="547"/>
      <c r="VZD138" s="547"/>
      <c r="VZE138" s="548"/>
      <c r="VZF138" s="547"/>
      <c r="VZG138" s="547"/>
      <c r="VZH138" s="547"/>
      <c r="VZI138" s="547"/>
      <c r="VZJ138" s="548"/>
      <c r="VZK138" s="547"/>
      <c r="VZL138" s="547"/>
      <c r="VZM138" s="547"/>
      <c r="VZN138" s="547"/>
      <c r="VZO138" s="548"/>
      <c r="VZP138" s="547"/>
      <c r="VZQ138" s="547"/>
      <c r="VZR138" s="547"/>
      <c r="VZS138" s="552"/>
      <c r="VZT138" s="548"/>
      <c r="VZU138" s="552"/>
      <c r="VZV138" s="552"/>
      <c r="VZW138" s="552"/>
      <c r="VZX138" s="552"/>
      <c r="VZY138" s="548"/>
      <c r="VZZ138" s="553"/>
      <c r="WAA138" s="553"/>
      <c r="WAB138" s="553"/>
      <c r="WAC138" s="8"/>
      <c r="WAD138" s="8"/>
      <c r="WAE138" s="458"/>
      <c r="WAF138" s="8"/>
      <c r="WAG138" s="8"/>
      <c r="WAH138" s="547"/>
      <c r="WAI138" s="547"/>
      <c r="WAJ138" s="547"/>
      <c r="WAK138" s="547"/>
      <c r="WAL138" s="548"/>
      <c r="WAM138" s="547"/>
      <c r="WAN138" s="547"/>
      <c r="WAO138" s="547"/>
      <c r="WAP138" s="547"/>
      <c r="WAQ138" s="548"/>
      <c r="WAR138" s="547"/>
      <c r="WAS138" s="547"/>
      <c r="WAT138" s="547"/>
      <c r="WAU138" s="547"/>
      <c r="WAV138" s="548"/>
      <c r="WAW138" s="547"/>
      <c r="WAX138" s="547"/>
      <c r="WAY138" s="547"/>
      <c r="WAZ138" s="552"/>
      <c r="WBA138" s="548"/>
      <c r="WBB138" s="552"/>
      <c r="WBC138" s="552"/>
      <c r="WBD138" s="552"/>
      <c r="WBE138" s="552"/>
      <c r="WBF138" s="548"/>
      <c r="WBG138" s="553"/>
      <c r="WBH138" s="553"/>
      <c r="WBI138" s="553"/>
      <c r="WBJ138" s="8"/>
      <c r="WBK138" s="8"/>
      <c r="WBL138" s="458"/>
      <c r="WBM138" s="8"/>
      <c r="WBN138" s="8"/>
      <c r="WBO138" s="547"/>
      <c r="WBP138" s="547"/>
      <c r="WBQ138" s="547"/>
      <c r="WBR138" s="547"/>
      <c r="WBS138" s="548"/>
      <c r="WBT138" s="547"/>
      <c r="WBU138" s="547"/>
      <c r="WBV138" s="547"/>
      <c r="WBW138" s="547"/>
      <c r="WBX138" s="548"/>
      <c r="WBY138" s="547"/>
      <c r="WBZ138" s="547"/>
      <c r="WCA138" s="547"/>
      <c r="WCB138" s="547"/>
      <c r="WCC138" s="548"/>
      <c r="WCD138" s="547"/>
      <c r="WCE138" s="547"/>
      <c r="WCF138" s="547"/>
      <c r="WCG138" s="552"/>
      <c r="WCH138" s="548"/>
      <c r="WCI138" s="552"/>
      <c r="WCJ138" s="552"/>
      <c r="WCK138" s="552"/>
      <c r="WCL138" s="552"/>
      <c r="WCM138" s="548"/>
      <c r="WCN138" s="553"/>
      <c r="WCO138" s="553"/>
      <c r="WCP138" s="553"/>
      <c r="WCQ138" s="8"/>
      <c r="WCR138" s="8"/>
      <c r="WCS138" s="458"/>
      <c r="WCT138" s="8"/>
      <c r="WCU138" s="8"/>
      <c r="WCV138" s="547"/>
      <c r="WCW138" s="547"/>
      <c r="WCX138" s="547"/>
      <c r="WCY138" s="547"/>
      <c r="WCZ138" s="548"/>
      <c r="WDA138" s="547"/>
      <c r="WDB138" s="547"/>
      <c r="WDC138" s="547"/>
      <c r="WDD138" s="547"/>
      <c r="WDE138" s="548"/>
      <c r="WDF138" s="547"/>
      <c r="WDG138" s="547"/>
      <c r="WDH138" s="547"/>
      <c r="WDI138" s="547"/>
      <c r="WDJ138" s="548"/>
      <c r="WDK138" s="547"/>
      <c r="WDL138" s="547"/>
      <c r="WDM138" s="547"/>
      <c r="WDN138" s="552"/>
      <c r="WDO138" s="548"/>
      <c r="WDP138" s="552"/>
      <c r="WDQ138" s="552"/>
      <c r="WDR138" s="552"/>
      <c r="WDS138" s="552"/>
      <c r="WDT138" s="548"/>
      <c r="WDU138" s="553"/>
      <c r="WDV138" s="553"/>
      <c r="WDW138" s="553"/>
      <c r="WDX138" s="8"/>
      <c r="WDY138" s="8"/>
      <c r="WDZ138" s="458"/>
      <c r="WEA138" s="8"/>
      <c r="WEB138" s="8"/>
      <c r="WEC138" s="547"/>
      <c r="WED138" s="547"/>
      <c r="WEE138" s="547"/>
      <c r="WEF138" s="547"/>
      <c r="WEG138" s="548"/>
      <c r="WEH138" s="547"/>
      <c r="WEI138" s="547"/>
      <c r="WEJ138" s="547"/>
      <c r="WEK138" s="547"/>
      <c r="WEL138" s="548"/>
      <c r="WEM138" s="547"/>
      <c r="WEN138" s="547"/>
      <c r="WEO138" s="547"/>
      <c r="WEP138" s="547"/>
      <c r="WEQ138" s="548"/>
      <c r="WER138" s="547"/>
      <c r="WES138" s="547"/>
      <c r="WET138" s="547"/>
      <c r="WEU138" s="552"/>
      <c r="WEV138" s="548"/>
      <c r="WEW138" s="552"/>
      <c r="WEX138" s="552"/>
      <c r="WEY138" s="552"/>
      <c r="WEZ138" s="552"/>
      <c r="WFA138" s="548"/>
      <c r="WFB138" s="553"/>
      <c r="WFC138" s="553"/>
      <c r="WFD138" s="553"/>
      <c r="WFE138" s="8"/>
      <c r="WFF138" s="8"/>
      <c r="WFG138" s="458"/>
      <c r="WFH138" s="8"/>
      <c r="WFI138" s="8"/>
      <c r="WFJ138" s="547"/>
      <c r="WFK138" s="547"/>
      <c r="WFL138" s="547"/>
      <c r="WFM138" s="547"/>
      <c r="WFN138" s="548"/>
      <c r="WFO138" s="547"/>
      <c r="WFP138" s="547"/>
      <c r="WFQ138" s="547"/>
      <c r="WFR138" s="547"/>
      <c r="WFS138" s="548"/>
      <c r="WFT138" s="547"/>
      <c r="WFU138" s="547"/>
      <c r="WFV138" s="547"/>
      <c r="WFW138" s="547"/>
      <c r="WFX138" s="548"/>
      <c r="WFY138" s="547"/>
      <c r="WFZ138" s="547"/>
      <c r="WGA138" s="547"/>
      <c r="WGB138" s="552"/>
      <c r="WGC138" s="548"/>
      <c r="WGD138" s="552"/>
      <c r="WGE138" s="552"/>
      <c r="WGF138" s="552"/>
      <c r="WGG138" s="552"/>
      <c r="WGH138" s="548"/>
      <c r="WGI138" s="553"/>
      <c r="WGJ138" s="553"/>
      <c r="WGK138" s="553"/>
      <c r="WGL138" s="8"/>
      <c r="WGM138" s="8"/>
      <c r="WGN138" s="458"/>
      <c r="WGO138" s="8"/>
      <c r="WGP138" s="8"/>
      <c r="WGQ138" s="547"/>
      <c r="WGR138" s="547"/>
      <c r="WGS138" s="547"/>
      <c r="WGT138" s="547"/>
      <c r="WGU138" s="548"/>
      <c r="WGV138" s="547"/>
      <c r="WGW138" s="547"/>
      <c r="WGX138" s="547"/>
      <c r="WGY138" s="547"/>
      <c r="WGZ138" s="548"/>
      <c r="WHA138" s="547"/>
      <c r="WHB138" s="547"/>
      <c r="WHC138" s="547"/>
      <c r="WHD138" s="547"/>
      <c r="WHE138" s="548"/>
      <c r="WHF138" s="547"/>
      <c r="WHG138" s="547"/>
      <c r="WHH138" s="547"/>
      <c r="WHI138" s="552"/>
      <c r="WHJ138" s="548"/>
      <c r="WHK138" s="552"/>
      <c r="WHL138" s="552"/>
      <c r="WHM138" s="552"/>
      <c r="WHN138" s="552"/>
      <c r="WHO138" s="548"/>
      <c r="WHP138" s="553"/>
      <c r="WHQ138" s="553"/>
      <c r="WHR138" s="553"/>
      <c r="WHS138" s="8"/>
      <c r="WHT138" s="8"/>
      <c r="WHU138" s="458"/>
      <c r="WHV138" s="8"/>
      <c r="WHW138" s="8"/>
      <c r="WHX138" s="547"/>
      <c r="WHY138" s="547"/>
      <c r="WHZ138" s="547"/>
      <c r="WIA138" s="547"/>
      <c r="WIB138" s="548"/>
      <c r="WIC138" s="547"/>
      <c r="WID138" s="547"/>
      <c r="WIE138" s="547"/>
      <c r="WIF138" s="547"/>
      <c r="WIG138" s="548"/>
      <c r="WIH138" s="547"/>
      <c r="WII138" s="547"/>
      <c r="WIJ138" s="547"/>
      <c r="WIK138" s="547"/>
      <c r="WIL138" s="548"/>
      <c r="WIM138" s="547"/>
      <c r="WIN138" s="547"/>
      <c r="WIO138" s="547"/>
      <c r="WIP138" s="552"/>
      <c r="WIQ138" s="548"/>
      <c r="WIR138" s="552"/>
      <c r="WIS138" s="552"/>
      <c r="WIT138" s="552"/>
      <c r="WIU138" s="552"/>
      <c r="WIV138" s="548"/>
      <c r="WIW138" s="553"/>
      <c r="WIX138" s="553"/>
      <c r="WIY138" s="553"/>
      <c r="WIZ138" s="8"/>
      <c r="WJA138" s="8"/>
      <c r="WJB138" s="458"/>
      <c r="WJC138" s="8"/>
      <c r="WJD138" s="8"/>
      <c r="WJE138" s="547"/>
      <c r="WJF138" s="547"/>
      <c r="WJG138" s="547"/>
      <c r="WJH138" s="547"/>
      <c r="WJI138" s="548"/>
      <c r="WJJ138" s="547"/>
      <c r="WJK138" s="547"/>
      <c r="WJL138" s="547"/>
      <c r="WJM138" s="547"/>
      <c r="WJN138" s="548"/>
      <c r="WJO138" s="547"/>
      <c r="WJP138" s="547"/>
      <c r="WJQ138" s="547"/>
      <c r="WJR138" s="547"/>
      <c r="WJS138" s="548"/>
      <c r="WJT138" s="547"/>
      <c r="WJU138" s="547"/>
      <c r="WJV138" s="547"/>
      <c r="WJW138" s="552"/>
      <c r="WJX138" s="548"/>
      <c r="WJY138" s="552"/>
      <c r="WJZ138" s="552"/>
      <c r="WKA138" s="552"/>
      <c r="WKB138" s="552"/>
      <c r="WKC138" s="548"/>
      <c r="WKD138" s="553"/>
      <c r="WKE138" s="553"/>
      <c r="WKF138" s="553"/>
      <c r="WKG138" s="8"/>
      <c r="WKH138" s="8"/>
      <c r="WKI138" s="458"/>
      <c r="WKJ138" s="8"/>
      <c r="WKK138" s="8"/>
      <c r="WKL138" s="547"/>
      <c r="WKM138" s="547"/>
      <c r="WKN138" s="547"/>
      <c r="WKO138" s="547"/>
      <c r="WKP138" s="548"/>
      <c r="WKQ138" s="547"/>
      <c r="WKR138" s="547"/>
      <c r="WKS138" s="547"/>
      <c r="WKT138" s="547"/>
      <c r="WKU138" s="548"/>
      <c r="WKV138" s="547"/>
      <c r="WKW138" s="547"/>
      <c r="WKX138" s="547"/>
      <c r="WKY138" s="547"/>
      <c r="WKZ138" s="548"/>
      <c r="WLA138" s="547"/>
      <c r="WLB138" s="547"/>
      <c r="WLC138" s="547"/>
      <c r="WLD138" s="552"/>
      <c r="WLE138" s="548"/>
      <c r="WLF138" s="552"/>
      <c r="WLG138" s="552"/>
      <c r="WLH138" s="552"/>
      <c r="WLI138" s="552"/>
      <c r="WLJ138" s="548"/>
      <c r="WLK138" s="553"/>
      <c r="WLL138" s="553"/>
      <c r="WLM138" s="553"/>
      <c r="WLN138" s="8"/>
      <c r="WLO138" s="8"/>
      <c r="WLP138" s="458"/>
      <c r="WLQ138" s="8"/>
      <c r="WLR138" s="8"/>
      <c r="WLS138" s="547"/>
      <c r="WLT138" s="547"/>
      <c r="WLU138" s="547"/>
      <c r="WLV138" s="547"/>
      <c r="WLW138" s="548"/>
      <c r="WLX138" s="547"/>
      <c r="WLY138" s="547"/>
      <c r="WLZ138" s="547"/>
      <c r="WMA138" s="547"/>
      <c r="WMB138" s="548"/>
      <c r="WMC138" s="547"/>
      <c r="WMD138" s="547"/>
      <c r="WME138" s="547"/>
      <c r="WMF138" s="547"/>
      <c r="WMG138" s="548"/>
      <c r="WMH138" s="547"/>
      <c r="WMI138" s="547"/>
      <c r="WMJ138" s="547"/>
      <c r="WMK138" s="552"/>
      <c r="WML138" s="548"/>
      <c r="WMM138" s="552"/>
      <c r="WMN138" s="552"/>
      <c r="WMO138" s="552"/>
      <c r="WMP138" s="552"/>
      <c r="WMQ138" s="548"/>
      <c r="WMR138" s="553"/>
      <c r="WMS138" s="553"/>
      <c r="WMT138" s="553"/>
      <c r="WMU138" s="8"/>
      <c r="WMV138" s="8"/>
      <c r="WMW138" s="458"/>
      <c r="WMX138" s="8"/>
      <c r="WMY138" s="8"/>
      <c r="WMZ138" s="547"/>
      <c r="WNA138" s="547"/>
      <c r="WNB138" s="547"/>
      <c r="WNC138" s="547"/>
      <c r="WND138" s="548"/>
      <c r="WNE138" s="547"/>
      <c r="WNF138" s="547"/>
      <c r="WNG138" s="547"/>
      <c r="WNH138" s="547"/>
      <c r="WNI138" s="548"/>
      <c r="WNJ138" s="547"/>
      <c r="WNK138" s="547"/>
      <c r="WNL138" s="547"/>
      <c r="WNM138" s="547"/>
      <c r="WNN138" s="548"/>
      <c r="WNO138" s="547"/>
      <c r="WNP138" s="547"/>
      <c r="WNQ138" s="547"/>
      <c r="WNR138" s="552"/>
      <c r="WNS138" s="548"/>
      <c r="WNT138" s="552"/>
      <c r="WNU138" s="552"/>
      <c r="WNV138" s="552"/>
      <c r="WNW138" s="552"/>
      <c r="WNX138" s="548"/>
      <c r="WNY138" s="553"/>
      <c r="WNZ138" s="553"/>
      <c r="WOA138" s="553"/>
      <c r="WOB138" s="8"/>
      <c r="WOC138" s="8"/>
      <c r="WOD138" s="458"/>
      <c r="WOE138" s="8"/>
      <c r="WOF138" s="8"/>
      <c r="WOG138" s="547"/>
      <c r="WOH138" s="547"/>
      <c r="WOI138" s="547"/>
      <c r="WOJ138" s="547"/>
      <c r="WOK138" s="548"/>
      <c r="WOL138" s="547"/>
      <c r="WOM138" s="547"/>
      <c r="WON138" s="547"/>
      <c r="WOO138" s="547"/>
      <c r="WOP138" s="548"/>
      <c r="WOQ138" s="547"/>
      <c r="WOR138" s="547"/>
      <c r="WOS138" s="547"/>
      <c r="WOT138" s="547"/>
      <c r="WOU138" s="548"/>
      <c r="WOV138" s="547"/>
      <c r="WOW138" s="547"/>
      <c r="WOX138" s="547"/>
      <c r="WOY138" s="552"/>
      <c r="WOZ138" s="548"/>
      <c r="WPA138" s="552"/>
      <c r="WPB138" s="552"/>
      <c r="WPC138" s="552"/>
      <c r="WPD138" s="552"/>
      <c r="WPE138" s="548"/>
      <c r="WPF138" s="553"/>
      <c r="WPG138" s="553"/>
      <c r="WPH138" s="553"/>
      <c r="WPI138" s="8"/>
      <c r="WPJ138" s="8"/>
      <c r="WPK138" s="458"/>
      <c r="WPL138" s="8"/>
      <c r="WPM138" s="8"/>
      <c r="WPN138" s="547"/>
      <c r="WPO138" s="547"/>
      <c r="WPP138" s="547"/>
      <c r="WPQ138" s="547"/>
      <c r="WPR138" s="548"/>
      <c r="WPS138" s="547"/>
      <c r="WPT138" s="547"/>
      <c r="WPU138" s="547"/>
      <c r="WPV138" s="547"/>
      <c r="WPW138" s="548"/>
      <c r="WPX138" s="547"/>
      <c r="WPY138" s="547"/>
      <c r="WPZ138" s="547"/>
      <c r="WQA138" s="547"/>
      <c r="WQB138" s="548"/>
      <c r="WQC138" s="547"/>
      <c r="WQD138" s="547"/>
      <c r="WQE138" s="547"/>
      <c r="WQF138" s="552"/>
      <c r="WQG138" s="548"/>
      <c r="WQH138" s="552"/>
      <c r="WQI138" s="552"/>
      <c r="WQJ138" s="552"/>
      <c r="WQK138" s="552"/>
      <c r="WQL138" s="548"/>
      <c r="WQM138" s="553"/>
      <c r="WQN138" s="553"/>
      <c r="WQO138" s="553"/>
      <c r="WQP138" s="8"/>
      <c r="WQQ138" s="8"/>
      <c r="WQR138" s="458"/>
      <c r="WQS138" s="8"/>
      <c r="WQT138" s="8"/>
      <c r="WQU138" s="547"/>
      <c r="WQV138" s="547"/>
      <c r="WQW138" s="547"/>
      <c r="WQX138" s="547"/>
      <c r="WQY138" s="548"/>
      <c r="WQZ138" s="547"/>
      <c r="WRA138" s="547"/>
      <c r="WRB138" s="547"/>
      <c r="WRC138" s="547"/>
      <c r="WRD138" s="548"/>
      <c r="WRE138" s="547"/>
      <c r="WRF138" s="547"/>
      <c r="WRG138" s="547"/>
      <c r="WRH138" s="547"/>
      <c r="WRI138" s="548"/>
      <c r="WRJ138" s="547"/>
      <c r="WRK138" s="547"/>
      <c r="WRL138" s="547"/>
      <c r="WRM138" s="552"/>
      <c r="WRN138" s="548"/>
      <c r="WRO138" s="552"/>
      <c r="WRP138" s="552"/>
      <c r="WRQ138" s="552"/>
      <c r="WRR138" s="552"/>
      <c r="WRS138" s="548"/>
      <c r="WRT138" s="553"/>
      <c r="WRU138" s="553"/>
      <c r="WRV138" s="553"/>
      <c r="WRW138" s="8"/>
      <c r="WRX138" s="8"/>
      <c r="WRY138" s="458"/>
      <c r="WRZ138" s="8"/>
      <c r="WSA138" s="8"/>
      <c r="WSB138" s="547"/>
      <c r="WSC138" s="547"/>
      <c r="WSD138" s="547"/>
      <c r="WSE138" s="547"/>
      <c r="WSF138" s="548"/>
      <c r="WSG138" s="547"/>
      <c r="WSH138" s="547"/>
      <c r="WSI138" s="547"/>
      <c r="WSJ138" s="547"/>
      <c r="WSK138" s="548"/>
      <c r="WSL138" s="547"/>
      <c r="WSM138" s="547"/>
      <c r="WSN138" s="547"/>
      <c r="WSO138" s="547"/>
      <c r="WSP138" s="548"/>
      <c r="WSQ138" s="547"/>
      <c r="WSR138" s="547"/>
      <c r="WSS138" s="547"/>
      <c r="WST138" s="552"/>
      <c r="WSU138" s="548"/>
      <c r="WSV138" s="552"/>
      <c r="WSW138" s="552"/>
      <c r="WSX138" s="552"/>
      <c r="WSY138" s="552"/>
      <c r="WSZ138" s="548"/>
      <c r="WTA138" s="553"/>
      <c r="WTB138" s="553"/>
      <c r="WTC138" s="553"/>
      <c r="WTD138" s="8"/>
      <c r="WTE138" s="8"/>
      <c r="WTF138" s="458"/>
      <c r="WTG138" s="8"/>
      <c r="WTH138" s="8"/>
      <c r="WTI138" s="547"/>
      <c r="WTJ138" s="547"/>
      <c r="WTK138" s="547"/>
      <c r="WTL138" s="547"/>
      <c r="WTM138" s="548"/>
      <c r="WTN138" s="547"/>
      <c r="WTO138" s="547"/>
      <c r="WTP138" s="547"/>
      <c r="WTQ138" s="547"/>
      <c r="WTR138" s="548"/>
      <c r="WTS138" s="547"/>
      <c r="WTT138" s="547"/>
      <c r="WTU138" s="547"/>
      <c r="WTV138" s="547"/>
      <c r="WTW138" s="548"/>
      <c r="WTX138" s="547"/>
      <c r="WTY138" s="547"/>
      <c r="WTZ138" s="547"/>
      <c r="WUA138" s="552"/>
      <c r="WUB138" s="548"/>
      <c r="WUC138" s="552"/>
      <c r="WUD138" s="552"/>
      <c r="WUE138" s="552"/>
      <c r="WUF138" s="552"/>
      <c r="WUG138" s="548"/>
      <c r="WUH138" s="553"/>
      <c r="WUI138" s="553"/>
      <c r="WUJ138" s="553"/>
      <c r="WUK138" s="8"/>
      <c r="WUL138" s="8"/>
      <c r="WUM138" s="458"/>
      <c r="WUN138" s="8"/>
      <c r="WUO138" s="8"/>
      <c r="WUP138" s="547"/>
      <c r="WUQ138" s="547"/>
      <c r="WUR138" s="547"/>
      <c r="WUS138" s="547"/>
      <c r="WUT138" s="548"/>
      <c r="WUU138" s="547"/>
      <c r="WUV138" s="547"/>
      <c r="WUW138" s="547"/>
      <c r="WUX138" s="547"/>
      <c r="WUY138" s="548"/>
      <c r="WUZ138" s="547"/>
      <c r="WVA138" s="547"/>
      <c r="WVB138" s="547"/>
      <c r="WVC138" s="547"/>
      <c r="WVD138" s="548"/>
      <c r="WVE138" s="547"/>
      <c r="WVF138" s="547"/>
      <c r="WVG138" s="547"/>
      <c r="WVH138" s="552"/>
      <c r="WVI138" s="548"/>
      <c r="WVJ138" s="552"/>
      <c r="WVK138" s="552"/>
      <c r="WVL138" s="552"/>
      <c r="WVM138" s="552"/>
      <c r="WVN138" s="548"/>
      <c r="WVO138" s="553"/>
      <c r="WVP138" s="553"/>
      <c r="WVQ138" s="553"/>
      <c r="WVR138" s="8"/>
      <c r="WVS138" s="8"/>
      <c r="WVT138" s="458"/>
      <c r="WVU138" s="8"/>
      <c r="WVV138" s="8"/>
      <c r="WVW138" s="547"/>
      <c r="WVX138" s="547"/>
      <c r="WVY138" s="547"/>
      <c r="WVZ138" s="547"/>
      <c r="WWA138" s="548"/>
      <c r="WWB138" s="547"/>
      <c r="WWC138" s="547"/>
      <c r="WWD138" s="547"/>
      <c r="WWE138" s="547"/>
      <c r="WWF138" s="548"/>
      <c r="WWG138" s="547"/>
      <c r="WWH138" s="547"/>
      <c r="WWI138" s="547"/>
      <c r="WWJ138" s="547"/>
      <c r="WWK138" s="548"/>
      <c r="WWL138" s="547"/>
      <c r="WWM138" s="547"/>
      <c r="WWN138" s="547"/>
      <c r="WWO138" s="552"/>
      <c r="WWP138" s="548"/>
      <c r="WWQ138" s="552"/>
      <c r="WWR138" s="552"/>
      <c r="WWS138" s="552"/>
      <c r="WWT138" s="552"/>
      <c r="WWU138" s="548"/>
      <c r="WWV138" s="553"/>
      <c r="WWW138" s="553"/>
      <c r="WWX138" s="553"/>
      <c r="WWY138" s="8"/>
      <c r="WWZ138" s="8"/>
      <c r="WXA138" s="458"/>
      <c r="WXB138" s="8"/>
      <c r="WXC138" s="8"/>
      <c r="WXD138" s="547"/>
      <c r="WXE138" s="547"/>
      <c r="WXF138" s="547"/>
      <c r="WXG138" s="547"/>
      <c r="WXH138" s="548"/>
      <c r="WXI138" s="547"/>
      <c r="WXJ138" s="547"/>
      <c r="WXK138" s="547"/>
      <c r="WXL138" s="547"/>
      <c r="WXM138" s="548"/>
      <c r="WXN138" s="547"/>
      <c r="WXO138" s="547"/>
      <c r="WXP138" s="547"/>
      <c r="WXQ138" s="547"/>
      <c r="WXR138" s="548"/>
      <c r="WXS138" s="547"/>
      <c r="WXT138" s="547"/>
      <c r="WXU138" s="547"/>
      <c r="WXV138" s="552"/>
      <c r="WXW138" s="548"/>
      <c r="WXX138" s="552"/>
      <c r="WXY138" s="552"/>
      <c r="WXZ138" s="552"/>
      <c r="WYA138" s="552"/>
      <c r="WYB138" s="548"/>
      <c r="WYC138" s="553"/>
      <c r="WYD138" s="553"/>
      <c r="WYE138" s="553"/>
      <c r="WYF138" s="8"/>
      <c r="WYG138" s="8"/>
      <c r="WYH138" s="458"/>
      <c r="WYI138" s="8"/>
      <c r="WYJ138" s="8"/>
      <c r="WYK138" s="547"/>
      <c r="WYL138" s="547"/>
      <c r="WYM138" s="547"/>
      <c r="WYN138" s="547"/>
      <c r="WYO138" s="548"/>
      <c r="WYP138" s="547"/>
      <c r="WYQ138" s="547"/>
      <c r="WYR138" s="547"/>
      <c r="WYS138" s="547"/>
      <c r="WYT138" s="548"/>
      <c r="WYU138" s="547"/>
      <c r="WYV138" s="547"/>
      <c r="WYW138" s="547"/>
      <c r="WYX138" s="547"/>
      <c r="WYY138" s="548"/>
      <c r="WYZ138" s="547"/>
      <c r="WZA138" s="547"/>
      <c r="WZB138" s="547"/>
      <c r="WZC138" s="552"/>
      <c r="WZD138" s="548"/>
      <c r="WZE138" s="552"/>
      <c r="WZF138" s="552"/>
      <c r="WZG138" s="552"/>
      <c r="WZH138" s="552"/>
      <c r="WZI138" s="548"/>
      <c r="WZJ138" s="553"/>
      <c r="WZK138" s="553"/>
      <c r="WZL138" s="553"/>
      <c r="WZM138" s="8"/>
      <c r="WZN138" s="8"/>
      <c r="WZO138" s="458"/>
      <c r="WZP138" s="8"/>
      <c r="WZQ138" s="8"/>
      <c r="WZR138" s="547"/>
      <c r="WZS138" s="547"/>
      <c r="WZT138" s="547"/>
      <c r="WZU138" s="547"/>
      <c r="WZV138" s="548"/>
      <c r="WZW138" s="547"/>
      <c r="WZX138" s="547"/>
      <c r="WZY138" s="547"/>
      <c r="WZZ138" s="547"/>
      <c r="XAA138" s="548"/>
      <c r="XAB138" s="547"/>
      <c r="XAC138" s="547"/>
      <c r="XAD138" s="547"/>
      <c r="XAE138" s="547"/>
      <c r="XAF138" s="548"/>
      <c r="XAG138" s="547"/>
      <c r="XAH138" s="547"/>
      <c r="XAI138" s="547"/>
      <c r="XAJ138" s="552"/>
      <c r="XAK138" s="548"/>
      <c r="XAL138" s="552"/>
      <c r="XAM138" s="552"/>
      <c r="XAN138" s="552"/>
      <c r="XAO138" s="552"/>
      <c r="XAP138" s="548"/>
      <c r="XAQ138" s="553"/>
      <c r="XAR138" s="553"/>
      <c r="XAS138" s="553"/>
      <c r="XAT138" s="8"/>
      <c r="XAU138" s="8"/>
      <c r="XAV138" s="458"/>
      <c r="XAW138" s="8"/>
      <c r="XAX138" s="8"/>
      <c r="XAY138" s="547"/>
      <c r="XAZ138" s="547"/>
      <c r="XBA138" s="547"/>
      <c r="XBB138" s="547"/>
      <c r="XBC138" s="548"/>
      <c r="XBD138" s="547"/>
      <c r="XBE138" s="547"/>
      <c r="XBF138" s="547"/>
      <c r="XBG138" s="547"/>
      <c r="XBH138" s="548"/>
      <c r="XBI138" s="547"/>
      <c r="XBJ138" s="547"/>
      <c r="XBK138" s="547"/>
      <c r="XBL138" s="547"/>
      <c r="XBM138" s="548"/>
      <c r="XBN138" s="547"/>
      <c r="XBO138" s="547"/>
      <c r="XBP138" s="547"/>
      <c r="XBQ138" s="552"/>
      <c r="XBR138" s="548"/>
      <c r="XBS138" s="552"/>
      <c r="XBT138" s="552"/>
      <c r="XBU138" s="552"/>
      <c r="XBV138" s="552"/>
      <c r="XBW138" s="548"/>
      <c r="XBX138" s="553"/>
      <c r="XBY138" s="553"/>
      <c r="XBZ138" s="553"/>
      <c r="XCA138" s="8"/>
      <c r="XCB138" s="8"/>
      <c r="XCC138" s="458"/>
      <c r="XCD138" s="8"/>
      <c r="XCE138" s="8"/>
      <c r="XCF138" s="547"/>
      <c r="XCG138" s="547"/>
      <c r="XCH138" s="547"/>
      <c r="XCI138" s="547"/>
      <c r="XCJ138" s="548"/>
      <c r="XCK138" s="547"/>
      <c r="XCL138" s="547"/>
      <c r="XCM138" s="547"/>
      <c r="XCN138" s="547"/>
      <c r="XCO138" s="548"/>
      <c r="XCP138" s="547"/>
      <c r="XCQ138" s="547"/>
      <c r="XCR138" s="547"/>
      <c r="XCS138" s="547"/>
      <c r="XCT138" s="548"/>
      <c r="XCU138" s="547"/>
      <c r="XCV138" s="547"/>
      <c r="XCW138" s="547"/>
      <c r="XCX138" s="552"/>
      <c r="XCY138" s="548"/>
      <c r="XCZ138" s="552"/>
      <c r="XDA138" s="552"/>
      <c r="XDB138" s="552"/>
      <c r="XDC138" s="552"/>
      <c r="XDD138" s="548"/>
      <c r="XDE138" s="553"/>
      <c r="XDF138" s="553"/>
      <c r="XDG138" s="553"/>
      <c r="XDH138" s="8"/>
      <c r="XDI138" s="8"/>
      <c r="XDJ138" s="458"/>
      <c r="XDK138" s="8"/>
      <c r="XDL138" s="8"/>
      <c r="XDM138" s="547"/>
      <c r="XDN138" s="547"/>
      <c r="XDO138" s="547"/>
      <c r="XDP138" s="547"/>
      <c r="XDQ138" s="548"/>
      <c r="XDR138" s="547"/>
      <c r="XDS138" s="547"/>
      <c r="XDT138" s="547"/>
      <c r="XDU138" s="547"/>
      <c r="XDV138" s="548"/>
      <c r="XDW138" s="547"/>
      <c r="XDX138" s="547"/>
      <c r="XDY138" s="547"/>
      <c r="XDZ138" s="547"/>
      <c r="XEA138" s="548"/>
      <c r="XEB138" s="547"/>
      <c r="XEC138" s="547"/>
      <c r="XED138" s="547"/>
      <c r="XEE138" s="552"/>
      <c r="XEF138" s="548"/>
      <c r="XEG138" s="552"/>
      <c r="XEH138" s="552"/>
      <c r="XEI138" s="552"/>
      <c r="XEJ138" s="552"/>
      <c r="XEK138" s="548"/>
      <c r="XEL138" s="553"/>
      <c r="XEM138" s="553"/>
      <c r="XEN138" s="553"/>
      <c r="XEO138" s="8"/>
      <c r="XEP138" s="8"/>
      <c r="XEQ138" s="458"/>
      <c r="XER138" s="8"/>
      <c r="XES138" s="8"/>
      <c r="XET138" s="547"/>
      <c r="XEU138" s="547"/>
      <c r="XEV138" s="547"/>
      <c r="XEW138" s="547"/>
      <c r="XEX138" s="548"/>
      <c r="XEY138" s="547"/>
      <c r="XEZ138" s="547"/>
      <c r="XFA138" s="547"/>
      <c r="XFB138" s="547"/>
      <c r="XFC138" s="548"/>
      <c r="XFD138" s="547"/>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t="e">
        <f>Model!F189</f>
        <v>#DIV/0!</v>
      </c>
      <c r="G140" s="384" t="e">
        <f>Model!G189</f>
        <v>#DIV/0!</v>
      </c>
      <c r="H140" s="384" t="e">
        <f>Model!H189</f>
        <v>#DIV/0!</v>
      </c>
      <c r="I140" s="384" t="e">
        <f>Model!I189</f>
        <v>#DIV/0!</v>
      </c>
      <c r="J140" s="385" t="e">
        <f>Model!J189</f>
        <v>#DIV/0!</v>
      </c>
      <c r="K140" s="384" t="e">
        <f>Model!K189</f>
        <v>#DIV/0!</v>
      </c>
      <c r="L140" s="384" t="e">
        <f>Model!L189</f>
        <v>#DIV/0!</v>
      </c>
      <c r="M140" s="384" t="e">
        <f>Model!M189</f>
        <v>#DIV/0!</v>
      </c>
      <c r="N140" s="384" t="e">
        <f>Model!N189</f>
        <v>#DIV/0!</v>
      </c>
      <c r="O140" s="385" t="e">
        <f>Model!O189</f>
        <v>#DIV/0!</v>
      </c>
      <c r="P140" s="384" t="e">
        <f>Model!P189</f>
        <v>#DIV/0!</v>
      </c>
      <c r="Q140" s="384" t="e">
        <f>Model!Q189</f>
        <v>#DIV/0!</v>
      </c>
      <c r="R140" s="384" t="e">
        <f>Model!R189</f>
        <v>#DIV/0!</v>
      </c>
      <c r="S140" s="384" t="e">
        <f>Model!S189</f>
        <v>#DIV/0!</v>
      </c>
      <c r="T140" s="385" t="e">
        <f>Model!T189</f>
        <v>#DIV/0!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t="e">
        <f>Model!Y189</f>
        <v>#DIV/0!</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t="e">
        <f>Model!AD189</f>
        <v>#DIV/0!</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50">
        <v>2.8</v>
      </c>
      <c r="V142" s="550">
        <v>2.75</v>
      </c>
      <c r="W142" s="550">
        <v>2.5</v>
      </c>
      <c r="X142" s="550">
        <v>2.65</v>
      </c>
      <c r="Y142" s="385"/>
      <c r="Z142" s="550">
        <v>2.8</v>
      </c>
      <c r="AA142" s="550">
        <v>2.75</v>
      </c>
      <c r="AB142" s="550">
        <v>2.5</v>
      </c>
      <c r="AC142" s="550">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t="e">
        <f>Model!F190</f>
        <v>#DIV/0!</v>
      </c>
      <c r="G145" s="384" t="e">
        <f>Model!G190</f>
        <v>#DIV/0!</v>
      </c>
      <c r="H145" s="384" t="e">
        <f>Model!H190</f>
        <v>#DIV/0!</v>
      </c>
      <c r="I145" s="384" t="e">
        <f>Model!I190</f>
        <v>#DIV/0!</v>
      </c>
      <c r="J145" s="385" t="e">
        <f>Model!J190</f>
        <v>#DIV/0!</v>
      </c>
      <c r="K145" s="384" t="e">
        <f>Model!K190</f>
        <v>#DIV/0!</v>
      </c>
      <c r="L145" s="384" t="e">
        <f>Model!L190</f>
        <v>#DIV/0!</v>
      </c>
      <c r="M145" s="384" t="e">
        <f>Model!M190</f>
        <v>#DIV/0!</v>
      </c>
      <c r="N145" s="384" t="e">
        <f>Model!N190</f>
        <v>#DIV/0!</v>
      </c>
      <c r="O145" s="385" t="e">
        <f>Model!O190</f>
        <v>#DIV/0!</v>
      </c>
      <c r="P145" s="384" t="e">
        <f>Model!P190</f>
        <v>#DIV/0!</v>
      </c>
      <c r="Q145" s="384" t="e">
        <f>Model!Q190</f>
        <v>#DIV/0!</v>
      </c>
      <c r="R145" s="384" t="e">
        <f>Model!R190</f>
        <v>#DIV/0!</v>
      </c>
      <c r="S145" s="384" t="e">
        <f>Model!S190</f>
        <v>#DIV/0!</v>
      </c>
      <c r="T145" s="385" t="e">
        <f>Model!T190</f>
        <v>#DIV/0!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t="e">
        <f>Model!Y190</f>
        <v>#DIV/0!</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t="e">
        <f>Model!AD190</f>
        <v>#DIV/0!</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t="e">
        <f>Model!F191</f>
        <v>#DIV/0!</v>
      </c>
      <c r="G150" s="384" t="e">
        <f>Model!G191</f>
        <v>#DIV/0!</v>
      </c>
      <c r="H150" s="384" t="e">
        <f>Model!H191</f>
        <v>#DIV/0!</v>
      </c>
      <c r="I150" s="384" t="e">
        <f>Model!I191</f>
        <v>#DIV/0!</v>
      </c>
      <c r="J150" s="385" t="e">
        <f>Model!J191</f>
        <v>#DIV/0!</v>
      </c>
      <c r="K150" s="384" t="e">
        <f>Model!K191</f>
        <v>#DIV/0!</v>
      </c>
      <c r="L150" s="384" t="e">
        <f>Model!L191</f>
        <v>#DIV/0!</v>
      </c>
      <c r="M150" s="384" t="e">
        <f>Model!M191</f>
        <v>#DIV/0!</v>
      </c>
      <c r="N150" s="384" t="e">
        <f>Model!N191</f>
        <v>#DIV/0!</v>
      </c>
      <c r="O150" s="385" t="e">
        <f>Model!O191</f>
        <v>#DIV/0!</v>
      </c>
      <c r="P150" s="384" t="e">
        <f>Model!P191</f>
        <v>#DIV/0!</v>
      </c>
      <c r="Q150" s="384" t="e">
        <f>Model!Q191</f>
        <v>#DIV/0!</v>
      </c>
      <c r="R150" s="384" t="e">
        <f>Model!R191</f>
        <v>#DIV/0!</v>
      </c>
      <c r="S150" s="384" t="e">
        <f>Model!S191</f>
        <v>#DIV/0!</v>
      </c>
      <c r="T150" s="385" t="e">
        <f>Model!T191</f>
        <v>#DIV/0!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t="e">
        <f>Model!Y191</f>
        <v>#DIV/0!</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t="e">
        <f>Model!AD191</f>
        <v>#DIV/0!</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5" t="s">
        <v>474</v>
      </c>
      <c r="D155" s="536"/>
      <c r="E155" s="536"/>
      <c r="F155" s="537"/>
      <c r="G155" s="538"/>
      <c r="H155" s="538"/>
      <c r="I155" s="538"/>
      <c r="J155" s="538"/>
      <c r="K155" s="538"/>
      <c r="L155" s="538"/>
      <c r="M155" s="538"/>
      <c r="N155" s="538"/>
      <c r="O155" s="538"/>
      <c r="P155" s="538"/>
      <c r="Q155" s="538"/>
      <c r="R155" s="538"/>
      <c r="S155" s="538"/>
      <c r="T155" s="538"/>
      <c r="U155" s="538"/>
      <c r="V155" s="538"/>
      <c r="W155" s="538"/>
      <c r="X155" s="538"/>
      <c r="Y155" s="538"/>
      <c r="Z155" s="538"/>
      <c r="AA155" s="538"/>
      <c r="AB155" s="538"/>
      <c r="AC155" s="538"/>
      <c r="AD155" s="538"/>
      <c r="AE155" s="538"/>
      <c r="AF155" s="538"/>
      <c r="AG155" s="539"/>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4">
        <f>IF(Case_Scenario="Bull",U158,IF(Case_Scenario="Base",U159,IF(Case_Scenario="bear",U160,"N/A")))</f>
        <v>250</v>
      </c>
      <c r="V157" s="554">
        <f>IF(Case_Scenario="Bull",V158,IF(Case_Scenario="Base",V159,IF(Case_Scenario="bear",V160,"N/A")))</f>
        <v>250</v>
      </c>
      <c r="W157" s="554">
        <f>IF(Case_Scenario="Bull",W158,IF(Case_Scenario="Base",W159,IF(Case_Scenario="bear",W160,"N/A")))</f>
        <v>250</v>
      </c>
      <c r="X157" s="554">
        <f>IF(Case_Scenario="Bull",X158,IF(Case_Scenario="Base",X159,IF(Case_Scenario="bear",X160,"N/A")))</f>
        <v>250</v>
      </c>
      <c r="Y157" s="279">
        <f>SUM(U157:X157)</f>
        <v>1000</v>
      </c>
      <c r="Z157" s="554">
        <f>IF(Case_Scenario="Bull",Z158,IF(Case_Scenario="Base",Z159,IF(Case_Scenario="bear",Z160,"N/A")))</f>
        <v>250</v>
      </c>
      <c r="AA157" s="554">
        <f>IF(Case_Scenario="Bull",AA158,IF(Case_Scenario="Base",AA159,IF(Case_Scenario="bear",AA160,"N/A")))</f>
        <v>250</v>
      </c>
      <c r="AB157" s="554">
        <f>IF(Case_Scenario="Bull",AB158,IF(Case_Scenario="Base",AB159,IF(Case_Scenario="bear",AB160,"N/A")))</f>
        <v>250</v>
      </c>
      <c r="AC157" s="554">
        <f>IF(Case_Scenario="Bull",AC158,IF(Case_Scenario="Base",AC159,IF(Case_Scenario="bear",AC160,"N/A")))</f>
        <v>250</v>
      </c>
      <c r="AD157" s="279">
        <f>SUM(Z157:AC157)</f>
        <v>1000</v>
      </c>
      <c r="AE157" s="555">
        <f>IF(Case_Scenario="Bull",AE158,IF(Case_Scenario="Base",AE159,IF(Case_Scenario="bear",AE160,"N/A")))</f>
        <v>1500</v>
      </c>
      <c r="AF157" s="555">
        <f>IF(Case_Scenario="Bull",AF158,IF(Case_Scenario="Base",AF159,IF(Case_Scenario="bear",AF160,"N/A")))</f>
        <v>1500</v>
      </c>
      <c r="AG157" s="555">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6">
        <f>U159+500</f>
        <v>750</v>
      </c>
      <c r="V158" s="556">
        <f t="shared" ref="V158:X158" si="88">V159+500</f>
        <v>750</v>
      </c>
      <c r="W158" s="556">
        <f t="shared" si="88"/>
        <v>750</v>
      </c>
      <c r="X158" s="556">
        <f t="shared" si="88"/>
        <v>750</v>
      </c>
      <c r="Y158" s="385"/>
      <c r="Z158" s="556">
        <f>Z159+500</f>
        <v>750</v>
      </c>
      <c r="AA158" s="556">
        <f t="shared" ref="AA158:AC158" si="89">AA159+500</f>
        <v>750</v>
      </c>
      <c r="AB158" s="556">
        <f t="shared" si="89"/>
        <v>750</v>
      </c>
      <c r="AC158" s="556">
        <f t="shared" si="89"/>
        <v>750</v>
      </c>
      <c r="AD158" s="385"/>
      <c r="AE158" s="557">
        <f>AE159+500</f>
        <v>2000</v>
      </c>
      <c r="AF158" s="557">
        <f t="shared" ref="AF158:AG158" si="90">AF159+500</f>
        <v>2000</v>
      </c>
      <c r="AG158" s="557">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6">
        <v>250</v>
      </c>
      <c r="V159" s="556">
        <v>250</v>
      </c>
      <c r="W159" s="556">
        <v>250</v>
      </c>
      <c r="X159" s="556">
        <v>250</v>
      </c>
      <c r="Y159" s="385"/>
      <c r="Z159" s="556">
        <v>250</v>
      </c>
      <c r="AA159" s="556">
        <v>250</v>
      </c>
      <c r="AB159" s="556">
        <v>250</v>
      </c>
      <c r="AC159" s="556">
        <v>250</v>
      </c>
      <c r="AD159" s="385"/>
      <c r="AE159" s="557">
        <v>1500</v>
      </c>
      <c r="AF159" s="557">
        <v>1500</v>
      </c>
      <c r="AG159" s="557">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6">
        <f>U159-100</f>
        <v>150</v>
      </c>
      <c r="V160" s="556">
        <f t="shared" ref="V160:X160" si="91">V159-100</f>
        <v>150</v>
      </c>
      <c r="W160" s="556">
        <f t="shared" si="91"/>
        <v>150</v>
      </c>
      <c r="X160" s="556">
        <f t="shared" si="91"/>
        <v>150</v>
      </c>
      <c r="Y160" s="385"/>
      <c r="Z160" s="556">
        <f>Z159-100</f>
        <v>150</v>
      </c>
      <c r="AA160" s="556">
        <f t="shared" ref="AA160:AC160" si="92">AA159-100</f>
        <v>150</v>
      </c>
      <c r="AB160" s="556">
        <f t="shared" si="92"/>
        <v>150</v>
      </c>
      <c r="AC160" s="556">
        <f t="shared" si="92"/>
        <v>150</v>
      </c>
      <c r="AD160" s="385"/>
      <c r="AE160" s="557">
        <f>AE159-500</f>
        <v>1000</v>
      </c>
      <c r="AF160" s="557">
        <f t="shared" ref="AF160:AG160" si="93">AF159-500</f>
        <v>1000</v>
      </c>
      <c r="AG160" s="557">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6"/>
      <c r="V161" s="556"/>
      <c r="W161" s="556"/>
      <c r="X161" s="556"/>
      <c r="Y161" s="385"/>
      <c r="Z161" s="556"/>
      <c r="AA161" s="556"/>
      <c r="AB161" s="556"/>
      <c r="AC161" s="556"/>
      <c r="AD161" s="385"/>
      <c r="AE161" s="558"/>
      <c r="AF161" s="558"/>
      <c r="AG161" s="558"/>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9">
        <f>U164</f>
        <v>0</v>
      </c>
      <c r="V163" s="559">
        <f t="shared" ref="V163:X163" si="94">V164</f>
        <v>0</v>
      </c>
      <c r="W163" s="559">
        <f t="shared" si="94"/>
        <v>0</v>
      </c>
      <c r="X163" s="559">
        <f t="shared" si="94"/>
        <v>0</v>
      </c>
      <c r="Y163" s="385"/>
      <c r="Z163" s="559">
        <f>Z164</f>
        <v>0</v>
      </c>
      <c r="AA163" s="559">
        <f t="shared" ref="AA163:AC163" si="95">AA164</f>
        <v>0</v>
      </c>
      <c r="AB163" s="559">
        <f t="shared" si="95"/>
        <v>0</v>
      </c>
      <c r="AC163" s="559">
        <f t="shared" si="95"/>
        <v>0</v>
      </c>
      <c r="AD163" s="385"/>
      <c r="AE163" s="560">
        <f>AE164</f>
        <v>0</v>
      </c>
      <c r="AF163" s="560">
        <f t="shared" ref="AF163:AG163" si="96">AF164</f>
        <v>0</v>
      </c>
      <c r="AG163" s="560">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9">
        <v>0</v>
      </c>
      <c r="V164" s="559">
        <v>0</v>
      </c>
      <c r="W164" s="559">
        <v>0</v>
      </c>
      <c r="X164" s="559">
        <v>0</v>
      </c>
      <c r="Y164" s="385"/>
      <c r="Z164" s="559">
        <v>0</v>
      </c>
      <c r="AA164" s="559">
        <v>0</v>
      </c>
      <c r="AB164" s="559">
        <v>0</v>
      </c>
      <c r="AC164" s="559">
        <v>0</v>
      </c>
      <c r="AD164" s="385"/>
      <c r="AE164" s="560">
        <v>0</v>
      </c>
      <c r="AF164" s="560">
        <v>0</v>
      </c>
      <c r="AG164" s="560">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9">
        <f>U164</f>
        <v>0</v>
      </c>
      <c r="V165" s="559">
        <f t="shared" ref="V165:X165" si="97">V164</f>
        <v>0</v>
      </c>
      <c r="W165" s="559">
        <f t="shared" si="97"/>
        <v>0</v>
      </c>
      <c r="X165" s="559">
        <f t="shared" si="97"/>
        <v>0</v>
      </c>
      <c r="Y165" s="385"/>
      <c r="Z165" s="559">
        <f>Z164</f>
        <v>0</v>
      </c>
      <c r="AA165" s="559">
        <f t="shared" ref="AA165:AC165" si="98">AA164</f>
        <v>0</v>
      </c>
      <c r="AB165" s="559">
        <f t="shared" si="98"/>
        <v>0</v>
      </c>
      <c r="AC165" s="559">
        <f t="shared" si="98"/>
        <v>0</v>
      </c>
      <c r="AD165" s="385"/>
      <c r="AE165" s="560">
        <f>AE164</f>
        <v>0</v>
      </c>
      <c r="AF165" s="560">
        <f t="shared" ref="AF165:AG165" si="99">AF164</f>
        <v>0</v>
      </c>
      <c r="AG165" s="560">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9"/>
      <c r="V166" s="559"/>
      <c r="W166" s="559"/>
      <c r="X166" s="559"/>
      <c r="Y166" s="385"/>
      <c r="Z166" s="559"/>
      <c r="AA166" s="559"/>
      <c r="AB166" s="559"/>
      <c r="AC166" s="559"/>
      <c r="AD166" s="385"/>
      <c r="AE166" s="560"/>
      <c r="AF166" s="560"/>
      <c r="AG166" s="560"/>
      <c r="AH166" s="8"/>
      <c r="AI166" s="8"/>
    </row>
    <row r="167" ht="12.75" customHeight="1" spans="1:35" x14ac:dyDescent="0.25">
      <c r="A167" s="8"/>
      <c r="B167" s="8"/>
      <c r="C167" s="561"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2" t="s">
        <v>476</v>
      </c>
      <c r="D168" s="536"/>
      <c r="E168" s="536"/>
      <c r="F168" s="537"/>
      <c r="G168" s="538"/>
      <c r="H168" s="538"/>
      <c r="I168" s="538"/>
      <c r="J168" s="538"/>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9"/>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9"/>
      <c r="V169" s="559"/>
      <c r="W169" s="559"/>
      <c r="X169" s="559"/>
      <c r="Y169" s="385"/>
      <c r="Z169" s="559"/>
      <c r="AA169" s="559"/>
      <c r="AB169" s="559"/>
      <c r="AC169" s="559"/>
      <c r="AD169" s="385"/>
      <c r="AE169" s="560"/>
      <c r="AF169" s="560"/>
      <c r="AG169" s="560"/>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4">
        <f>IF(Case_Scenario="Bull",U171,IF(Case_Scenario="Base",U172,IF(Case_Scenario="bear",U173,"N/A")))</f>
        <v>40</v>
      </c>
      <c r="V170" s="554">
        <f>IF(Case_Scenario="Bull",V171,IF(Case_Scenario="Base",V172,IF(Case_Scenario="bear",V173,"N/A")))</f>
        <v>40</v>
      </c>
      <c r="W170" s="554">
        <f>IF(Case_Scenario="Bull",W171,IF(Case_Scenario="Base",W172,IF(Case_Scenario="bear",W173,"N/A")))</f>
        <v>40</v>
      </c>
      <c r="X170" s="554">
        <f>IF(Case_Scenario="Bull",X171,IF(Case_Scenario="Base",X172,IF(Case_Scenario="bear",X173,"N/A")))</f>
        <v>40</v>
      </c>
      <c r="Y170" s="279">
        <f>SUM(U170:X170)</f>
        <v>160</v>
      </c>
      <c r="Z170" s="554">
        <f>IF(Case_Scenario="Bull",Z171,IF(Case_Scenario="Base",Z172,IF(Case_Scenario="bear",Z173,"N/A")))</f>
        <v>40</v>
      </c>
      <c r="AA170" s="554">
        <f>IF(Case_Scenario="Bull",AA171,IF(Case_Scenario="Base",AA172,IF(Case_Scenario="bear",AA173,"N/A")))</f>
        <v>40</v>
      </c>
      <c r="AB170" s="554">
        <f>IF(Case_Scenario="Bull",AB171,IF(Case_Scenario="Base",AB172,IF(Case_Scenario="bear",AB173,"N/A")))</f>
        <v>40</v>
      </c>
      <c r="AC170" s="554">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6">
        <f>U172</f>
        <v>40</v>
      </c>
      <c r="V171" s="556">
        <f t="shared" ref="V171:X171" si="100">V172</f>
        <v>40</v>
      </c>
      <c r="W171" s="556">
        <f t="shared" si="100"/>
        <v>40</v>
      </c>
      <c r="X171" s="556">
        <f t="shared" si="100"/>
        <v>40</v>
      </c>
      <c r="Y171" s="385"/>
      <c r="Z171" s="556">
        <f>Z172</f>
        <v>40</v>
      </c>
      <c r="AA171" s="556">
        <f t="shared" ref="AA171:AC171" si="101">AA172</f>
        <v>40</v>
      </c>
      <c r="AB171" s="556">
        <f t="shared" si="101"/>
        <v>40</v>
      </c>
      <c r="AC171" s="556">
        <f t="shared" si="101"/>
        <v>40</v>
      </c>
      <c r="AD171" s="385"/>
      <c r="AE171" s="560">
        <f>AE172</f>
        <v>160</v>
      </c>
      <c r="AF171" s="560">
        <f t="shared" ref="AF171:AG171" si="102">AF172</f>
        <v>160</v>
      </c>
      <c r="AG171" s="560">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6">
        <v>40</v>
      </c>
      <c r="V172" s="556">
        <v>40</v>
      </c>
      <c r="W172" s="556">
        <v>40</v>
      </c>
      <c r="X172" s="556">
        <v>40</v>
      </c>
      <c r="Y172" s="385"/>
      <c r="Z172" s="556">
        <v>40</v>
      </c>
      <c r="AA172" s="556">
        <v>40</v>
      </c>
      <c r="AB172" s="556">
        <v>40</v>
      </c>
      <c r="AC172" s="556">
        <v>40</v>
      </c>
      <c r="AD172" s="385"/>
      <c r="AE172" s="560">
        <v>160</v>
      </c>
      <c r="AF172" s="560">
        <v>160</v>
      </c>
      <c r="AG172" s="560">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6">
        <f>U172</f>
        <v>40</v>
      </c>
      <c r="V173" s="556">
        <f t="shared" ref="V173:X173" si="103">V172</f>
        <v>40</v>
      </c>
      <c r="W173" s="556">
        <f t="shared" si="103"/>
        <v>40</v>
      </c>
      <c r="X173" s="556">
        <f t="shared" si="103"/>
        <v>40</v>
      </c>
      <c r="Y173" s="385"/>
      <c r="Z173" s="556">
        <f>Z172</f>
        <v>40</v>
      </c>
      <c r="AA173" s="556">
        <f t="shared" ref="AA173:AC173" si="104">AA172</f>
        <v>40</v>
      </c>
      <c r="AB173" s="556">
        <f t="shared" si="104"/>
        <v>40</v>
      </c>
      <c r="AC173" s="556">
        <f t="shared" si="104"/>
        <v>40</v>
      </c>
      <c r="AD173" s="385"/>
      <c r="AE173" s="560">
        <f>AE172</f>
        <v>160</v>
      </c>
      <c r="AF173" s="560">
        <f t="shared" ref="AF173:AG173" si="105">AF172</f>
        <v>160</v>
      </c>
      <c r="AG173" s="560">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3"/>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4"/>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5" t="str">
        <f>$G$80</f>
        <v>-</v>
      </c>
      <c r="AA4" s="14"/>
      <c r="AB4" s="14"/>
      <c r="AC4" s="14"/>
      <c r="AD4" s="14"/>
      <c r="AE4" s="14"/>
      <c r="AF4" s="14"/>
      <c r="AG4" s="14"/>
      <c r="AH4" s="14"/>
      <c r="AI4" s="14"/>
      <c r="AJ4" s="14"/>
      <c r="AK4" s="14"/>
      <c r="AL4" s="14"/>
      <c r="AM4" s="14"/>
      <c r="AN4" s="14"/>
      <c r="AO4" s="14"/>
      <c r="AP4" s="14"/>
      <c r="AQ4" s="14"/>
      <c r="AR4" s="15"/>
      <c r="AS4" s="4"/>
      <c r="AT4" s="4"/>
      <c r="AU4" s="40"/>
      <c r="AV4" s="565"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6"/>
      <c r="F5" s="566"/>
      <c r="G5" s="566"/>
      <c r="H5" s="566"/>
      <c r="I5" s="566"/>
      <c r="J5" s="566"/>
      <c r="K5" s="566"/>
      <c r="L5" s="197"/>
      <c r="M5" s="566"/>
      <c r="N5" s="566"/>
      <c r="O5" s="566"/>
      <c r="P5" s="197"/>
      <c r="Q5" s="566"/>
      <c r="R5" s="566"/>
      <c r="S5" s="566"/>
      <c r="T5" s="197"/>
      <c r="U5" s="566"/>
      <c r="V5" s="566"/>
      <c r="W5" s="8"/>
      <c r="X5" s="4"/>
      <c r="Y5" s="40"/>
      <c r="Z5" s="567"/>
      <c r="AA5" s="568"/>
      <c r="AB5" s="568"/>
      <c r="AC5" s="568"/>
      <c r="AD5" s="568"/>
      <c r="AE5" s="568"/>
      <c r="AF5" s="568"/>
      <c r="AG5" s="568"/>
      <c r="AH5" s="567"/>
      <c r="AI5" s="568"/>
      <c r="AJ5" s="568"/>
      <c r="AK5" s="568"/>
      <c r="AL5" s="567"/>
      <c r="AM5" s="568"/>
      <c r="AN5" s="568"/>
      <c r="AO5" s="568"/>
      <c r="AP5" s="567"/>
      <c r="AQ5" s="568"/>
      <c r="AR5" s="568"/>
      <c r="AS5" s="4"/>
      <c r="AT5" s="4"/>
      <c r="AU5" s="40"/>
      <c r="AV5" s="567"/>
      <c r="AW5" s="568"/>
      <c r="AX5" s="568"/>
      <c r="AY5" s="568"/>
      <c r="AZ5" s="568"/>
      <c r="BA5" s="568"/>
      <c r="BB5" s="568"/>
      <c r="BC5" s="568"/>
      <c r="BD5" s="567"/>
      <c r="BE5" s="568"/>
      <c r="BF5" s="568"/>
      <c r="BG5" s="568"/>
      <c r="BH5" s="567"/>
      <c r="BI5" s="568"/>
      <c r="BJ5" s="568"/>
      <c r="BK5" s="568"/>
      <c r="BL5" s="567"/>
      <c r="BM5" s="568"/>
      <c r="BN5" s="568"/>
    </row>
    <row r="6" spans="1:66" x14ac:dyDescent="0.25">
      <c r="A6" s="4"/>
      <c r="B6" s="4"/>
      <c r="C6" s="40"/>
      <c r="D6" s="8"/>
      <c r="E6" s="8"/>
      <c r="F6" s="8"/>
      <c r="G6" s="8"/>
      <c r="H6" s="8"/>
      <c r="I6" s="8"/>
      <c r="J6" s="8"/>
      <c r="K6" s="8"/>
      <c r="L6" s="8"/>
      <c r="M6" s="8"/>
      <c r="N6" s="8"/>
      <c r="O6" s="8"/>
      <c r="P6" s="8"/>
      <c r="Q6" s="569" t="s">
        <v>641</v>
      </c>
      <c r="R6" s="57"/>
      <c r="S6" s="57"/>
      <c r="T6" s="57"/>
      <c r="U6" s="8"/>
      <c r="V6" s="8"/>
      <c r="W6" s="8"/>
      <c r="X6" s="4"/>
      <c r="Y6" s="40"/>
      <c r="Z6" s="8"/>
      <c r="AA6" s="8"/>
      <c r="AB6" s="8"/>
      <c r="AC6" s="8"/>
      <c r="AD6" s="8"/>
      <c r="AE6" s="8"/>
      <c r="AF6" s="8"/>
      <c r="AG6" s="8"/>
      <c r="AH6" s="8"/>
      <c r="AI6" s="8"/>
      <c r="AJ6" s="8"/>
      <c r="AK6" s="8"/>
      <c r="AL6" s="8"/>
      <c r="AM6" s="569" t="s">
        <v>641</v>
      </c>
      <c r="AN6" s="57"/>
      <c r="AO6" s="57"/>
      <c r="AP6" s="57"/>
      <c r="AQ6" s="8"/>
      <c r="AR6" s="8"/>
      <c r="AS6" s="4"/>
      <c r="AT6" s="4"/>
      <c r="AU6" s="40"/>
      <c r="AV6" s="8"/>
      <c r="AW6" s="8"/>
      <c r="AX6" s="8"/>
      <c r="AY6" s="8"/>
      <c r="AZ6" s="8"/>
      <c r="BA6" s="8"/>
      <c r="BB6" s="8"/>
      <c r="BC6" s="8"/>
      <c r="BD6" s="8"/>
      <c r="BE6" s="8"/>
      <c r="BF6" s="8"/>
      <c r="BG6" s="8"/>
      <c r="BH6" s="8"/>
      <c r="BI6" s="569" t="s">
        <v>641</v>
      </c>
      <c r="BJ6" s="57"/>
      <c r="BK6" s="57"/>
      <c r="BL6" s="57"/>
      <c r="BM6" s="8"/>
      <c r="BN6" s="8"/>
    </row>
    <row r="7" spans="1:69" x14ac:dyDescent="0.25">
      <c r="A7" s="4"/>
      <c r="B7" s="4"/>
      <c r="C7" s="40"/>
      <c r="D7" s="75"/>
      <c r="E7" s="75"/>
      <c r="F7" s="75"/>
      <c r="G7" s="75" t="s">
        <v>642</v>
      </c>
      <c r="H7" s="75" t="s">
        <v>643</v>
      </c>
      <c r="I7" s="569" t="s">
        <v>644</v>
      </c>
      <c r="J7" s="57"/>
      <c r="K7" s="569" t="s">
        <v>388</v>
      </c>
      <c r="L7" s="57"/>
      <c r="M7" s="569" t="s">
        <v>110</v>
      </c>
      <c r="N7" s="57"/>
      <c r="O7" s="569" t="s">
        <v>645</v>
      </c>
      <c r="P7" s="57"/>
      <c r="Q7" s="569" t="s">
        <v>279</v>
      </c>
      <c r="R7" s="57"/>
      <c r="S7" s="569" t="s">
        <v>644</v>
      </c>
      <c r="T7" s="57"/>
      <c r="U7" s="569" t="s">
        <v>646</v>
      </c>
      <c r="V7" s="57"/>
      <c r="W7" s="8"/>
      <c r="X7" s="4"/>
      <c r="Y7" s="40"/>
      <c r="Z7" s="75"/>
      <c r="AA7" s="75"/>
      <c r="AB7" s="75"/>
      <c r="AC7" s="75"/>
      <c r="AD7" s="75"/>
      <c r="AE7" s="569"/>
      <c r="AF7" s="57"/>
      <c r="AG7" s="569"/>
      <c r="AH7" s="57"/>
      <c r="AI7" s="569"/>
      <c r="AJ7" s="57"/>
      <c r="AK7" s="569"/>
      <c r="AL7" s="57"/>
      <c r="AM7" s="569"/>
      <c r="AN7" s="57"/>
      <c r="AO7" s="569"/>
      <c r="AP7" s="57"/>
      <c r="AQ7" s="569"/>
      <c r="AR7" s="57"/>
      <c r="AS7" s="4"/>
      <c r="AT7" s="4"/>
      <c r="AU7" s="40"/>
      <c r="AV7" s="75"/>
      <c r="AW7" s="75"/>
      <c r="AX7" s="75"/>
      <c r="AY7" s="75"/>
      <c r="AZ7" s="75"/>
      <c r="BA7" s="569"/>
      <c r="BB7" s="57"/>
      <c r="BC7" s="569"/>
      <c r="BD7" s="57"/>
      <c r="BE7" s="569"/>
      <c r="BF7" s="57"/>
      <c r="BG7" s="569"/>
      <c r="BH7" s="57"/>
      <c r="BI7" s="569"/>
      <c r="BJ7" s="57"/>
      <c r="BK7" s="569"/>
      <c r="BL7" s="57"/>
      <c r="BM7" s="569"/>
      <c r="BN7" s="57"/>
    </row>
    <row r="8" spans="1:66" x14ac:dyDescent="0.25">
      <c r="A8" s="4"/>
      <c r="B8" s="4"/>
      <c r="C8" s="40"/>
      <c r="D8" s="131"/>
      <c r="E8" s="75"/>
      <c r="F8" s="569" t="s">
        <v>22</v>
      </c>
      <c r="G8" s="569" t="s">
        <v>647</v>
      </c>
      <c r="H8" s="569" t="s">
        <v>63</v>
      </c>
      <c r="I8" s="569" t="s">
        <v>648</v>
      </c>
      <c r="J8" s="570">
        <v>45686</v>
      </c>
      <c r="K8" s="569" t="s">
        <v>648</v>
      </c>
      <c r="L8" s="570">
        <v>45686</v>
      </c>
      <c r="M8" s="569" t="s">
        <v>648</v>
      </c>
      <c r="N8" s="570">
        <v>45686</v>
      </c>
      <c r="O8" s="569" t="s">
        <v>648</v>
      </c>
      <c r="P8" s="570">
        <v>45686</v>
      </c>
      <c r="Q8" s="569" t="s">
        <v>648</v>
      </c>
      <c r="R8" s="570">
        <v>45686</v>
      </c>
      <c r="S8" s="569" t="s">
        <v>648</v>
      </c>
      <c r="T8" s="570">
        <v>45686</v>
      </c>
      <c r="U8" s="569" t="s">
        <v>648</v>
      </c>
      <c r="V8" s="570">
        <v>45320</v>
      </c>
      <c r="W8" s="8"/>
      <c r="X8" s="4"/>
      <c r="Y8" s="40"/>
      <c r="Z8" s="131"/>
      <c r="AA8" s="75"/>
      <c r="AB8" s="569"/>
      <c r="AC8" s="569"/>
      <c r="AD8" s="569"/>
      <c r="AE8" s="569"/>
      <c r="AF8" s="570"/>
      <c r="AG8" s="569"/>
      <c r="AH8" s="570"/>
      <c r="AI8" s="569"/>
      <c r="AJ8" s="570"/>
      <c r="AK8" s="569"/>
      <c r="AL8" s="570"/>
      <c r="AM8" s="569"/>
      <c r="AN8" s="570"/>
      <c r="AO8" s="569"/>
      <c r="AP8" s="570"/>
      <c r="AQ8" s="569"/>
      <c r="AR8" s="570"/>
      <c r="AS8" s="4"/>
      <c r="AT8" s="4"/>
      <c r="AU8" s="40"/>
      <c r="AV8" s="131"/>
      <c r="AW8" s="75"/>
      <c r="AX8" s="569"/>
      <c r="AY8" s="569"/>
      <c r="AZ8" s="569"/>
      <c r="BA8" s="569"/>
      <c r="BB8" s="570"/>
      <c r="BC8" s="569"/>
      <c r="BD8" s="570"/>
      <c r="BE8" s="569"/>
      <c r="BF8" s="570"/>
      <c r="BG8" s="569"/>
      <c r="BH8" s="570"/>
      <c r="BI8" s="569"/>
      <c r="BJ8" s="570"/>
      <c r="BK8" s="569"/>
      <c r="BL8" s="570"/>
      <c r="BM8" s="569"/>
      <c r="BN8" s="570"/>
    </row>
    <row r="9" ht="4.5" customHeight="1" spans="1:66" x14ac:dyDescent="0.25">
      <c r="A9" s="4"/>
      <c r="B9" s="4"/>
      <c r="C9" s="40"/>
      <c r="D9" s="75"/>
      <c r="E9" s="75"/>
      <c r="F9" s="75"/>
      <c r="G9" s="75"/>
      <c r="H9" s="75"/>
      <c r="I9" s="571"/>
      <c r="J9" s="75"/>
      <c r="K9" s="75"/>
      <c r="L9" s="75"/>
      <c r="M9" s="75"/>
      <c r="N9" s="75"/>
      <c r="O9" s="75"/>
      <c r="P9" s="75"/>
      <c r="Q9" s="75"/>
      <c r="R9" s="75"/>
      <c r="S9" s="75"/>
      <c r="T9" s="75"/>
      <c r="U9" s="75"/>
      <c r="V9" s="75"/>
      <c r="W9" s="8"/>
      <c r="X9" s="4"/>
      <c r="Y9" s="40"/>
      <c r="Z9" s="75"/>
      <c r="AA9" s="75"/>
      <c r="AB9" s="75"/>
      <c r="AC9" s="75"/>
      <c r="AD9" s="75"/>
      <c r="AE9" s="571"/>
      <c r="AF9" s="75"/>
      <c r="AG9" s="75"/>
      <c r="AH9" s="75"/>
      <c r="AI9" s="75"/>
      <c r="AJ9" s="75"/>
      <c r="AK9" s="75"/>
      <c r="AL9" s="75"/>
      <c r="AM9" s="75"/>
      <c r="AN9" s="75"/>
      <c r="AO9" s="75"/>
      <c r="AP9" s="75"/>
      <c r="AQ9" s="75"/>
      <c r="AR9" s="75"/>
      <c r="AS9" s="4"/>
      <c r="AT9" s="4"/>
      <c r="AU9" s="40"/>
      <c r="AV9" s="75"/>
      <c r="AW9" s="75"/>
      <c r="AX9" s="75"/>
      <c r="AY9" s="75"/>
      <c r="AZ9" s="75"/>
      <c r="BA9" s="571"/>
      <c r="BB9" s="75"/>
      <c r="BC9" s="75"/>
      <c r="BD9" s="75"/>
      <c r="BE9" s="75"/>
      <c r="BF9" s="75"/>
      <c r="BG9" s="75"/>
      <c r="BH9" s="75"/>
      <c r="BI9" s="75"/>
      <c r="BJ9" s="75"/>
      <c r="BK9" s="75"/>
      <c r="BL9" s="75"/>
      <c r="BM9" s="75"/>
      <c r="BN9" s="75"/>
    </row>
    <row r="10" spans="1:66" x14ac:dyDescent="0.25">
      <c r="A10" s="4"/>
      <c r="B10" s="4"/>
      <c r="C10" s="40"/>
      <c r="D10" s="572" t="s">
        <v>21</v>
      </c>
      <c r="E10" s="572"/>
      <c r="F10" s="573" t="s">
        <v>23</v>
      </c>
      <c r="G10" s="574">
        <v>11529.00574</v>
      </c>
      <c r="H10" s="574">
        <v>16815</v>
      </c>
      <c r="I10" s="575">
        <v>0.15681599999999998</v>
      </c>
      <c r="J10" s="575">
        <v>0.04987597357887763</v>
      </c>
      <c r="K10" s="575">
        <v>0.23714500000000002</v>
      </c>
      <c r="L10" s="575">
        <v>0.009197324414715657</v>
      </c>
      <c r="M10" s="575">
        <v>0.177</v>
      </c>
      <c r="N10" s="575">
        <v>0.16412455551099722</v>
      </c>
      <c r="O10" s="575">
        <v>0.10061500000000001</v>
      </c>
      <c r="P10" s="575">
        <v>0.08731283831116565</v>
      </c>
      <c r="Q10" s="576">
        <v>7.4</v>
      </c>
      <c r="R10" s="576">
        <v>21.4</v>
      </c>
      <c r="S10" s="576">
        <v>3.8</v>
      </c>
      <c r="T10" s="576">
        <v>4.1</v>
      </c>
      <c r="U10" s="576">
        <v>19.30693</v>
      </c>
      <c r="V10" s="576">
        <v>17.93991486846302</v>
      </c>
      <c r="W10" s="8"/>
      <c r="X10" s="4"/>
      <c r="Y10" s="40"/>
      <c r="Z10" s="10"/>
      <c r="AA10" s="11"/>
      <c r="AB10" s="54"/>
      <c r="AC10" s="577"/>
      <c r="AD10" s="577"/>
      <c r="AE10" s="578"/>
      <c r="AF10" s="578"/>
      <c r="AG10" s="578"/>
      <c r="AH10" s="578"/>
      <c r="AI10" s="578"/>
      <c r="AJ10" s="578"/>
      <c r="AK10" s="578"/>
      <c r="AL10" s="578"/>
      <c r="AM10" s="579"/>
      <c r="AN10" s="579"/>
      <c r="AO10" s="579"/>
      <c r="AP10" s="579"/>
      <c r="AQ10" s="579"/>
      <c r="AR10" s="580"/>
      <c r="AS10" s="4"/>
      <c r="AT10" s="4"/>
      <c r="AU10" s="40"/>
      <c r="AV10" s="10"/>
      <c r="AW10" s="11"/>
      <c r="AX10" s="54"/>
      <c r="AY10" s="577"/>
      <c r="AZ10" s="577"/>
      <c r="BA10" s="578"/>
      <c r="BB10" s="578"/>
      <c r="BC10" s="578"/>
      <c r="BD10" s="578"/>
      <c r="BE10" s="578"/>
      <c r="BF10" s="578"/>
      <c r="BG10" s="578"/>
      <c r="BH10" s="578"/>
      <c r="BI10" s="579"/>
      <c r="BJ10" s="579"/>
      <c r="BK10" s="579"/>
      <c r="BL10" s="579"/>
      <c r="BM10" s="579"/>
      <c r="BN10" s="580"/>
    </row>
    <row r="11" spans="1:66" x14ac:dyDescent="0.25">
      <c r="A11" s="4"/>
      <c r="B11" s="4"/>
      <c r="C11" s="40"/>
      <c r="D11" s="8"/>
      <c r="E11" s="8"/>
      <c r="F11" s="75"/>
      <c r="G11" s="581"/>
      <c r="H11" s="75"/>
      <c r="I11" s="582"/>
      <c r="J11" s="582"/>
      <c r="K11" s="582"/>
      <c r="L11" s="582"/>
      <c r="M11" s="582"/>
      <c r="N11" s="582"/>
      <c r="O11" s="582"/>
      <c r="P11" s="582"/>
      <c r="Q11" s="583"/>
      <c r="R11" s="583"/>
      <c r="S11" s="583"/>
      <c r="T11" s="75"/>
      <c r="U11" s="75"/>
      <c r="V11" s="75"/>
      <c r="W11" s="8"/>
      <c r="X11" s="4"/>
      <c r="Y11" s="40"/>
      <c r="Z11" s="8"/>
      <c r="AA11" s="8"/>
      <c r="AB11" s="75"/>
      <c r="AC11" s="581"/>
      <c r="AD11" s="75"/>
      <c r="AE11" s="582"/>
      <c r="AF11" s="582"/>
      <c r="AG11" s="582"/>
      <c r="AH11" s="582"/>
      <c r="AI11" s="582"/>
      <c r="AJ11" s="582"/>
      <c r="AK11" s="582"/>
      <c r="AL11" s="582"/>
      <c r="AM11" s="583"/>
      <c r="AN11" s="583"/>
      <c r="AO11" s="583"/>
      <c r="AP11" s="75"/>
      <c r="AQ11" s="75"/>
      <c r="AR11" s="75"/>
      <c r="AS11" s="4"/>
      <c r="AT11" s="4"/>
      <c r="AU11" s="40"/>
      <c r="AV11" s="8"/>
      <c r="AW11" s="8"/>
      <c r="AX11" s="75"/>
      <c r="AY11" s="581"/>
      <c r="AZ11" s="75"/>
      <c r="BA11" s="582"/>
      <c r="BB11" s="582"/>
      <c r="BC11" s="582"/>
      <c r="BD11" s="582"/>
      <c r="BE11" s="582"/>
      <c r="BF11" s="582"/>
      <c r="BG11" s="582"/>
      <c r="BH11" s="582"/>
      <c r="BI11" s="583"/>
      <c r="BJ11" s="583"/>
      <c r="BK11" s="583"/>
      <c r="BL11" s="75"/>
      <c r="BM11" s="75"/>
      <c r="BN11" s="75"/>
    </row>
    <row r="12" spans="1:66" x14ac:dyDescent="0.25">
      <c r="A12" s="4"/>
      <c r="B12" s="4"/>
      <c r="C12" s="40"/>
      <c r="D12" s="8" t="s">
        <v>649</v>
      </c>
      <c r="E12" s="8"/>
      <c r="F12" s="75" t="s">
        <v>650</v>
      </c>
      <c r="G12" s="584">
        <v>5807.4947</v>
      </c>
      <c r="H12" s="584">
        <v>6003.9</v>
      </c>
      <c r="I12" s="582">
        <v>0.134624</v>
      </c>
      <c r="J12" s="582">
        <v>0.1536389010127701</v>
      </c>
      <c r="K12" s="582">
        <v>0.424952</v>
      </c>
      <c r="L12" s="582">
        <v>0.219</v>
      </c>
      <c r="M12" s="582">
        <v>0.17840922324443925</v>
      </c>
      <c r="N12" s="582">
        <v>0.16632806868077857</v>
      </c>
      <c r="O12" s="582">
        <v>0.13766</v>
      </c>
      <c r="P12" s="582">
        <v>0.1585921295648673</v>
      </c>
      <c r="Q12" s="585">
        <v>19.594973890339425</v>
      </c>
      <c r="R12" s="585" t="s">
        <v>651</v>
      </c>
      <c r="S12" s="585">
        <v>3.4959240712705246</v>
      </c>
      <c r="T12" s="585">
        <v>3</v>
      </c>
      <c r="U12" s="585">
        <v>24.6927</v>
      </c>
      <c r="V12" s="585">
        <v>20.80210295751908</v>
      </c>
      <c r="W12" s="8"/>
      <c r="X12" s="4"/>
      <c r="Y12" s="40"/>
      <c r="Z12" s="8"/>
      <c r="AA12" s="8"/>
      <c r="AB12" s="75"/>
      <c r="AC12" s="584"/>
      <c r="AD12" s="584"/>
      <c r="AE12" s="582"/>
      <c r="AF12" s="582"/>
      <c r="AG12" s="582"/>
      <c r="AH12" s="582"/>
      <c r="AI12" s="582"/>
      <c r="AJ12" s="582"/>
      <c r="AK12" s="582"/>
      <c r="AL12" s="582"/>
      <c r="AM12" s="585"/>
      <c r="AN12" s="585"/>
      <c r="AO12" s="585"/>
      <c r="AP12" s="585"/>
      <c r="AQ12" s="585"/>
      <c r="AR12" s="585"/>
      <c r="AS12" s="4"/>
      <c r="AT12" s="4"/>
      <c r="AU12" s="40"/>
      <c r="AV12" s="8"/>
      <c r="AW12" s="8"/>
      <c r="AX12" s="75"/>
      <c r="AY12" s="584"/>
      <c r="AZ12" s="584"/>
      <c r="BA12" s="582"/>
      <c r="BB12" s="582"/>
      <c r="BC12" s="582"/>
      <c r="BD12" s="582"/>
      <c r="BE12" s="582"/>
      <c r="BF12" s="582"/>
      <c r="BG12" s="582"/>
      <c r="BH12" s="582"/>
      <c r="BI12" s="585"/>
      <c r="BJ12" s="585"/>
      <c r="BK12" s="585"/>
      <c r="BL12" s="585"/>
      <c r="BM12" s="585"/>
      <c r="BN12" s="585"/>
    </row>
    <row r="13" spans="1:66" x14ac:dyDescent="0.25">
      <c r="A13" s="4"/>
      <c r="B13" s="4"/>
      <c r="C13" s="40"/>
      <c r="D13" s="8" t="s">
        <v>652</v>
      </c>
      <c r="E13" s="8"/>
      <c r="F13" s="75" t="s">
        <v>653</v>
      </c>
      <c r="G13" s="584">
        <v>12427.12964</v>
      </c>
      <c r="H13" s="584">
        <v>13046.6</v>
      </c>
      <c r="I13" s="582">
        <v>0.11760999999999999</v>
      </c>
      <c r="J13" s="582">
        <v>0.10059767017370169</v>
      </c>
      <c r="K13" s="582">
        <v>0.021386</v>
      </c>
      <c r="L13" s="582">
        <v>0.007</v>
      </c>
      <c r="M13" s="582">
        <v>0.18156388448727484</v>
      </c>
      <c r="N13" s="582">
        <v>0.17445172454918095</v>
      </c>
      <c r="O13" s="582">
        <v>0.125333</v>
      </c>
      <c r="P13" s="582">
        <v>0.15124142816853914</v>
      </c>
      <c r="Q13" s="585">
        <v>10.8</v>
      </c>
      <c r="R13" s="585">
        <v>10.840548400498546</v>
      </c>
      <c r="S13" s="585">
        <v>2.109530123209262</v>
      </c>
      <c r="T13" s="585">
        <v>2</v>
      </c>
      <c r="U13" s="585">
        <v>21.57666</v>
      </c>
      <c r="V13" s="585">
        <v>15.09775507945106</v>
      </c>
      <c r="W13" s="8"/>
      <c r="X13" s="4"/>
      <c r="Y13" s="40"/>
      <c r="Z13" s="8"/>
      <c r="AA13" s="8"/>
      <c r="AB13" s="75"/>
      <c r="AC13" s="584"/>
      <c r="AD13" s="584"/>
      <c r="AE13" s="582"/>
      <c r="AF13" s="582"/>
      <c r="AG13" s="582"/>
      <c r="AH13" s="582"/>
      <c r="AI13" s="582"/>
      <c r="AJ13" s="582"/>
      <c r="AK13" s="582"/>
      <c r="AL13" s="582"/>
      <c r="AM13" s="585"/>
      <c r="AN13" s="585"/>
      <c r="AO13" s="585"/>
      <c r="AP13" s="585"/>
      <c r="AQ13" s="585"/>
      <c r="AR13" s="585"/>
      <c r="AS13" s="4"/>
      <c r="AT13" s="4"/>
      <c r="AU13" s="40"/>
      <c r="AV13" s="8"/>
      <c r="AW13" s="8"/>
      <c r="AX13" s="75"/>
      <c r="AY13" s="584"/>
      <c r="AZ13" s="584"/>
      <c r="BA13" s="582"/>
      <c r="BB13" s="582"/>
      <c r="BC13" s="582"/>
      <c r="BD13" s="582"/>
      <c r="BE13" s="582"/>
      <c r="BF13" s="582"/>
      <c r="BG13" s="582"/>
      <c r="BH13" s="582"/>
      <c r="BI13" s="585"/>
      <c r="BJ13" s="585"/>
      <c r="BK13" s="585"/>
      <c r="BL13" s="585"/>
      <c r="BM13" s="585"/>
      <c r="BN13" s="585"/>
    </row>
    <row r="14" spans="1:66" x14ac:dyDescent="0.25">
      <c r="A14" s="4"/>
      <c r="B14" s="4"/>
      <c r="C14" s="40"/>
      <c r="D14" s="8" t="s">
        <v>654</v>
      </c>
      <c r="E14" s="8"/>
      <c r="F14" s="75" t="s">
        <v>655</v>
      </c>
      <c r="G14" s="584">
        <v>31927.777</v>
      </c>
      <c r="H14" s="584">
        <v>27214.7</v>
      </c>
      <c r="I14" s="582">
        <v>0.096194</v>
      </c>
      <c r="J14" s="582">
        <v>0.11247225976618203</v>
      </c>
      <c r="K14" s="582">
        <v>0.061855</v>
      </c>
      <c r="L14" s="582">
        <v>0.1313</v>
      </c>
      <c r="M14" s="582" t="s">
        <v>651</v>
      </c>
      <c r="N14" s="582" t="s">
        <v>651</v>
      </c>
      <c r="O14" s="582">
        <v>0.152195</v>
      </c>
      <c r="P14" s="582">
        <v>0.15385426584064676</v>
      </c>
      <c r="Q14" s="585">
        <v>7.3</v>
      </c>
      <c r="R14" s="585" t="s">
        <v>651</v>
      </c>
      <c r="S14" s="585">
        <v>1.7103255404725994</v>
      </c>
      <c r="T14" s="585">
        <v>1.5</v>
      </c>
      <c r="U14" s="585">
        <v>15.64757</v>
      </c>
      <c r="V14" s="585">
        <v>13.297628374238457</v>
      </c>
      <c r="W14" s="8"/>
      <c r="X14" s="4"/>
      <c r="Y14" s="40"/>
      <c r="Z14" s="8"/>
      <c r="AA14" s="8"/>
      <c r="AB14" s="75"/>
      <c r="AC14" s="584"/>
      <c r="AD14" s="584"/>
      <c r="AE14" s="582"/>
      <c r="AF14" s="582"/>
      <c r="AG14" s="582"/>
      <c r="AH14" s="582"/>
      <c r="AI14" s="582"/>
      <c r="AJ14" s="582"/>
      <c r="AK14" s="582"/>
      <c r="AL14" s="582"/>
      <c r="AM14" s="585"/>
      <c r="AN14" s="585"/>
      <c r="AO14" s="585"/>
      <c r="AP14" s="585"/>
      <c r="AQ14" s="585"/>
      <c r="AR14" s="585"/>
      <c r="AS14" s="4"/>
      <c r="AT14" s="4"/>
      <c r="AU14" s="40"/>
      <c r="AV14" s="8"/>
      <c r="AW14" s="8"/>
      <c r="AX14" s="75"/>
      <c r="AY14" s="584"/>
      <c r="AZ14" s="584"/>
      <c r="BA14" s="582"/>
      <c r="BB14" s="582"/>
      <c r="BC14" s="582"/>
      <c r="BD14" s="582"/>
      <c r="BE14" s="582"/>
      <c r="BF14" s="582"/>
      <c r="BG14" s="582"/>
      <c r="BH14" s="582"/>
      <c r="BI14" s="585"/>
      <c r="BJ14" s="585"/>
      <c r="BK14" s="585"/>
      <c r="BL14" s="585"/>
      <c r="BM14" s="585"/>
      <c r="BN14" s="585"/>
    </row>
    <row r="15" spans="1:66" x14ac:dyDescent="0.25">
      <c r="A15" s="4"/>
      <c r="B15" s="4"/>
      <c r="C15" s="40"/>
      <c r="D15" s="8" t="s">
        <v>656</v>
      </c>
      <c r="E15" s="8"/>
      <c r="F15" s="75" t="s">
        <v>657</v>
      </c>
      <c r="G15" s="584">
        <v>12636.19116</v>
      </c>
      <c r="H15" s="584">
        <v>12147</v>
      </c>
      <c r="I15" s="582">
        <v>0.210039</v>
      </c>
      <c r="J15" s="582">
        <v>0.14272165637140954</v>
      </c>
      <c r="K15" s="582">
        <v>0.257</v>
      </c>
      <c r="L15" s="582">
        <v>0.3686048109965634</v>
      </c>
      <c r="M15" s="582">
        <v>0.23616250535582126</v>
      </c>
      <c r="N15" s="582">
        <v>0.31116209179305054</v>
      </c>
      <c r="O15" s="582">
        <v>0.166267</v>
      </c>
      <c r="P15" s="582">
        <v>0.20129137695539015</v>
      </c>
      <c r="Q15" s="585">
        <v>20</v>
      </c>
      <c r="R15" s="585" t="s">
        <v>651</v>
      </c>
      <c r="S15" s="585">
        <v>4.7314299069060874</v>
      </c>
      <c r="T15" s="585">
        <v>4.1</v>
      </c>
      <c r="U15" s="585">
        <v>29.14051</v>
      </c>
      <c r="V15" s="585">
        <v>22.993839942294272</v>
      </c>
      <c r="W15" s="8"/>
      <c r="X15" s="4"/>
      <c r="Y15" s="40"/>
      <c r="Z15" s="8"/>
      <c r="AA15" s="8"/>
      <c r="AB15" s="75"/>
      <c r="AC15" s="584"/>
      <c r="AD15" s="584"/>
      <c r="AE15" s="582"/>
      <c r="AF15" s="582"/>
      <c r="AG15" s="582"/>
      <c r="AH15" s="582"/>
      <c r="AI15" s="582"/>
      <c r="AJ15" s="582"/>
      <c r="AK15" s="582"/>
      <c r="AL15" s="582"/>
      <c r="AM15" s="585"/>
      <c r="AN15" s="585"/>
      <c r="AO15" s="585"/>
      <c r="AP15" s="585"/>
      <c r="AQ15" s="585"/>
      <c r="AR15" s="585"/>
      <c r="AS15" s="4"/>
      <c r="AT15" s="4"/>
      <c r="AU15" s="40"/>
      <c r="AV15" s="8"/>
      <c r="AW15" s="8"/>
      <c r="AX15" s="75"/>
      <c r="AY15" s="584"/>
      <c r="AZ15" s="584"/>
      <c r="BA15" s="582"/>
      <c r="BB15" s="582"/>
      <c r="BC15" s="582"/>
      <c r="BD15" s="582"/>
      <c r="BE15" s="582"/>
      <c r="BF15" s="582"/>
      <c r="BG15" s="582"/>
      <c r="BH15" s="582"/>
      <c r="BI15" s="585"/>
      <c r="BJ15" s="585"/>
      <c r="BK15" s="585"/>
      <c r="BL15" s="585"/>
      <c r="BM15" s="585"/>
      <c r="BN15" s="585"/>
    </row>
    <row r="16" ht="16" customHeight="1" spans="1:66" x14ac:dyDescent="0.25">
      <c r="A16" s="4"/>
      <c r="B16" s="4"/>
      <c r="C16" s="40"/>
      <c r="D16" s="8"/>
      <c r="E16" s="8"/>
      <c r="F16" s="75"/>
      <c r="G16" s="75"/>
      <c r="H16" s="75"/>
      <c r="I16" s="582"/>
      <c r="J16" s="582"/>
      <c r="K16" s="586"/>
      <c r="L16" s="586"/>
      <c r="M16" s="586"/>
      <c r="N16" s="586"/>
      <c r="O16" s="586"/>
      <c r="P16" s="586"/>
      <c r="Q16" s="75"/>
      <c r="R16" s="75"/>
      <c r="S16" s="75"/>
      <c r="T16" s="75"/>
      <c r="U16" s="75"/>
      <c r="V16" s="75"/>
      <c r="W16" s="8"/>
      <c r="X16" s="4"/>
      <c r="Y16" s="40"/>
      <c r="Z16" s="8"/>
      <c r="AA16" s="8"/>
      <c r="AB16" s="75"/>
      <c r="AC16" s="584"/>
      <c r="AD16" s="584"/>
      <c r="AE16" s="582"/>
      <c r="AF16" s="582"/>
      <c r="AG16" s="582"/>
      <c r="AH16" s="582"/>
      <c r="AI16" s="582"/>
      <c r="AJ16" s="582"/>
      <c r="AK16" s="582"/>
      <c r="AL16" s="582"/>
      <c r="AM16" s="585"/>
      <c r="AN16" s="585"/>
      <c r="AO16" s="585"/>
      <c r="AP16" s="585"/>
      <c r="AQ16" s="585"/>
      <c r="AR16" s="585"/>
      <c r="AS16" s="4"/>
      <c r="AT16" s="4"/>
      <c r="AU16" s="40"/>
      <c r="AV16" s="8"/>
      <c r="AW16" s="8"/>
      <c r="AX16" s="75"/>
      <c r="AY16" s="584"/>
      <c r="AZ16" s="584"/>
      <c r="BA16" s="582"/>
      <c r="BB16" s="582"/>
      <c r="BC16" s="582"/>
      <c r="BD16" s="582"/>
      <c r="BE16" s="582"/>
      <c r="BF16" s="582"/>
      <c r="BG16" s="582"/>
      <c r="BH16" s="582"/>
      <c r="BI16" s="585"/>
      <c r="BJ16" s="585"/>
      <c r="BK16" s="585"/>
      <c r="BL16" s="585"/>
      <c r="BM16" s="585"/>
      <c r="BN16" s="585"/>
    </row>
    <row r="17" spans="1:68" x14ac:dyDescent="0.25">
      <c r="A17" s="4"/>
      <c r="B17" s="4"/>
      <c r="C17" s="40"/>
      <c r="D17" s="587" t="s">
        <v>164</v>
      </c>
      <c r="E17" s="588"/>
      <c r="F17" s="589"/>
      <c r="G17" s="590">
        <f t="shared" ref="G17:V17" si="0">MAX(G10:G15)</f>
        <v>31927.777</v>
      </c>
      <c r="H17" s="590">
        <f t="shared" si="0"/>
        <v>27214.7</v>
      </c>
      <c r="I17" s="591">
        <f t="shared" si="0"/>
        <v>0.210039</v>
      </c>
      <c r="J17" s="591">
        <f t="shared" si="0"/>
        <v>0.1536389010127701</v>
      </c>
      <c r="K17" s="591">
        <f t="shared" si="0"/>
        <v>0.424952</v>
      </c>
      <c r="L17" s="591">
        <f t="shared" si="0"/>
        <v>0.3686048109965634</v>
      </c>
      <c r="M17" s="591">
        <f t="shared" si="0"/>
        <v>0.23616250535582126</v>
      </c>
      <c r="N17" s="591">
        <f t="shared" si="0"/>
        <v>0.31116209179305054</v>
      </c>
      <c r="O17" s="591">
        <f t="shared" si="0"/>
        <v>0.166267</v>
      </c>
      <c r="P17" s="591">
        <f t="shared" si="0"/>
        <v>0.20129137695539015</v>
      </c>
      <c r="Q17" s="592">
        <f t="shared" si="0"/>
        <v>20</v>
      </c>
      <c r="R17" s="593">
        <f t="shared" si="0"/>
        <v>21.4</v>
      </c>
      <c r="S17" s="593">
        <f t="shared" si="0"/>
        <v>4.7314299069060874</v>
      </c>
      <c r="T17" s="593">
        <f t="shared" si="0"/>
        <v>4.1</v>
      </c>
      <c r="U17" s="593">
        <f t="shared" si="0"/>
        <v>29.14051</v>
      </c>
      <c r="V17" s="594">
        <f t="shared" si="0"/>
        <v>22.993839942294272</v>
      </c>
      <c r="W17" s="8"/>
      <c r="X17" s="4"/>
      <c r="Y17" s="40"/>
      <c r="Z17" s="8"/>
      <c r="AA17" s="8"/>
      <c r="AB17" s="75"/>
      <c r="AC17" s="584"/>
      <c r="AD17" s="584"/>
      <c r="AE17" s="582"/>
      <c r="AF17" s="582"/>
      <c r="AG17" s="582"/>
      <c r="AH17" s="582"/>
      <c r="AI17" s="582"/>
      <c r="AJ17" s="582"/>
      <c r="AK17" s="582"/>
      <c r="AL17" s="582"/>
      <c r="AM17" s="585"/>
      <c r="AN17" s="585"/>
      <c r="AO17" s="585"/>
      <c r="AP17" s="585"/>
      <c r="AQ17" s="585"/>
      <c r="AR17" s="585"/>
      <c r="AS17" s="4"/>
      <c r="AT17" s="4"/>
      <c r="AU17" s="40"/>
      <c r="AV17" s="8"/>
      <c r="AW17" s="8"/>
      <c r="AX17" s="75"/>
      <c r="AY17" s="584"/>
      <c r="AZ17" s="584"/>
      <c r="BA17" s="582"/>
      <c r="BB17" s="582"/>
      <c r="BC17" s="582"/>
      <c r="BD17" s="582"/>
      <c r="BE17" s="582"/>
      <c r="BF17" s="582"/>
      <c r="BG17" s="582"/>
      <c r="BH17" s="582"/>
      <c r="BI17" s="585"/>
      <c r="BJ17" s="585"/>
      <c r="BK17" s="585"/>
      <c r="BL17" s="585"/>
      <c r="BM17" s="585"/>
      <c r="BN17" s="585"/>
      <c r="BO17" s="585"/>
      <c r="BP17" s="585"/>
    </row>
    <row r="18" ht="16" customHeight="1" spans="1:66" x14ac:dyDescent="0.25">
      <c r="A18" s="4"/>
      <c r="B18" s="4"/>
      <c r="C18" s="40"/>
      <c r="D18" s="595" t="s">
        <v>658</v>
      </c>
      <c r="E18" s="461"/>
      <c r="F18" s="596"/>
      <c r="G18" s="597">
        <f t="shared" ref="G18:V18" si="1">AVERAGE(G10:G15)</f>
        <v>14865.519647999998</v>
      </c>
      <c r="H18" s="597">
        <f t="shared" si="1"/>
        <v>15045.439999999999</v>
      </c>
      <c r="I18" s="598">
        <f t="shared" si="1"/>
        <v>0.1430566</v>
      </c>
      <c r="J18" s="598">
        <f t="shared" si="1"/>
        <v>0.1118612921805882</v>
      </c>
      <c r="K18" s="598">
        <f t="shared" si="1"/>
        <v>0.2004676</v>
      </c>
      <c r="L18" s="598">
        <f t="shared" si="1"/>
        <v>0.1470204270822558</v>
      </c>
      <c r="M18" s="598">
        <f t="shared" si="1"/>
        <v>0.19328390327188386</v>
      </c>
      <c r="N18" s="598">
        <f t="shared" si="1"/>
        <v>0.20401661013350184</v>
      </c>
      <c r="O18" s="598">
        <f t="shared" si="1"/>
        <v>0.13641399999999998</v>
      </c>
      <c r="P18" s="598">
        <f t="shared" si="1"/>
        <v>0.15045840776812178</v>
      </c>
      <c r="Q18" s="599">
        <f t="shared" si="1"/>
        <v>13.018994778067883</v>
      </c>
      <c r="R18" s="600">
        <f t="shared" si="1"/>
        <v>16.120274200249273</v>
      </c>
      <c r="S18" s="600">
        <f t="shared" si="1"/>
        <v>3.1694419283716946</v>
      </c>
      <c r="T18" s="600">
        <f t="shared" si="1"/>
        <v>2.94</v>
      </c>
      <c r="U18" s="600">
        <f t="shared" si="1"/>
        <v>22.072874000000002</v>
      </c>
      <c r="V18" s="601">
        <f t="shared" si="1"/>
        <v>18.02624824439318</v>
      </c>
      <c r="W18" s="8"/>
      <c r="X18" s="4"/>
      <c r="Y18" s="40"/>
      <c r="Z18" s="8"/>
      <c r="AA18" s="8"/>
      <c r="AB18" s="75"/>
      <c r="AC18" s="75"/>
      <c r="AD18" s="75"/>
      <c r="AE18" s="582"/>
      <c r="AF18" s="582"/>
      <c r="AG18" s="586"/>
      <c r="AH18" s="586"/>
      <c r="AI18" s="586"/>
      <c r="AJ18" s="586"/>
      <c r="AK18" s="586"/>
      <c r="AL18" s="586"/>
      <c r="AM18" s="75"/>
      <c r="AN18" s="75"/>
      <c r="AO18" s="75"/>
      <c r="AP18" s="75"/>
      <c r="AQ18" s="75"/>
      <c r="AR18" s="75"/>
      <c r="AS18" s="4"/>
      <c r="AT18" s="4"/>
      <c r="AU18" s="40"/>
      <c r="AV18" s="8"/>
      <c r="AW18" s="8"/>
      <c r="AX18" s="75"/>
      <c r="AY18" s="75"/>
      <c r="AZ18" s="75"/>
      <c r="BA18" s="582"/>
      <c r="BB18" s="582"/>
      <c r="BC18" s="586"/>
      <c r="BD18" s="586"/>
      <c r="BE18" s="586"/>
      <c r="BF18" s="586"/>
      <c r="BG18" s="586"/>
      <c r="BH18" s="586"/>
      <c r="BI18" s="75"/>
      <c r="BJ18" s="75"/>
      <c r="BK18" s="75"/>
      <c r="BL18" s="75"/>
      <c r="BM18" s="75"/>
      <c r="BN18" s="75"/>
    </row>
    <row r="19" spans="1:66" x14ac:dyDescent="0.25">
      <c r="A19" s="4"/>
      <c r="B19" s="4"/>
      <c r="C19" s="40"/>
      <c r="D19" s="595" t="s">
        <v>659</v>
      </c>
      <c r="E19" s="461"/>
      <c r="F19" s="461"/>
      <c r="G19" s="597">
        <f t="shared" ref="G19:V19" si="2">MEDIAN(G10:G15)</f>
        <v>12427.12964</v>
      </c>
      <c r="H19" s="597">
        <f t="shared" si="2"/>
        <v>13046.6</v>
      </c>
      <c r="I19" s="598">
        <f t="shared" si="2"/>
        <v>0.134624</v>
      </c>
      <c r="J19" s="598">
        <f t="shared" si="2"/>
        <v>0.11247225976618203</v>
      </c>
      <c r="K19" s="598">
        <f t="shared" si="2"/>
        <v>0.23714500000000002</v>
      </c>
      <c r="L19" s="598">
        <f t="shared" si="2"/>
        <v>0.1313</v>
      </c>
      <c r="M19" s="598">
        <f t="shared" si="2"/>
        <v>0.17998655386585705</v>
      </c>
      <c r="N19" s="598">
        <f t="shared" si="2"/>
        <v>0.17038989661497977</v>
      </c>
      <c r="O19" s="598">
        <f t="shared" si="2"/>
        <v>0.13766</v>
      </c>
      <c r="P19" s="598">
        <f t="shared" si="2"/>
        <v>0.15385426584064676</v>
      </c>
      <c r="Q19" s="599">
        <f t="shared" si="2"/>
        <v>10.8</v>
      </c>
      <c r="R19" s="600">
        <f t="shared" si="2"/>
        <v>16.120274200249273</v>
      </c>
      <c r="S19" s="600">
        <f t="shared" si="2"/>
        <v>3.4959240712705246</v>
      </c>
      <c r="T19" s="600">
        <f t="shared" si="2"/>
        <v>3</v>
      </c>
      <c r="U19" s="600">
        <f t="shared" si="2"/>
        <v>21.57666</v>
      </c>
      <c r="V19" s="601">
        <f t="shared" si="2"/>
        <v>17.93991486846302</v>
      </c>
      <c r="W19" s="8"/>
      <c r="X19" s="4"/>
      <c r="Y19" s="40"/>
      <c r="Z19" s="587"/>
      <c r="AA19" s="588"/>
      <c r="AB19" s="589"/>
      <c r="AC19" s="590"/>
      <c r="AD19" s="590"/>
      <c r="AE19" s="591"/>
      <c r="AF19" s="591"/>
      <c r="AG19" s="591"/>
      <c r="AH19" s="591"/>
      <c r="AI19" s="591"/>
      <c r="AJ19" s="591"/>
      <c r="AK19" s="591"/>
      <c r="AL19" s="591"/>
      <c r="AM19" s="592"/>
      <c r="AN19" s="593"/>
      <c r="AO19" s="593"/>
      <c r="AP19" s="593"/>
      <c r="AQ19" s="593"/>
      <c r="AR19" s="594"/>
      <c r="AS19" s="4"/>
      <c r="AT19" s="4"/>
      <c r="AU19" s="40"/>
      <c r="AV19" s="587"/>
      <c r="AW19" s="588"/>
      <c r="AX19" s="589"/>
      <c r="AY19" s="590"/>
      <c r="AZ19" s="590"/>
      <c r="BA19" s="591"/>
      <c r="BB19" s="591"/>
      <c r="BC19" s="591"/>
      <c r="BD19" s="591"/>
      <c r="BE19" s="591"/>
      <c r="BF19" s="591"/>
      <c r="BG19" s="591"/>
      <c r="BH19" s="591"/>
      <c r="BI19" s="592"/>
      <c r="BJ19" s="593"/>
      <c r="BK19" s="593"/>
      <c r="BL19" s="593"/>
      <c r="BM19" s="593"/>
      <c r="BN19" s="594"/>
    </row>
    <row r="20" ht="16" customHeight="1" spans="1:66" x14ac:dyDescent="0.25">
      <c r="A20" s="4"/>
      <c r="B20" s="4"/>
      <c r="C20" s="40"/>
      <c r="D20" s="602" t="s">
        <v>165</v>
      </c>
      <c r="E20" s="603"/>
      <c r="F20" s="603"/>
      <c r="G20" s="604">
        <f t="shared" ref="G20:V20" si="3">MIN(G10:G15)</f>
        <v>5807.4947</v>
      </c>
      <c r="H20" s="604">
        <f t="shared" si="3"/>
        <v>6003.9</v>
      </c>
      <c r="I20" s="605">
        <f t="shared" si="3"/>
        <v>0.096194</v>
      </c>
      <c r="J20" s="605">
        <f t="shared" si="3"/>
        <v>0.04987597357887763</v>
      </c>
      <c r="K20" s="605">
        <f t="shared" si="3"/>
        <v>0.021386</v>
      </c>
      <c r="L20" s="605">
        <f t="shared" si="3"/>
        <v>0.007</v>
      </c>
      <c r="M20" s="605">
        <f t="shared" si="3"/>
        <v>0.177</v>
      </c>
      <c r="N20" s="605">
        <f t="shared" si="3"/>
        <v>0.16412455551099722</v>
      </c>
      <c r="O20" s="605">
        <f t="shared" si="3"/>
        <v>0.10061500000000001</v>
      </c>
      <c r="P20" s="605">
        <f t="shared" si="3"/>
        <v>0.08731283831116565</v>
      </c>
      <c r="Q20" s="606">
        <f t="shared" si="3"/>
        <v>7.3</v>
      </c>
      <c r="R20" s="607">
        <f t="shared" si="3"/>
        <v>10.840548400498546</v>
      </c>
      <c r="S20" s="607">
        <f t="shared" si="3"/>
        <v>1.7103255404725994</v>
      </c>
      <c r="T20" s="607">
        <f t="shared" si="3"/>
        <v>1.5</v>
      </c>
      <c r="U20" s="607">
        <f t="shared" si="3"/>
        <v>15.64757</v>
      </c>
      <c r="V20" s="608">
        <f t="shared" si="3"/>
        <v>13.297628374238457</v>
      </c>
      <c r="W20" s="8"/>
      <c r="X20" s="4"/>
      <c r="Y20" s="40"/>
      <c r="Z20" s="595"/>
      <c r="AA20" s="461"/>
      <c r="AB20" s="596"/>
      <c r="AC20" s="597"/>
      <c r="AD20" s="597"/>
      <c r="AE20" s="598"/>
      <c r="AF20" s="598"/>
      <c r="AG20" s="598"/>
      <c r="AH20" s="598"/>
      <c r="AI20" s="598"/>
      <c r="AJ20" s="598"/>
      <c r="AK20" s="598"/>
      <c r="AL20" s="598"/>
      <c r="AM20" s="599"/>
      <c r="AN20" s="600"/>
      <c r="AO20" s="600"/>
      <c r="AP20" s="600"/>
      <c r="AQ20" s="600"/>
      <c r="AR20" s="601"/>
      <c r="AS20" s="4"/>
      <c r="AT20" s="4"/>
      <c r="AU20" s="40"/>
      <c r="AV20" s="595"/>
      <c r="AW20" s="461"/>
      <c r="AX20" s="596"/>
      <c r="AY20" s="597"/>
      <c r="AZ20" s="597"/>
      <c r="BA20" s="598"/>
      <c r="BB20" s="598"/>
      <c r="BC20" s="598"/>
      <c r="BD20" s="598"/>
      <c r="BE20" s="598"/>
      <c r="BF20" s="598"/>
      <c r="BG20" s="598"/>
      <c r="BH20" s="598"/>
      <c r="BI20" s="599"/>
      <c r="BJ20" s="600"/>
      <c r="BK20" s="600"/>
      <c r="BL20" s="600"/>
      <c r="BM20" s="600"/>
      <c r="BN20" s="601"/>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5"/>
      <c r="AA21" s="461"/>
      <c r="AB21" s="461"/>
      <c r="AC21" s="597"/>
      <c r="AD21" s="597"/>
      <c r="AE21" s="598"/>
      <c r="AF21" s="598"/>
      <c r="AG21" s="598"/>
      <c r="AH21" s="598"/>
      <c r="AI21" s="598"/>
      <c r="AJ21" s="598"/>
      <c r="AK21" s="598"/>
      <c r="AL21" s="598"/>
      <c r="AM21" s="599"/>
      <c r="AN21" s="600"/>
      <c r="AO21" s="600"/>
      <c r="AP21" s="600"/>
      <c r="AQ21" s="600"/>
      <c r="AR21" s="601"/>
      <c r="AS21" s="4"/>
      <c r="AT21" s="4"/>
      <c r="AU21" s="40"/>
      <c r="AV21" s="595"/>
      <c r="AW21" s="461"/>
      <c r="AX21" s="461"/>
      <c r="AY21" s="597"/>
      <c r="AZ21" s="597"/>
      <c r="BA21" s="598"/>
      <c r="BB21" s="598"/>
      <c r="BC21" s="598"/>
      <c r="BD21" s="598"/>
      <c r="BE21" s="598"/>
      <c r="BF21" s="598"/>
      <c r="BG21" s="598"/>
      <c r="BH21" s="598"/>
      <c r="BI21" s="599"/>
      <c r="BJ21" s="600"/>
      <c r="BK21" s="600"/>
      <c r="BL21" s="600"/>
      <c r="BM21" s="600"/>
      <c r="BN21" s="601"/>
    </row>
    <row r="22" ht="15.75" customHeight="1" spans="1:66" x14ac:dyDescent="0.25">
      <c r="A22" s="4"/>
      <c r="B22" s="4"/>
      <c r="C22" s="40"/>
      <c r="D22" s="569" t="s">
        <v>660</v>
      </c>
      <c r="E22" s="57"/>
      <c r="F22" s="57"/>
      <c r="G22" s="569" t="s">
        <v>661</v>
      </c>
      <c r="H22" s="57"/>
      <c r="I22" s="57"/>
      <c r="J22" s="569" t="s">
        <v>662</v>
      </c>
      <c r="K22" s="57"/>
      <c r="L22" s="57"/>
      <c r="M22" s="569" t="str">
        <f>TEXT(Last_FYE,"yyyy")&amp;"A"&amp;" Leverage Analysis"</f>
        <v>2025A Leverage Analysis</v>
      </c>
      <c r="N22" s="57"/>
      <c r="O22" s="57"/>
      <c r="P22" s="569" t="str">
        <f>TEXT(Last_FYE,"yyyy")&amp;"A"&amp;" Coverage Analysis"</f>
        <v>2025A Coverage Analysis</v>
      </c>
      <c r="Q22" s="57"/>
      <c r="R22" s="57"/>
      <c r="S22" s="569" t="s">
        <v>663</v>
      </c>
      <c r="T22" s="57"/>
      <c r="U22" s="569" t="s">
        <v>664</v>
      </c>
      <c r="V22" s="57"/>
      <c r="W22" s="8"/>
      <c r="X22" s="4"/>
      <c r="Y22" s="40"/>
      <c r="Z22" s="602"/>
      <c r="AA22" s="603"/>
      <c r="AB22" s="603"/>
      <c r="AC22" s="604"/>
      <c r="AD22" s="604"/>
      <c r="AE22" s="605"/>
      <c r="AF22" s="605"/>
      <c r="AG22" s="605"/>
      <c r="AH22" s="605"/>
      <c r="AI22" s="605"/>
      <c r="AJ22" s="605"/>
      <c r="AK22" s="605"/>
      <c r="AL22" s="605"/>
      <c r="AM22" s="606"/>
      <c r="AN22" s="607"/>
      <c r="AO22" s="607"/>
      <c r="AP22" s="607"/>
      <c r="AQ22" s="607"/>
      <c r="AR22" s="608"/>
      <c r="AS22" s="4"/>
      <c r="AT22" s="4"/>
      <c r="AU22" s="40"/>
      <c r="AV22" s="602"/>
      <c r="AW22" s="603"/>
      <c r="AX22" s="603"/>
      <c r="AY22" s="604"/>
      <c r="AZ22" s="604"/>
      <c r="BA22" s="605"/>
      <c r="BB22" s="605"/>
      <c r="BC22" s="605"/>
      <c r="BD22" s="605"/>
      <c r="BE22" s="605"/>
      <c r="BF22" s="605"/>
      <c r="BG22" s="605"/>
      <c r="BH22" s="605"/>
      <c r="BI22" s="606"/>
      <c r="BJ22" s="607"/>
      <c r="BK22" s="607"/>
      <c r="BL22" s="607"/>
      <c r="BM22" s="607"/>
      <c r="BN22" s="608"/>
    </row>
    <row r="23" ht="15.75" customHeight="1" spans="1:66" x14ac:dyDescent="0.25">
      <c r="A23" s="4"/>
      <c r="B23" s="4"/>
      <c r="C23" s="40"/>
      <c r="D23" s="8"/>
      <c r="E23" s="8"/>
      <c r="F23" s="8"/>
      <c r="G23" s="8"/>
      <c r="H23" s="8"/>
      <c r="I23" s="8"/>
      <c r="J23" s="8"/>
      <c r="K23" s="8"/>
      <c r="L23" s="8"/>
      <c r="M23" s="569"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9"/>
      <c r="AA24" s="57"/>
      <c r="AB24" s="57"/>
      <c r="AC24" s="569"/>
      <c r="AD24" s="57"/>
      <c r="AE24" s="57"/>
      <c r="AF24" s="569"/>
      <c r="AG24" s="57"/>
      <c r="AH24" s="57"/>
      <c r="AI24" s="569"/>
      <c r="AJ24" s="57"/>
      <c r="AK24" s="57"/>
      <c r="AL24" s="569"/>
      <c r="AM24" s="57"/>
      <c r="AN24" s="57"/>
      <c r="AO24" s="569"/>
      <c r="AP24" s="57"/>
      <c r="AQ24" s="569"/>
      <c r="AR24" s="57"/>
      <c r="AS24" s="4"/>
      <c r="AT24" s="4"/>
      <c r="AU24" s="40"/>
      <c r="AV24" s="569"/>
      <c r="AW24" s="57"/>
      <c r="AX24" s="57"/>
      <c r="AY24" s="569"/>
      <c r="AZ24" s="57"/>
      <c r="BA24" s="57"/>
      <c r="BB24" s="569"/>
      <c r="BC24" s="57"/>
      <c r="BD24" s="57"/>
      <c r="BE24" s="569"/>
      <c r="BF24" s="57"/>
      <c r="BG24" s="57"/>
      <c r="BH24" s="569"/>
      <c r="BI24" s="57"/>
      <c r="BJ24" s="57"/>
      <c r="BK24" s="569"/>
      <c r="BL24" s="57"/>
      <c r="BM24" s="569"/>
      <c r="BN24" s="57"/>
    </row>
    <row r="25" ht="15.75" customHeight="1" spans="1:66" x14ac:dyDescent="0.25">
      <c r="A25" s="4"/>
      <c r="B25" s="4"/>
      <c r="C25" s="40"/>
      <c r="D25" s="131"/>
      <c r="E25" s="75"/>
      <c r="F25" s="569" t="s">
        <v>22</v>
      </c>
      <c r="G25" s="569" t="s">
        <v>285</v>
      </c>
      <c r="H25" s="569" t="s">
        <v>672</v>
      </c>
      <c r="I25" s="569" t="s">
        <v>673</v>
      </c>
      <c r="J25" s="569" t="s">
        <v>674</v>
      </c>
      <c r="K25" s="569" t="s">
        <v>675</v>
      </c>
      <c r="L25" s="569" t="s">
        <v>676</v>
      </c>
      <c r="M25" s="569" t="s">
        <v>647</v>
      </c>
      <c r="N25" s="569" t="s">
        <v>279</v>
      </c>
      <c r="O25" s="569" t="s">
        <v>677</v>
      </c>
      <c r="P25" s="569" t="s">
        <v>678</v>
      </c>
      <c r="Q25" s="609" t="s">
        <v>679</v>
      </c>
      <c r="R25" s="569" t="s">
        <v>678</v>
      </c>
      <c r="S25" s="569" t="s">
        <v>680</v>
      </c>
      <c r="T25" s="569" t="s">
        <v>680</v>
      </c>
      <c r="U25" s="569" t="s">
        <v>681</v>
      </c>
      <c r="V25" s="569" t="s">
        <v>682</v>
      </c>
      <c r="W25" s="8"/>
      <c r="X25" s="4"/>
      <c r="Y25" s="40"/>
      <c r="Z25" s="8"/>
      <c r="AA25" s="8"/>
      <c r="AB25" s="8"/>
      <c r="AC25" s="8"/>
      <c r="AD25" s="8"/>
      <c r="AE25" s="8"/>
      <c r="AF25" s="8"/>
      <c r="AG25" s="8"/>
      <c r="AH25" s="8"/>
      <c r="AI25" s="569"/>
      <c r="AJ25" s="57"/>
      <c r="AK25" s="57"/>
      <c r="AL25" s="8"/>
      <c r="AM25" s="8"/>
      <c r="AN25" s="8"/>
      <c r="AO25" s="8"/>
      <c r="AP25" s="8"/>
      <c r="AQ25" s="8"/>
      <c r="AR25" s="8"/>
      <c r="AS25" s="4"/>
      <c r="AT25" s="4"/>
      <c r="AU25" s="40"/>
      <c r="AV25" s="8"/>
      <c r="AW25" s="8"/>
      <c r="AX25" s="8"/>
      <c r="AY25" s="8"/>
      <c r="AZ25" s="8"/>
      <c r="BA25" s="8"/>
      <c r="BB25" s="8"/>
      <c r="BC25" s="8"/>
      <c r="BD25" s="8"/>
      <c r="BE25" s="569"/>
      <c r="BF25" s="57"/>
      <c r="BG25" s="57"/>
      <c r="BH25" s="8"/>
      <c r="BI25" s="8"/>
      <c r="BJ25" s="8"/>
      <c r="BK25" s="8"/>
      <c r="BL25" s="8"/>
      <c r="BM25" s="8"/>
      <c r="BN25" s="8"/>
    </row>
    <row r="26" ht="15.75" customHeight="1" spans="1:66" x14ac:dyDescent="0.25">
      <c r="A26" s="4"/>
      <c r="B26" s="4"/>
      <c r="C26" s="40"/>
      <c r="D26" s="75"/>
      <c r="E26" s="75"/>
      <c r="F26" s="75"/>
      <c r="G26" s="75"/>
      <c r="H26" s="75"/>
      <c r="I26" s="8"/>
      <c r="J26" s="571"/>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2" t="s">
        <v>21</v>
      </c>
      <c r="E27" s="572"/>
      <c r="F27" s="573" t="s">
        <v>23</v>
      </c>
      <c r="G27" s="575">
        <v>0.291576</v>
      </c>
      <c r="H27" s="610">
        <v>1.50456</v>
      </c>
      <c r="I27" s="575">
        <v>0.026930999999999997</v>
      </c>
      <c r="J27" s="575">
        <v>0.01853090969895821</v>
      </c>
      <c r="K27" s="575">
        <v>0.066885</v>
      </c>
      <c r="L27" s="575">
        <v>0.0104</v>
      </c>
      <c r="M27" s="576">
        <v>0.760617</v>
      </c>
      <c r="N27" s="576" t="s">
        <v>683</v>
      </c>
      <c r="O27" s="576">
        <v>3.177415</v>
      </c>
      <c r="P27" s="576" t="s">
        <v>683</v>
      </c>
      <c r="Q27" s="576" t="s">
        <v>683</v>
      </c>
      <c r="R27" s="576" t="s">
        <v>683</v>
      </c>
      <c r="S27" s="610">
        <v>1.53476</v>
      </c>
      <c r="T27" s="610">
        <v>1.53613</v>
      </c>
      <c r="U27" s="573" t="s">
        <v>684</v>
      </c>
      <c r="V27" s="573" t="s">
        <v>685</v>
      </c>
      <c r="W27" s="8"/>
      <c r="X27" s="4"/>
      <c r="Y27" s="40"/>
      <c r="Z27" s="8"/>
      <c r="AA27" s="8"/>
      <c r="AB27" s="75"/>
      <c r="AC27" s="582"/>
      <c r="AD27" s="75"/>
      <c r="AE27" s="586"/>
      <c r="AF27" s="586"/>
      <c r="AG27" s="586"/>
      <c r="AH27" s="586"/>
      <c r="AI27" s="611"/>
      <c r="AJ27" s="585"/>
      <c r="AK27" s="611"/>
      <c r="AL27" s="585"/>
      <c r="AM27" s="583"/>
      <c r="AN27" s="583"/>
      <c r="AO27" s="75"/>
      <c r="AP27" s="75"/>
      <c r="AQ27" s="75"/>
      <c r="AR27" s="75"/>
      <c r="AS27" s="4"/>
      <c r="AT27" s="4"/>
      <c r="AU27" s="40"/>
      <c r="AV27" s="8"/>
      <c r="AW27" s="8"/>
      <c r="AX27" s="75"/>
      <c r="AY27" s="582"/>
      <c r="AZ27" s="75"/>
      <c r="BA27" s="586"/>
      <c r="BB27" s="586"/>
      <c r="BC27" s="586"/>
      <c r="BD27" s="586"/>
      <c r="BE27" s="611"/>
      <c r="BF27" s="585"/>
      <c r="BG27" s="611"/>
      <c r="BH27" s="585"/>
      <c r="BI27" s="583"/>
      <c r="BJ27" s="583"/>
      <c r="BK27" s="75"/>
      <c r="BL27" s="75"/>
      <c r="BM27" s="75"/>
      <c r="BN27" s="75"/>
    </row>
    <row r="28" ht="4.5" customHeight="1" spans="1:66" x14ac:dyDescent="0.25">
      <c r="A28" s="4"/>
      <c r="B28" s="4"/>
      <c r="C28" s="40"/>
      <c r="D28" s="8"/>
      <c r="E28" s="8"/>
      <c r="F28" s="75"/>
      <c r="G28" s="582"/>
      <c r="H28" s="75"/>
      <c r="I28" s="586"/>
      <c r="J28" s="586"/>
      <c r="K28" s="586"/>
      <c r="L28" s="586"/>
      <c r="M28" s="611"/>
      <c r="N28" s="585"/>
      <c r="O28" s="611"/>
      <c r="P28" s="585"/>
      <c r="Q28" s="583"/>
      <c r="R28" s="583"/>
      <c r="S28" s="75"/>
      <c r="T28" s="75"/>
      <c r="U28" s="75"/>
      <c r="V28" s="75"/>
      <c r="W28" s="8"/>
      <c r="X28" s="4"/>
      <c r="Y28" s="40"/>
      <c r="Z28" s="75"/>
      <c r="AA28" s="75"/>
      <c r="AB28" s="75"/>
      <c r="AC28" s="75"/>
      <c r="AD28" s="75"/>
      <c r="AE28" s="8"/>
      <c r="AF28" s="571"/>
      <c r="AG28" s="75"/>
      <c r="AH28" s="75"/>
      <c r="AI28" s="75"/>
      <c r="AJ28" s="75"/>
      <c r="AK28" s="75"/>
      <c r="AL28" s="75"/>
      <c r="AM28" s="75"/>
      <c r="AN28" s="75"/>
      <c r="AO28" s="75"/>
      <c r="AP28" s="75"/>
      <c r="AQ28" s="75"/>
      <c r="AR28" s="75"/>
      <c r="AS28" s="4"/>
      <c r="AT28" s="4"/>
      <c r="AU28" s="40"/>
      <c r="AV28" s="75"/>
      <c r="AW28" s="75"/>
      <c r="AX28" s="75"/>
      <c r="AY28" s="75"/>
      <c r="AZ28" s="75"/>
      <c r="BA28" s="8"/>
      <c r="BB28" s="571"/>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2">
        <v>0.27916</v>
      </c>
      <c r="H29" s="612">
        <v>1.54616</v>
      </c>
      <c r="I29" s="582">
        <v>0.017114</v>
      </c>
      <c r="J29" s="582">
        <v>0.15440885673720506</v>
      </c>
      <c r="K29" s="582">
        <v>0.14406</v>
      </c>
      <c r="L29" s="582">
        <v>0.095722</v>
      </c>
      <c r="M29" s="585">
        <v>0.06671</v>
      </c>
      <c r="N29" s="585" t="s">
        <v>683</v>
      </c>
      <c r="O29" s="585">
        <v>0.071478</v>
      </c>
      <c r="P29" s="585" t="s">
        <v>683</v>
      </c>
      <c r="Q29" s="585" t="s">
        <v>683</v>
      </c>
      <c r="R29" s="585" t="s">
        <v>683</v>
      </c>
      <c r="S29" s="612">
        <v>2.01324</v>
      </c>
      <c r="T29" s="612">
        <v>2.05673</v>
      </c>
      <c r="U29" s="75">
        <v>0</v>
      </c>
      <c r="V29" s="75">
        <v>0</v>
      </c>
      <c r="W29" s="8"/>
      <c r="X29" s="4"/>
      <c r="Y29" s="40"/>
      <c r="Z29" s="10" t="str">
        <f>Company_Name</f>
        <v>Jefferies Financial Group Inc.</v>
      </c>
      <c r="AA29" s="11"/>
      <c r="AB29" s="54" t="s">
        <v>686</v>
      </c>
      <c r="AC29" s="578">
        <v>0.246026</v>
      </c>
      <c r="AD29" s="613">
        <v>1.32679</v>
      </c>
      <c r="AE29" s="578">
        <v>0.015541000000000001</v>
      </c>
      <c r="AF29" s="578">
        <v>0.39441918935110964</v>
      </c>
      <c r="AG29" s="578">
        <v>3.353264</v>
      </c>
      <c r="AH29" s="578">
        <v>0.153199</v>
      </c>
      <c r="AI29" s="579">
        <v>94.8025</v>
      </c>
      <c r="AJ29" s="579">
        <v>1.9578</v>
      </c>
      <c r="AK29" s="579">
        <v>1824.0083</v>
      </c>
      <c r="AL29" s="579">
        <v>15.35321</v>
      </c>
      <c r="AM29" s="579">
        <v>13.29931</v>
      </c>
      <c r="AN29" s="579">
        <v>12.49083</v>
      </c>
      <c r="AO29" s="613">
        <v>0.27742</v>
      </c>
      <c r="AP29" s="613">
        <v>1.19199</v>
      </c>
      <c r="AQ29" s="54" t="s">
        <v>687</v>
      </c>
      <c r="AR29" s="55" t="s">
        <v>685</v>
      </c>
      <c r="AS29" s="4"/>
      <c r="AT29" s="4"/>
      <c r="AU29" s="40"/>
      <c r="AV29" s="10" t="str">
        <f>Company_Name</f>
        <v>Jefferies Financial Group Inc.</v>
      </c>
      <c r="AW29" s="11"/>
      <c r="AX29" s="54" t="s">
        <v>686</v>
      </c>
      <c r="AY29" s="578">
        <v>0.246026</v>
      </c>
      <c r="AZ29" s="613">
        <v>1.32679</v>
      </c>
      <c r="BA29" s="578">
        <v>0.015541000000000001</v>
      </c>
      <c r="BB29" s="578">
        <v>0.39441918935110964</v>
      </c>
      <c r="BC29" s="578">
        <v>3.353264</v>
      </c>
      <c r="BD29" s="578">
        <v>0.153199</v>
      </c>
      <c r="BE29" s="579">
        <v>94.8025</v>
      </c>
      <c r="BF29" s="579">
        <v>1.9578</v>
      </c>
      <c r="BG29" s="579">
        <v>1824.0083</v>
      </c>
      <c r="BH29" s="579">
        <v>15.35321</v>
      </c>
      <c r="BI29" s="579">
        <v>13.29931</v>
      </c>
      <c r="BJ29" s="579">
        <v>12.49083</v>
      </c>
      <c r="BK29" s="613">
        <v>0.27742</v>
      </c>
      <c r="BL29" s="613">
        <v>1.19199</v>
      </c>
      <c r="BM29" s="54" t="s">
        <v>687</v>
      </c>
      <c r="BN29" s="55" t="s">
        <v>685</v>
      </c>
    </row>
    <row r="30" ht="15.75" customHeight="1" spans="1:66" x14ac:dyDescent="0.25">
      <c r="A30" s="4"/>
      <c r="B30" s="4"/>
      <c r="C30" s="40"/>
      <c r="D30" s="8" t="s">
        <v>652</v>
      </c>
      <c r="E30" s="8"/>
      <c r="F30" s="75" t="s">
        <v>653</v>
      </c>
      <c r="G30" s="582">
        <v>0.212252</v>
      </c>
      <c r="H30" s="612">
        <v>1.1456</v>
      </c>
      <c r="I30" s="582">
        <v>0.014717000000000001</v>
      </c>
      <c r="J30" s="582">
        <v>0.1475493464892458</v>
      </c>
      <c r="K30" s="582">
        <v>0.117282</v>
      </c>
      <c r="L30" s="582">
        <v>0.016457</v>
      </c>
      <c r="M30" s="585">
        <v>0.28213699999999997</v>
      </c>
      <c r="N30" s="585" t="s">
        <v>683</v>
      </c>
      <c r="O30" s="585">
        <v>0.393024</v>
      </c>
      <c r="P30" s="585" t="s">
        <v>683</v>
      </c>
      <c r="Q30" s="585" t="s">
        <v>683</v>
      </c>
      <c r="R30" s="585" t="s">
        <v>683</v>
      </c>
      <c r="S30" s="612">
        <v>0.84926</v>
      </c>
      <c r="T30" s="612">
        <v>0.86704</v>
      </c>
      <c r="U30" s="75" t="s">
        <v>684</v>
      </c>
      <c r="V30" s="75" t="s">
        <v>685</v>
      </c>
      <c r="W30" s="8"/>
      <c r="X30" s="4"/>
      <c r="Y30" s="40"/>
      <c r="Z30" s="8" t="e">
        <f>Z55</f>
        <v>#NAME?</v>
      </c>
      <c r="AA30" s="8"/>
      <c r="AB30" s="75" t="s">
        <v>688</v>
      </c>
      <c r="AC30" s="582">
        <v>0.14074</v>
      </c>
      <c r="AD30" s="612">
        <v>1.0574</v>
      </c>
      <c r="AE30" s="582">
        <v>0.023887000000000002</v>
      </c>
      <c r="AF30" s="582">
        <v>0.21877749021799892</v>
      </c>
      <c r="AG30" s="582">
        <v>0.032482000000000004</v>
      </c>
      <c r="AH30" s="582">
        <v>0.017917000000000002</v>
      </c>
      <c r="AI30" s="585">
        <v>31.4015</v>
      </c>
      <c r="AJ30" s="585">
        <v>4.73816</v>
      </c>
      <c r="AK30" s="585">
        <v>45.7758</v>
      </c>
      <c r="AL30" s="585">
        <v>5.0696</v>
      </c>
      <c r="AM30" s="585">
        <v>3.79474</v>
      </c>
      <c r="AN30" s="585">
        <v>1.76491</v>
      </c>
      <c r="AO30" s="612">
        <v>0.78071</v>
      </c>
      <c r="AP30" s="612">
        <v>1.21</v>
      </c>
      <c r="AQ30" s="75" t="s">
        <v>689</v>
      </c>
      <c r="AR30" s="75" t="s">
        <v>690</v>
      </c>
      <c r="AS30" s="4"/>
      <c r="AT30" s="4"/>
      <c r="AU30" s="40"/>
      <c r="AV30" s="8" t="e">
        <f>AV55</f>
        <v>#NAME?</v>
      </c>
      <c r="AW30" s="8"/>
      <c r="AX30" s="75" t="s">
        <v>691</v>
      </c>
      <c r="AY30" s="582">
        <v>0.19654</v>
      </c>
      <c r="AZ30" s="612">
        <v>0.95802</v>
      </c>
      <c r="BA30" s="582">
        <v>0.030351</v>
      </c>
      <c r="BB30" s="582">
        <v>0.22662902487906014</v>
      </c>
      <c r="BC30" s="582">
        <v>0.466124</v>
      </c>
      <c r="BD30" s="582">
        <v>0.10926399999999999</v>
      </c>
      <c r="BE30" s="585">
        <v>60.4629</v>
      </c>
      <c r="BF30" s="585">
        <v>2.09659</v>
      </c>
      <c r="BG30" s="585">
        <v>152.927</v>
      </c>
      <c r="BH30" s="585">
        <v>17.82987</v>
      </c>
      <c r="BI30" s="585">
        <v>14.99244</v>
      </c>
      <c r="BJ30" s="585">
        <v>13.36862</v>
      </c>
      <c r="BK30" s="612">
        <v>1.24245</v>
      </c>
      <c r="BL30" s="612">
        <v>1.885</v>
      </c>
      <c r="BM30" s="75" t="s">
        <v>692</v>
      </c>
      <c r="BN30" s="75" t="s">
        <v>690</v>
      </c>
    </row>
    <row r="31" ht="15.75" customHeight="1" spans="1:66" x14ac:dyDescent="0.25">
      <c r="A31" s="4"/>
      <c r="B31" s="4"/>
      <c r="C31" s="40"/>
      <c r="D31" s="8" t="s">
        <v>654</v>
      </c>
      <c r="E31" s="8"/>
      <c r="F31" s="75" t="s">
        <v>655</v>
      </c>
      <c r="G31" s="582">
        <v>0.213338</v>
      </c>
      <c r="H31" s="612">
        <v>1.00586</v>
      </c>
      <c r="I31" s="582">
        <v>0.012054</v>
      </c>
      <c r="J31" s="582">
        <v>0.12981375789348265</v>
      </c>
      <c r="K31" s="582">
        <v>0.17845199999999997</v>
      </c>
      <c r="L31" s="582">
        <v>0</v>
      </c>
      <c r="M31" s="585">
        <v>0.269569</v>
      </c>
      <c r="N31" s="585" t="s">
        <v>683</v>
      </c>
      <c r="O31" s="585">
        <v>0.369056</v>
      </c>
      <c r="P31" s="585" t="s">
        <v>683</v>
      </c>
      <c r="Q31" s="585" t="s">
        <v>683</v>
      </c>
      <c r="R31" s="585" t="s">
        <v>683</v>
      </c>
      <c r="S31" s="612">
        <v>0</v>
      </c>
      <c r="T31" s="612">
        <v>0</v>
      </c>
      <c r="U31" s="75" t="s">
        <v>689</v>
      </c>
      <c r="V31" s="75" t="s">
        <v>685</v>
      </c>
      <c r="W31" s="8"/>
      <c r="X31" s="4"/>
      <c r="Y31" s="40"/>
      <c r="Z31" s="8"/>
      <c r="AA31" s="8"/>
      <c r="AB31" s="75"/>
      <c r="AC31" s="582"/>
      <c r="AD31" s="612"/>
      <c r="AE31" s="582"/>
      <c r="AF31" s="582"/>
      <c r="AG31" s="582"/>
      <c r="AH31" s="582"/>
      <c r="AI31" s="585"/>
      <c r="AJ31" s="585"/>
      <c r="AK31" s="585"/>
      <c r="AL31" s="585"/>
      <c r="AM31" s="585"/>
      <c r="AN31" s="585"/>
      <c r="AO31" s="612"/>
      <c r="AP31" s="612"/>
      <c r="AQ31" s="75"/>
      <c r="AR31" s="75"/>
      <c r="AS31" s="4"/>
      <c r="AT31" s="4"/>
      <c r="AU31" s="40"/>
      <c r="AV31" s="8"/>
      <c r="AW31" s="8"/>
      <c r="AX31" s="75"/>
      <c r="AY31" s="582"/>
      <c r="AZ31" s="612"/>
      <c r="BA31" s="582"/>
      <c r="BB31" s="582"/>
      <c r="BC31" s="582"/>
      <c r="BD31" s="582"/>
      <c r="BE31" s="585"/>
      <c r="BF31" s="585"/>
      <c r="BG31" s="585"/>
      <c r="BH31" s="585"/>
      <c r="BI31" s="585"/>
      <c r="BJ31" s="585"/>
      <c r="BK31" s="612"/>
      <c r="BL31" s="612"/>
      <c r="BM31" s="75"/>
      <c r="BN31" s="75"/>
    </row>
    <row r="32" ht="15.75" customHeight="1" spans="1:66" x14ac:dyDescent="0.25">
      <c r="A32" s="4"/>
      <c r="B32" s="4"/>
      <c r="C32" s="40"/>
      <c r="D32" s="8" t="s">
        <v>656</v>
      </c>
      <c r="E32" s="8"/>
      <c r="F32" s="75" t="s">
        <v>657</v>
      </c>
      <c r="G32" s="582">
        <v>0.24772300000000003</v>
      </c>
      <c r="H32" s="612">
        <v>0.95237</v>
      </c>
      <c r="I32" s="582">
        <v>0.013007999999999999</v>
      </c>
      <c r="J32" s="582">
        <v>0.2587443251646297</v>
      </c>
      <c r="K32" s="582">
        <v>0.20292000000000002</v>
      </c>
      <c r="L32" s="582">
        <v>0.121761</v>
      </c>
      <c r="M32" s="585">
        <v>0.16768999999999998</v>
      </c>
      <c r="N32" s="585" t="s">
        <v>683</v>
      </c>
      <c r="O32" s="585">
        <v>0.20147500000000002</v>
      </c>
      <c r="P32" s="585" t="s">
        <v>683</v>
      </c>
      <c r="Q32" s="585" t="s">
        <v>683</v>
      </c>
      <c r="R32" s="585" t="s">
        <v>683</v>
      </c>
      <c r="S32" s="612">
        <v>1.21391</v>
      </c>
      <c r="T32" s="612">
        <v>1.21826</v>
      </c>
      <c r="U32" s="75">
        <v>0</v>
      </c>
      <c r="V32" s="75">
        <v>0</v>
      </c>
      <c r="W32" s="8"/>
      <c r="X32" s="4"/>
      <c r="Y32" s="40"/>
      <c r="Z32" s="8"/>
      <c r="AA32" s="8"/>
      <c r="AB32" s="75"/>
      <c r="AC32" s="582"/>
      <c r="AD32" s="612"/>
      <c r="AE32" s="582"/>
      <c r="AF32" s="582"/>
      <c r="AG32" s="582"/>
      <c r="AH32" s="582"/>
      <c r="AI32" s="585"/>
      <c r="AJ32" s="585"/>
      <c r="AK32" s="585"/>
      <c r="AL32" s="585"/>
      <c r="AM32" s="585"/>
      <c r="AN32" s="585"/>
      <c r="AO32" s="612"/>
      <c r="AP32" s="612"/>
      <c r="AQ32" s="75"/>
      <c r="AR32" s="75"/>
      <c r="AS32" s="4"/>
      <c r="AT32" s="4"/>
      <c r="AU32" s="40"/>
      <c r="AV32" s="8"/>
      <c r="AW32" s="8"/>
      <c r="AX32" s="75"/>
      <c r="AY32" s="582"/>
      <c r="AZ32" s="612"/>
      <c r="BA32" s="582"/>
      <c r="BB32" s="582"/>
      <c r="BC32" s="582"/>
      <c r="BD32" s="582"/>
      <c r="BE32" s="585"/>
      <c r="BF32" s="585"/>
      <c r="BG32" s="585"/>
      <c r="BH32" s="585"/>
      <c r="BI32" s="585"/>
      <c r="BJ32" s="585"/>
      <c r="BK32" s="612"/>
      <c r="BL32" s="612"/>
      <c r="BM32" s="75"/>
      <c r="BN32" s="75"/>
    </row>
    <row r="33" ht="15.75" customHeight="1" spans="1:66" x14ac:dyDescent="0.25">
      <c r="A33" s="4"/>
      <c r="B33" s="4"/>
      <c r="C33" s="40"/>
      <c r="D33" s="8"/>
      <c r="E33" s="8"/>
      <c r="F33" s="75"/>
      <c r="G33" s="582"/>
      <c r="H33" s="75"/>
      <c r="I33" s="586"/>
      <c r="J33" s="586"/>
      <c r="K33" s="586"/>
      <c r="L33" s="586"/>
      <c r="M33" s="611"/>
      <c r="N33" s="75"/>
      <c r="O33" s="614"/>
      <c r="P33" s="585"/>
      <c r="Q33" s="585"/>
      <c r="R33" s="585"/>
      <c r="S33" s="75"/>
      <c r="T33" s="75"/>
      <c r="U33" s="75"/>
      <c r="V33" s="75"/>
      <c r="W33" s="8"/>
      <c r="X33" s="4"/>
      <c r="Y33" s="40"/>
      <c r="Z33" s="8" t="e">
        <f t="shared" ref="Z33:Z36" si="4">Z56</f>
        <v>#NAME?</v>
      </c>
      <c r="AA33" s="8"/>
      <c r="AB33" s="75" t="s">
        <v>693</v>
      </c>
      <c r="AC33" s="582">
        <v>0.14074</v>
      </c>
      <c r="AD33" s="612">
        <v>1.62028</v>
      </c>
      <c r="AE33" s="582">
        <v>0</v>
      </c>
      <c r="AF33" s="582">
        <v>0.21877749021799892</v>
      </c>
      <c r="AG33" s="582">
        <v>0.032482000000000004</v>
      </c>
      <c r="AH33" s="582">
        <v>-0.016131</v>
      </c>
      <c r="AI33" s="585">
        <v>138.5723</v>
      </c>
      <c r="AJ33" s="585" t="s">
        <v>694</v>
      </c>
      <c r="AK33" s="585" t="s">
        <v>694</v>
      </c>
      <c r="AL33" s="585" t="s">
        <v>694</v>
      </c>
      <c r="AM33" s="585" t="s">
        <v>694</v>
      </c>
      <c r="AN33" s="585" t="s">
        <v>694</v>
      </c>
      <c r="AO33" s="612">
        <v>0.40835</v>
      </c>
      <c r="AP33" s="612">
        <v>1.3937</v>
      </c>
      <c r="AQ33" s="75" t="s">
        <v>695</v>
      </c>
      <c r="AR33" s="75" t="s">
        <v>690</v>
      </c>
      <c r="AS33" s="4"/>
      <c r="AT33" s="4"/>
      <c r="AU33" s="40"/>
      <c r="AV33" s="8" t="e">
        <f t="shared" ref="AV33:AV36" si="5">AV56</f>
        <v>#NAME?</v>
      </c>
      <c r="AW33" s="8"/>
      <c r="AX33" s="75" t="s">
        <v>696</v>
      </c>
      <c r="AY33" s="582">
        <v>0.19654</v>
      </c>
      <c r="AZ33" s="612">
        <v>1.07651</v>
      </c>
      <c r="BA33" s="582">
        <v>0.0030159999999999996</v>
      </c>
      <c r="BB33" s="582">
        <v>0.22662902487906014</v>
      </c>
      <c r="BC33" s="582">
        <v>0.002275</v>
      </c>
      <c r="BD33" s="582">
        <v>0.0022489999999999997</v>
      </c>
      <c r="BE33" s="585">
        <v>67.7933</v>
      </c>
      <c r="BF33" s="585">
        <v>11.46958</v>
      </c>
      <c r="BG33" s="585">
        <v>210.4952</v>
      </c>
      <c r="BH33" s="585">
        <v>5.10428</v>
      </c>
      <c r="BI33" s="585">
        <v>2.66467</v>
      </c>
      <c r="BJ33" s="585" t="s">
        <v>694</v>
      </c>
      <c r="BK33" s="612">
        <v>1.21993</v>
      </c>
      <c r="BL33" s="612">
        <v>1.57684</v>
      </c>
      <c r="BM33" s="75" t="s">
        <v>687</v>
      </c>
      <c r="BN33" s="75" t="s">
        <v>697</v>
      </c>
    </row>
    <row r="34" ht="15.75" customHeight="1" spans="1:66" x14ac:dyDescent="0.25">
      <c r="A34" s="4"/>
      <c r="B34" s="4"/>
      <c r="C34" s="40"/>
      <c r="D34" s="587" t="str">
        <f>D17</f>
        <v>High</v>
      </c>
      <c r="E34" s="588"/>
      <c r="F34" s="589"/>
      <c r="G34" s="591">
        <f t="shared" ref="G34:T34" si="6">MAX(G27:G32)</f>
        <v>0.291576</v>
      </c>
      <c r="H34" s="615">
        <f t="shared" si="6"/>
        <v>1.54616</v>
      </c>
      <c r="I34" s="591">
        <f t="shared" si="6"/>
        <v>0.026930999999999997</v>
      </c>
      <c r="J34" s="591">
        <f t="shared" si="6"/>
        <v>0.2587443251646297</v>
      </c>
      <c r="K34" s="591">
        <f t="shared" si="6"/>
        <v>0.20292000000000002</v>
      </c>
      <c r="L34" s="591">
        <f t="shared" si="6"/>
        <v>0.121761</v>
      </c>
      <c r="M34" s="593">
        <f t="shared" si="6"/>
        <v>0.760617</v>
      </c>
      <c r="N34" s="593" t="s">
        <v>683</v>
      </c>
      <c r="O34" s="593">
        <f t="shared" si="6"/>
        <v>3.177415</v>
      </c>
      <c r="P34" s="593" t="s">
        <v>683</v>
      </c>
      <c r="Q34" s="593" t="s">
        <v>683</v>
      </c>
      <c r="R34" s="593" t="s">
        <v>683</v>
      </c>
      <c r="S34" s="615">
        <f t="shared" si="6"/>
        <v>2.01324</v>
      </c>
      <c r="T34" s="615">
        <f t="shared" si="6"/>
        <v>2.05673</v>
      </c>
      <c r="U34" s="589"/>
      <c r="V34" s="616"/>
      <c r="W34" s="8"/>
      <c r="X34" s="4"/>
      <c r="Y34" s="40"/>
      <c r="Z34" s="8" t="e">
        <f t="shared" si="4"/>
        <v>#NAME?</v>
      </c>
      <c r="AA34" s="8"/>
      <c r="AB34" s="75" t="s">
        <v>698</v>
      </c>
      <c r="AC34" s="582">
        <v>0.14074</v>
      </c>
      <c r="AD34" s="612">
        <v>1.00423</v>
      </c>
      <c r="AE34" s="582">
        <v>0.022029999999999998</v>
      </c>
      <c r="AF34" s="582">
        <v>0.21877749021799892</v>
      </c>
      <c r="AG34" s="582">
        <v>0.399465</v>
      </c>
      <c r="AH34" s="582">
        <v>0.06958400000000001</v>
      </c>
      <c r="AI34" s="585">
        <v>49.7222</v>
      </c>
      <c r="AJ34" s="585">
        <v>1.52846</v>
      </c>
      <c r="AK34" s="585">
        <v>98.8953</v>
      </c>
      <c r="AL34" s="585">
        <v>10.78947</v>
      </c>
      <c r="AM34" s="585">
        <v>7.69298</v>
      </c>
      <c r="AN34" s="585">
        <v>7.77193</v>
      </c>
      <c r="AO34" s="612">
        <v>0.95642</v>
      </c>
      <c r="AP34" s="612">
        <v>1.09793</v>
      </c>
      <c r="AQ34" s="75" t="s">
        <v>695</v>
      </c>
      <c r="AR34" s="75" t="s">
        <v>690</v>
      </c>
      <c r="AS34" s="4"/>
      <c r="AT34" s="4"/>
      <c r="AU34" s="40"/>
      <c r="AV34" s="8" t="e">
        <f t="shared" si="5"/>
        <v>#NAME?</v>
      </c>
      <c r="AW34" s="8"/>
      <c r="AX34" s="75" t="s">
        <v>699</v>
      </c>
      <c r="AY34" s="582">
        <v>0.19078499999999998</v>
      </c>
      <c r="AZ34" s="612">
        <v>1.18583</v>
      </c>
      <c r="BA34" s="582">
        <v>0.016094</v>
      </c>
      <c r="BB34" s="582">
        <v>0.20011679501698756</v>
      </c>
      <c r="BC34" s="582">
        <v>0.276365</v>
      </c>
      <c r="BD34" s="582">
        <v>0.070619</v>
      </c>
      <c r="BE34" s="585">
        <v>56.6022</v>
      </c>
      <c r="BF34" s="585">
        <v>2.93637</v>
      </c>
      <c r="BG34" s="585">
        <v>130.4264</v>
      </c>
      <c r="BH34" s="585">
        <v>22.0195</v>
      </c>
      <c r="BI34" s="585">
        <v>19.49582</v>
      </c>
      <c r="BJ34" s="585">
        <v>18.53482</v>
      </c>
      <c r="BK34" s="612">
        <v>1.15815</v>
      </c>
      <c r="BL34" s="612">
        <v>1.46768</v>
      </c>
      <c r="BM34" s="75" t="s">
        <v>700</v>
      </c>
      <c r="BN34" s="75" t="s">
        <v>685</v>
      </c>
    </row>
    <row r="35" ht="15.75" customHeight="1" spans="1:66" x14ac:dyDescent="0.25">
      <c r="A35" s="4"/>
      <c r="B35" s="4"/>
      <c r="C35" s="40"/>
      <c r="D35" s="595" t="str">
        <f>D18</f>
        <v>Mean</v>
      </c>
      <c r="E35" s="461"/>
      <c r="F35" s="596"/>
      <c r="G35" s="598">
        <f t="shared" ref="G35:T35" si="7">AVERAGE(G27:G32)</f>
        <v>0.2488098</v>
      </c>
      <c r="H35" s="617">
        <f t="shared" si="7"/>
        <v>1.2309100000000002</v>
      </c>
      <c r="I35" s="598">
        <f t="shared" si="7"/>
        <v>0.016764800000000003</v>
      </c>
      <c r="J35" s="598">
        <f t="shared" si="7"/>
        <v>0.14180943919670427</v>
      </c>
      <c r="K35" s="598">
        <f t="shared" si="7"/>
        <v>0.14191979999999998</v>
      </c>
      <c r="L35" s="598">
        <f t="shared" si="7"/>
        <v>0.048868</v>
      </c>
      <c r="M35" s="600">
        <f t="shared" si="7"/>
        <v>0.30934459999999997</v>
      </c>
      <c r="N35" s="600" t="s">
        <v>683</v>
      </c>
      <c r="O35" s="600">
        <f t="shared" si="7"/>
        <v>0.8424896000000001</v>
      </c>
      <c r="P35" s="600" t="s">
        <v>683</v>
      </c>
      <c r="Q35" s="600" t="s">
        <v>683</v>
      </c>
      <c r="R35" s="600" t="s">
        <v>683</v>
      </c>
      <c r="S35" s="617">
        <f t="shared" si="7"/>
        <v>1.1222340000000002</v>
      </c>
      <c r="T35" s="617">
        <f t="shared" si="7"/>
        <v>1.135632</v>
      </c>
      <c r="U35" s="596"/>
      <c r="V35" s="618"/>
      <c r="W35" s="8"/>
      <c r="X35" s="4"/>
      <c r="Y35" s="40"/>
      <c r="Z35" s="8" t="e">
        <f t="shared" si="4"/>
        <v>#NAME?</v>
      </c>
      <c r="AA35" s="8"/>
      <c r="AB35" s="75" t="s">
        <v>701</v>
      </c>
      <c r="AC35" s="582">
        <v>0.16357</v>
      </c>
      <c r="AD35" s="612">
        <v>0.97956</v>
      </c>
      <c r="AE35" s="582">
        <v>0.028730000000000002</v>
      </c>
      <c r="AF35" s="582">
        <v>0.47399097894209075</v>
      </c>
      <c r="AG35" s="582">
        <v>1.395308</v>
      </c>
      <c r="AH35" s="582">
        <v>0.11113300000000001</v>
      </c>
      <c r="AI35" s="585">
        <v>68.7506</v>
      </c>
      <c r="AJ35" s="585">
        <v>1.2993</v>
      </c>
      <c r="AK35" s="585">
        <v>220.0066</v>
      </c>
      <c r="AL35" s="585">
        <v>17.29949</v>
      </c>
      <c r="AM35" s="585">
        <v>14.31134</v>
      </c>
      <c r="AN35" s="585">
        <v>15.0203</v>
      </c>
      <c r="AO35" s="612">
        <v>1.05383</v>
      </c>
      <c r="AP35" s="612">
        <v>1.3908</v>
      </c>
      <c r="AQ35" s="75" t="s">
        <v>689</v>
      </c>
      <c r="AR35" s="75" t="s">
        <v>685</v>
      </c>
      <c r="AS35" s="4"/>
      <c r="AT35" s="4"/>
      <c r="AU35" s="40"/>
      <c r="AV35" s="8" t="e">
        <f t="shared" si="5"/>
        <v>#NAME?</v>
      </c>
      <c r="AW35" s="8"/>
      <c r="AX35" s="75" t="s">
        <v>702</v>
      </c>
      <c r="AY35" s="582">
        <v>0.214669</v>
      </c>
      <c r="AZ35" s="612">
        <v>1.04534</v>
      </c>
      <c r="BA35" s="582">
        <v>0.004701</v>
      </c>
      <c r="BB35" s="582">
        <v>0.06270278611855058</v>
      </c>
      <c r="BC35" s="582">
        <v>0.101626</v>
      </c>
      <c r="BD35" s="582">
        <v>0.045176</v>
      </c>
      <c r="BE35" s="585">
        <v>48.453</v>
      </c>
      <c r="BF35" s="585">
        <v>4.87567</v>
      </c>
      <c r="BG35" s="585">
        <v>93.9979</v>
      </c>
      <c r="BH35" s="585">
        <v>9.22979</v>
      </c>
      <c r="BI35" s="585">
        <v>9.08725</v>
      </c>
      <c r="BJ35" s="585">
        <v>6.53769</v>
      </c>
      <c r="BK35" s="612">
        <v>0.58702</v>
      </c>
      <c r="BL35" s="612">
        <v>0.71686</v>
      </c>
      <c r="BM35" s="75" t="s">
        <v>687</v>
      </c>
      <c r="BN35" s="75" t="s">
        <v>685</v>
      </c>
    </row>
    <row r="36" ht="15.75" customHeight="1" spans="1:66" x14ac:dyDescent="0.25">
      <c r="A36" s="4"/>
      <c r="B36" s="4"/>
      <c r="C36" s="40"/>
      <c r="D36" s="595" t="str">
        <f>D19</f>
        <v>Median</v>
      </c>
      <c r="E36" s="461"/>
      <c r="F36" s="461"/>
      <c r="G36" s="598">
        <f t="shared" ref="G36:T36" si="8">MEDIAN(G27:G32)</f>
        <v>0.24772300000000003</v>
      </c>
      <c r="H36" s="617">
        <f t="shared" si="8"/>
        <v>1.1456</v>
      </c>
      <c r="I36" s="598">
        <f t="shared" si="8"/>
        <v>0.014717000000000001</v>
      </c>
      <c r="J36" s="598">
        <f t="shared" si="8"/>
        <v>0.1475493464892458</v>
      </c>
      <c r="K36" s="598">
        <f t="shared" si="8"/>
        <v>0.14406</v>
      </c>
      <c r="L36" s="598">
        <f t="shared" si="8"/>
        <v>0.016457</v>
      </c>
      <c r="M36" s="600">
        <f t="shared" si="8"/>
        <v>0.269569</v>
      </c>
      <c r="N36" s="600" t="s">
        <v>683</v>
      </c>
      <c r="O36" s="600">
        <f t="shared" si="8"/>
        <v>0.369056</v>
      </c>
      <c r="P36" s="600" t="s">
        <v>683</v>
      </c>
      <c r="Q36" s="600" t="s">
        <v>683</v>
      </c>
      <c r="R36" s="600" t="s">
        <v>683</v>
      </c>
      <c r="S36" s="617">
        <f t="shared" si="8"/>
        <v>1.21391</v>
      </c>
      <c r="T36" s="617">
        <f t="shared" si="8"/>
        <v>1.21826</v>
      </c>
      <c r="U36" s="596"/>
      <c r="V36" s="618"/>
      <c r="W36" s="8"/>
      <c r="X36" s="4"/>
      <c r="Y36" s="40"/>
      <c r="Z36" s="8" t="e">
        <f t="shared" si="4"/>
        <v>#NAME?</v>
      </c>
      <c r="AA36" s="8"/>
      <c r="AB36" s="75" t="s">
        <v>703</v>
      </c>
      <c r="AC36" s="582">
        <v>0.144581</v>
      </c>
      <c r="AD36" s="612">
        <v>0.83876</v>
      </c>
      <c r="AE36" s="582">
        <v>0.017213</v>
      </c>
      <c r="AF36" s="582">
        <v>0.17260347844787285</v>
      </c>
      <c r="AG36" s="582">
        <v>0.435548</v>
      </c>
      <c r="AH36" s="582">
        <v>0.063013</v>
      </c>
      <c r="AI36" s="585">
        <v>61.0894</v>
      </c>
      <c r="AJ36" s="585">
        <v>2.79754</v>
      </c>
      <c r="AK36" s="585">
        <v>156.9997</v>
      </c>
      <c r="AL36" s="585">
        <v>10.0118</v>
      </c>
      <c r="AM36" s="585">
        <v>7.6172</v>
      </c>
      <c r="AN36" s="585">
        <v>7.13153</v>
      </c>
      <c r="AO36" s="612">
        <v>1.2881</v>
      </c>
      <c r="AP36" s="612">
        <v>1.60167</v>
      </c>
      <c r="AQ36" s="75" t="s">
        <v>687</v>
      </c>
      <c r="AR36" s="75" t="s">
        <v>685</v>
      </c>
      <c r="AS36" s="4"/>
      <c r="AT36" s="4"/>
      <c r="AU36" s="40"/>
      <c r="AV36" s="8" t="e">
        <f t="shared" si="5"/>
        <v>#NAME?</v>
      </c>
      <c r="AW36" s="8"/>
      <c r="AX36" s="75" t="s">
        <v>704</v>
      </c>
      <c r="AY36" s="582">
        <v>0.147751</v>
      </c>
      <c r="AZ36" s="612">
        <v>1.53469</v>
      </c>
      <c r="BA36" s="582">
        <v>0.01928</v>
      </c>
      <c r="BB36" s="582">
        <v>0.1875555315535677</v>
      </c>
      <c r="BC36" s="582">
        <v>0.276819</v>
      </c>
      <c r="BD36" s="582">
        <v>0.085174</v>
      </c>
      <c r="BE36" s="585">
        <v>48.6629</v>
      </c>
      <c r="BF36" s="585">
        <v>2.10102</v>
      </c>
      <c r="BG36" s="585">
        <v>94.791</v>
      </c>
      <c r="BH36" s="585">
        <v>21.77714</v>
      </c>
      <c r="BI36" s="585">
        <v>18.70286</v>
      </c>
      <c r="BJ36" s="585">
        <v>16.27429</v>
      </c>
      <c r="BK36" s="612">
        <v>1.13656</v>
      </c>
      <c r="BL36" s="612">
        <v>1.52221</v>
      </c>
      <c r="BM36" s="75" t="s">
        <v>700</v>
      </c>
      <c r="BN36" s="75" t="s">
        <v>685</v>
      </c>
    </row>
    <row r="37" ht="15.75" customHeight="1" spans="1:66" x14ac:dyDescent="0.25">
      <c r="A37" s="4"/>
      <c r="B37" s="4"/>
      <c r="C37" s="40"/>
      <c r="D37" s="602" t="str">
        <f>D20</f>
        <v>Low</v>
      </c>
      <c r="E37" s="603"/>
      <c r="F37" s="603"/>
      <c r="G37" s="605">
        <f t="shared" ref="G37:T37" si="9">MIN(G27:G32)</f>
        <v>0.212252</v>
      </c>
      <c r="H37" s="619">
        <f t="shared" si="9"/>
        <v>0.95237</v>
      </c>
      <c r="I37" s="605">
        <f t="shared" si="9"/>
        <v>0.012054</v>
      </c>
      <c r="J37" s="605">
        <f t="shared" si="9"/>
        <v>0.01853090969895821</v>
      </c>
      <c r="K37" s="605">
        <f t="shared" si="9"/>
        <v>0.066885</v>
      </c>
      <c r="L37" s="605">
        <f t="shared" si="9"/>
        <v>0</v>
      </c>
      <c r="M37" s="607">
        <f t="shared" si="9"/>
        <v>0.06671</v>
      </c>
      <c r="N37" s="607" t="s">
        <v>683</v>
      </c>
      <c r="O37" s="607">
        <f t="shared" si="9"/>
        <v>0.071478</v>
      </c>
      <c r="P37" s="607" t="s">
        <v>683</v>
      </c>
      <c r="Q37" s="607" t="s">
        <v>683</v>
      </c>
      <c r="R37" s="607" t="s">
        <v>683</v>
      </c>
      <c r="S37" s="619">
        <f t="shared" si="9"/>
        <v>0</v>
      </c>
      <c r="T37" s="619">
        <f t="shared" si="9"/>
        <v>0</v>
      </c>
      <c r="U37" s="620"/>
      <c r="V37" s="621"/>
      <c r="W37" s="8"/>
      <c r="X37" s="4"/>
      <c r="Y37" s="40"/>
      <c r="Z37" s="8"/>
      <c r="AA37" s="8"/>
      <c r="AB37" s="75"/>
      <c r="AC37" s="582"/>
      <c r="AD37" s="75"/>
      <c r="AE37" s="586"/>
      <c r="AF37" s="586"/>
      <c r="AG37" s="586"/>
      <c r="AH37" s="586"/>
      <c r="AI37" s="611"/>
      <c r="AJ37" s="75"/>
      <c r="AK37" s="614"/>
      <c r="AL37" s="585"/>
      <c r="AM37" s="585"/>
      <c r="AN37" s="585"/>
      <c r="AO37" s="75"/>
      <c r="AP37" s="75"/>
      <c r="AQ37" s="75"/>
      <c r="AR37" s="75"/>
      <c r="AS37" s="4"/>
      <c r="AT37" s="4"/>
      <c r="AU37" s="40"/>
      <c r="AV37" s="8"/>
      <c r="AW37" s="8"/>
      <c r="AX37" s="75"/>
      <c r="AY37" s="582"/>
      <c r="AZ37" s="75"/>
      <c r="BA37" s="586"/>
      <c r="BB37" s="586"/>
      <c r="BC37" s="586"/>
      <c r="BD37" s="586"/>
      <c r="BE37" s="611"/>
      <c r="BF37" s="75"/>
      <c r="BG37" s="614"/>
      <c r="BH37" s="585"/>
      <c r="BI37" s="585"/>
      <c r="BJ37" s="585"/>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7">
        <f>Z19</f>
        <v>0</v>
      </c>
      <c r="AA38" s="588"/>
      <c r="AB38" s="589"/>
      <c r="AC38" s="591">
        <f t="shared" ref="AC38:AP38" si="10">MAX(AC29:AC36)</f>
        <v>0.246026</v>
      </c>
      <c r="AD38" s="615">
        <f t="shared" si="10"/>
        <v>1.62028</v>
      </c>
      <c r="AE38" s="591">
        <f t="shared" si="10"/>
        <v>0.028730000000000002</v>
      </c>
      <c r="AF38" s="591">
        <f t="shared" si="10"/>
        <v>0.47399097894209075</v>
      </c>
      <c r="AG38" s="591">
        <f t="shared" si="10"/>
        <v>3.353264</v>
      </c>
      <c r="AH38" s="591">
        <f t="shared" si="10"/>
        <v>0.153199</v>
      </c>
      <c r="AI38" s="593">
        <f t="shared" si="10"/>
        <v>138.5723</v>
      </c>
      <c r="AJ38" s="593">
        <f t="shared" si="10"/>
        <v>4.73816</v>
      </c>
      <c r="AK38" s="593">
        <f t="shared" si="10"/>
        <v>1824.0083</v>
      </c>
      <c r="AL38" s="593">
        <f t="shared" si="10"/>
        <v>17.29949</v>
      </c>
      <c r="AM38" s="593">
        <f t="shared" si="10"/>
        <v>14.31134</v>
      </c>
      <c r="AN38" s="593">
        <f t="shared" si="10"/>
        <v>15.0203</v>
      </c>
      <c r="AO38" s="615">
        <f t="shared" si="10"/>
        <v>1.2881</v>
      </c>
      <c r="AP38" s="615">
        <f t="shared" si="10"/>
        <v>1.60167</v>
      </c>
      <c r="AQ38" s="589"/>
      <c r="AR38" s="616"/>
      <c r="AS38" s="4"/>
      <c r="AT38" s="4"/>
      <c r="AU38" s="40"/>
      <c r="AV38" s="587">
        <f>AV19</f>
        <v>0</v>
      </c>
      <c r="AW38" s="588"/>
      <c r="AX38" s="589"/>
      <c r="AY38" s="591">
        <f t="shared" ref="AY38:BL38" si="11">MAX(AY29:AY36)</f>
        <v>0.246026</v>
      </c>
      <c r="AZ38" s="615">
        <f t="shared" si="11"/>
        <v>1.53469</v>
      </c>
      <c r="BA38" s="591">
        <f t="shared" si="11"/>
        <v>0.030351</v>
      </c>
      <c r="BB38" s="591">
        <f t="shared" si="11"/>
        <v>0.39441918935110964</v>
      </c>
      <c r="BC38" s="591">
        <f t="shared" si="11"/>
        <v>3.353264</v>
      </c>
      <c r="BD38" s="591">
        <f t="shared" si="11"/>
        <v>0.153199</v>
      </c>
      <c r="BE38" s="593">
        <f t="shared" si="11"/>
        <v>94.8025</v>
      </c>
      <c r="BF38" s="593">
        <f t="shared" si="11"/>
        <v>11.46958</v>
      </c>
      <c r="BG38" s="593">
        <f t="shared" si="11"/>
        <v>1824.0083</v>
      </c>
      <c r="BH38" s="593">
        <f t="shared" si="11"/>
        <v>22.0195</v>
      </c>
      <c r="BI38" s="593">
        <f t="shared" si="11"/>
        <v>19.49582</v>
      </c>
      <c r="BJ38" s="593">
        <f t="shared" si="11"/>
        <v>18.53482</v>
      </c>
      <c r="BK38" s="615">
        <f t="shared" si="11"/>
        <v>1.24245</v>
      </c>
      <c r="BL38" s="615">
        <f t="shared" si="11"/>
        <v>1.885</v>
      </c>
      <c r="BM38" s="589"/>
      <c r="BN38" s="616"/>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5">
        <f>Z20</f>
        <v>0</v>
      </c>
      <c r="AA39" s="461"/>
      <c r="AB39" s="596"/>
      <c r="AC39" s="598">
        <f t="shared" ref="AC39:AP39" si="12">AVERAGE(AC29:AC36)</f>
        <v>0.16273283333333333</v>
      </c>
      <c r="AD39" s="617">
        <f t="shared" si="12"/>
        <v>1.1378366666666666</v>
      </c>
      <c r="AE39" s="598">
        <f t="shared" si="12"/>
        <v>0.017900166666666665</v>
      </c>
      <c r="AF39" s="598">
        <f t="shared" si="12"/>
        <v>0.282891019565845</v>
      </c>
      <c r="AG39" s="598">
        <f t="shared" si="12"/>
        <v>0.9414248333333334</v>
      </c>
      <c r="AH39" s="598">
        <f t="shared" si="12"/>
        <v>0.0664525</v>
      </c>
      <c r="AI39" s="600">
        <f t="shared" si="12"/>
        <v>74.05641666666666</v>
      </c>
      <c r="AJ39" s="600">
        <f t="shared" si="12"/>
        <v>2.4642519999999997</v>
      </c>
      <c r="AK39" s="600">
        <f t="shared" si="12"/>
        <v>469.13713999999993</v>
      </c>
      <c r="AL39" s="600">
        <f t="shared" si="12"/>
        <v>11.704714</v>
      </c>
      <c r="AM39" s="600">
        <f t="shared" si="12"/>
        <v>9.343114</v>
      </c>
      <c r="AN39" s="600">
        <f t="shared" si="12"/>
        <v>8.835899999999999</v>
      </c>
      <c r="AO39" s="617">
        <f t="shared" si="12"/>
        <v>0.7941383333333333</v>
      </c>
      <c r="AP39" s="617">
        <f t="shared" si="12"/>
        <v>1.3143483333333335</v>
      </c>
      <c r="AQ39" s="596"/>
      <c r="AR39" s="618"/>
      <c r="AS39" s="4"/>
      <c r="AT39" s="4"/>
      <c r="AU39" s="40"/>
      <c r="AV39" s="595">
        <f>AV20</f>
        <v>0</v>
      </c>
      <c r="AW39" s="461"/>
      <c r="AX39" s="596"/>
      <c r="AY39" s="598">
        <f t="shared" ref="AY39:BL39" si="13">AVERAGE(AY29:AY36)</f>
        <v>0.1987185</v>
      </c>
      <c r="AZ39" s="617">
        <f t="shared" si="13"/>
        <v>1.1878633333333333</v>
      </c>
      <c r="BA39" s="598">
        <f t="shared" si="13"/>
        <v>0.014830500000000002</v>
      </c>
      <c r="BB39" s="598">
        <f t="shared" si="13"/>
        <v>0.21634205863305597</v>
      </c>
      <c r="BC39" s="598">
        <f t="shared" si="13"/>
        <v>0.7460788333333334</v>
      </c>
      <c r="BD39" s="598">
        <f t="shared" si="13"/>
        <v>0.0776135</v>
      </c>
      <c r="BE39" s="600">
        <f t="shared" si="13"/>
        <v>62.79613333333332</v>
      </c>
      <c r="BF39" s="600">
        <f t="shared" si="13"/>
        <v>4.239505</v>
      </c>
      <c r="BG39" s="600">
        <f t="shared" si="13"/>
        <v>417.7743</v>
      </c>
      <c r="BH39" s="600">
        <f t="shared" si="13"/>
        <v>15.218965000000003</v>
      </c>
      <c r="BI39" s="600">
        <f t="shared" si="13"/>
        <v>13.040391666666666</v>
      </c>
      <c r="BJ39" s="600">
        <f t="shared" si="13"/>
        <v>13.441250000000002</v>
      </c>
      <c r="BK39" s="617">
        <f t="shared" si="13"/>
        <v>0.9369216666666667</v>
      </c>
      <c r="BL39" s="617">
        <f t="shared" si="13"/>
        <v>1.3934300000000002</v>
      </c>
      <c r="BM39" s="596"/>
      <c r="BN39" s="618"/>
    </row>
    <row r="40" ht="15.75" customHeight="1" spans="1:66" x14ac:dyDescent="0.25">
      <c r="A40" s="4"/>
      <c r="B40" s="4"/>
      <c r="C40" s="40"/>
      <c r="D40" s="622"/>
      <c r="E40" s="622"/>
      <c r="F40" s="622"/>
      <c r="G40" s="623"/>
      <c r="H40" s="624"/>
      <c r="I40" s="623"/>
      <c r="J40" s="623"/>
      <c r="K40" s="623"/>
      <c r="L40" s="623"/>
      <c r="M40" s="623"/>
      <c r="N40" s="625"/>
      <c r="O40" s="623"/>
      <c r="P40" s="625"/>
      <c r="Q40" s="626"/>
      <c r="R40" s="625"/>
      <c r="S40" s="622"/>
      <c r="T40" s="623"/>
      <c r="U40" s="624"/>
      <c r="V40" s="624"/>
      <c r="W40" s="8"/>
      <c r="X40" s="4"/>
      <c r="Y40" s="40"/>
      <c r="Z40" s="595">
        <f>Z21</f>
        <v>0</v>
      </c>
      <c r="AA40" s="461"/>
      <c r="AB40" s="461"/>
      <c r="AC40" s="598">
        <f t="shared" ref="AC40:AP40" si="14">MEDIAN(AC29:AC36)</f>
        <v>0.1426605</v>
      </c>
      <c r="AD40" s="617">
        <f t="shared" si="14"/>
        <v>1.030815</v>
      </c>
      <c r="AE40" s="598">
        <f t="shared" si="14"/>
        <v>0.0196215</v>
      </c>
      <c r="AF40" s="598">
        <f t="shared" si="14"/>
        <v>0.21877749021799892</v>
      </c>
      <c r="AG40" s="598">
        <f t="shared" si="14"/>
        <v>0.4175065</v>
      </c>
      <c r="AH40" s="598">
        <f t="shared" si="14"/>
        <v>0.06629850000000001</v>
      </c>
      <c r="AI40" s="600">
        <f t="shared" si="14"/>
        <v>64.92</v>
      </c>
      <c r="AJ40" s="600">
        <f t="shared" si="14"/>
        <v>1.9578</v>
      </c>
      <c r="AK40" s="600">
        <f t="shared" si="14"/>
        <v>156.9997</v>
      </c>
      <c r="AL40" s="600">
        <f t="shared" si="14"/>
        <v>10.78947</v>
      </c>
      <c r="AM40" s="600">
        <f t="shared" si="14"/>
        <v>7.69298</v>
      </c>
      <c r="AN40" s="600">
        <f t="shared" si="14"/>
        <v>7.77193</v>
      </c>
      <c r="AO40" s="617">
        <f t="shared" si="14"/>
        <v>0.868565</v>
      </c>
      <c r="AP40" s="617">
        <f t="shared" si="14"/>
        <v>1.3004</v>
      </c>
      <c r="AQ40" s="596"/>
      <c r="AR40" s="618"/>
      <c r="AS40" s="4"/>
      <c r="AT40" s="4"/>
      <c r="AU40" s="40"/>
      <c r="AV40" s="595">
        <f>AV21</f>
        <v>0</v>
      </c>
      <c r="AW40" s="461"/>
      <c r="AX40" s="461"/>
      <c r="AY40" s="598">
        <f t="shared" ref="AY40:BL40" si="15">MEDIAN(AY29:AY36)</f>
        <v>0.19654</v>
      </c>
      <c r="AZ40" s="617">
        <f t="shared" si="15"/>
        <v>1.13117</v>
      </c>
      <c r="BA40" s="598">
        <f t="shared" si="15"/>
        <v>0.0158175</v>
      </c>
      <c r="BB40" s="598">
        <f t="shared" si="15"/>
        <v>0.21337290994802385</v>
      </c>
      <c r="BC40" s="598">
        <f t="shared" si="15"/>
        <v>0.276592</v>
      </c>
      <c r="BD40" s="598">
        <f t="shared" si="15"/>
        <v>0.07789650000000001</v>
      </c>
      <c r="BE40" s="600">
        <f t="shared" si="15"/>
        <v>58.53255</v>
      </c>
      <c r="BF40" s="600">
        <f t="shared" si="15"/>
        <v>2.518695</v>
      </c>
      <c r="BG40" s="600">
        <f t="shared" si="15"/>
        <v>141.67669999999998</v>
      </c>
      <c r="BH40" s="600">
        <f t="shared" si="15"/>
        <v>16.591540000000002</v>
      </c>
      <c r="BI40" s="600">
        <f t="shared" si="15"/>
        <v>14.145875</v>
      </c>
      <c r="BJ40" s="600">
        <f t="shared" si="15"/>
        <v>13.36862</v>
      </c>
      <c r="BK40" s="617">
        <f t="shared" si="15"/>
        <v>1.1473550000000001</v>
      </c>
      <c r="BL40" s="617">
        <f t="shared" si="15"/>
        <v>1.494945</v>
      </c>
      <c r="BM40" s="596"/>
      <c r="BN40" s="618"/>
    </row>
    <row r="41" ht="15.75" customHeight="1" spans="1:66" x14ac:dyDescent="0.25">
      <c r="A41" s="4"/>
      <c r="B41" s="4"/>
      <c r="C41" s="40" t="s">
        <v>3</v>
      </c>
      <c r="D41" s="8"/>
      <c r="E41" s="8"/>
      <c r="F41" s="8"/>
      <c r="G41" s="627"/>
      <c r="H41" s="75"/>
      <c r="I41" s="627"/>
      <c r="J41" s="627"/>
      <c r="K41" s="627"/>
      <c r="L41" s="627"/>
      <c r="M41" s="627"/>
      <c r="N41" s="585"/>
      <c r="O41" s="627"/>
      <c r="P41" s="585"/>
      <c r="Q41" s="583"/>
      <c r="R41" s="585"/>
      <c r="S41" s="8"/>
      <c r="T41" s="627"/>
      <c r="U41" s="75"/>
      <c r="V41" s="75"/>
      <c r="W41" s="8"/>
      <c r="X41" s="4"/>
      <c r="Y41" s="40" t="s">
        <v>3</v>
      </c>
      <c r="Z41" s="602">
        <f>Z22</f>
        <v>0</v>
      </c>
      <c r="AA41" s="603"/>
      <c r="AB41" s="603"/>
      <c r="AC41" s="605">
        <f t="shared" ref="AC41:AP41" si="16">MIN(AC29:AC36)</f>
        <v>0.14074</v>
      </c>
      <c r="AD41" s="619">
        <f t="shared" si="16"/>
        <v>0.83876</v>
      </c>
      <c r="AE41" s="605">
        <f t="shared" si="16"/>
        <v>0</v>
      </c>
      <c r="AF41" s="605">
        <f t="shared" si="16"/>
        <v>0.17260347844787285</v>
      </c>
      <c r="AG41" s="605">
        <f t="shared" si="16"/>
        <v>0.032482000000000004</v>
      </c>
      <c r="AH41" s="605">
        <f t="shared" si="16"/>
        <v>-0.016131</v>
      </c>
      <c r="AI41" s="607">
        <f t="shared" si="16"/>
        <v>31.4015</v>
      </c>
      <c r="AJ41" s="607">
        <f t="shared" si="16"/>
        <v>1.2993</v>
      </c>
      <c r="AK41" s="607">
        <f t="shared" si="16"/>
        <v>45.7758</v>
      </c>
      <c r="AL41" s="607">
        <f t="shared" si="16"/>
        <v>5.0696</v>
      </c>
      <c r="AM41" s="607">
        <f t="shared" si="16"/>
        <v>3.79474</v>
      </c>
      <c r="AN41" s="607">
        <f t="shared" si="16"/>
        <v>1.76491</v>
      </c>
      <c r="AO41" s="619">
        <f t="shared" si="16"/>
        <v>0.27742</v>
      </c>
      <c r="AP41" s="619">
        <f t="shared" si="16"/>
        <v>1.09793</v>
      </c>
      <c r="AQ41" s="620"/>
      <c r="AR41" s="621"/>
      <c r="AS41" s="4"/>
      <c r="AT41" s="4"/>
      <c r="AU41" s="40" t="s">
        <v>3</v>
      </c>
      <c r="AV41" s="602">
        <f>AV22</f>
        <v>0</v>
      </c>
      <c r="AW41" s="603"/>
      <c r="AX41" s="603"/>
      <c r="AY41" s="605">
        <f t="shared" ref="AY41:BL41" si="17">MIN(AY29:AY36)</f>
        <v>0.147751</v>
      </c>
      <c r="AZ41" s="619">
        <f t="shared" si="17"/>
        <v>0.95802</v>
      </c>
      <c r="BA41" s="605">
        <f t="shared" si="17"/>
        <v>0.0030159999999999996</v>
      </c>
      <c r="BB41" s="605">
        <f t="shared" si="17"/>
        <v>0.06270278611855058</v>
      </c>
      <c r="BC41" s="605">
        <f t="shared" si="17"/>
        <v>0.002275</v>
      </c>
      <c r="BD41" s="605">
        <f t="shared" si="17"/>
        <v>0.0022489999999999997</v>
      </c>
      <c r="BE41" s="607">
        <f t="shared" si="17"/>
        <v>48.453</v>
      </c>
      <c r="BF41" s="607">
        <f t="shared" si="17"/>
        <v>1.9578</v>
      </c>
      <c r="BG41" s="607">
        <f t="shared" si="17"/>
        <v>93.9979</v>
      </c>
      <c r="BH41" s="607">
        <f t="shared" si="17"/>
        <v>5.10428</v>
      </c>
      <c r="BI41" s="607">
        <f t="shared" si="17"/>
        <v>2.66467</v>
      </c>
      <c r="BJ41" s="607">
        <f t="shared" si="17"/>
        <v>6.53769</v>
      </c>
      <c r="BK41" s="619">
        <f t="shared" si="17"/>
        <v>0.27742</v>
      </c>
      <c r="BL41" s="619">
        <f t="shared" si="17"/>
        <v>0.71686</v>
      </c>
      <c r="BM41" s="620"/>
      <c r="BN41" s="621"/>
    </row>
    <row r="42" ht="15.75" customHeight="1" spans="1:66" x14ac:dyDescent="0.25">
      <c r="A42" s="4"/>
      <c r="B42" s="4"/>
      <c r="C42" s="40"/>
      <c r="D42" s="628" t="s">
        <v>705</v>
      </c>
      <c r="E42" s="629"/>
      <c r="F42" s="8"/>
      <c r="G42" s="627"/>
      <c r="H42" s="75"/>
      <c r="I42" s="627"/>
      <c r="J42" s="627"/>
      <c r="K42" s="627"/>
      <c r="M42" s="627"/>
      <c r="N42" s="585"/>
      <c r="O42" s="627"/>
      <c r="P42" s="585"/>
      <c r="Q42" s="583"/>
      <c r="R42" s="585"/>
      <c r="S42" s="8"/>
      <c r="T42" s="627"/>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30"/>
      <c r="E43" s="630"/>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9" t="str">
        <f>D4</f>
        <v>Middle Market Banking</v>
      </c>
      <c r="E44" s="57"/>
      <c r="F44" s="57"/>
      <c r="G44" s="57"/>
      <c r="H44" s="57"/>
      <c r="I44" s="57"/>
      <c r="J44" s="57"/>
      <c r="K44" s="57"/>
      <c r="L44" s="57"/>
      <c r="M44" s="57"/>
      <c r="N44" s="57"/>
      <c r="O44" s="57"/>
      <c r="P44" s="57"/>
      <c r="Q44" s="57"/>
      <c r="R44" s="57"/>
      <c r="S44" s="57"/>
      <c r="T44" s="57"/>
      <c r="U44" s="57"/>
      <c r="V44" s="57"/>
      <c r="W44" s="622"/>
      <c r="X44" s="4"/>
      <c r="Y44" s="40"/>
      <c r="Z44" s="622"/>
      <c r="AA44" s="622"/>
      <c r="AB44" s="622"/>
      <c r="AC44" s="623"/>
      <c r="AD44" s="624"/>
      <c r="AE44" s="623"/>
      <c r="AF44" s="623"/>
      <c r="AG44" s="623"/>
      <c r="AH44" s="623"/>
      <c r="AI44" s="623"/>
      <c r="AJ44" s="625"/>
      <c r="AK44" s="623"/>
      <c r="AL44" s="625"/>
      <c r="AM44" s="626"/>
      <c r="AN44" s="625"/>
      <c r="AO44" s="622"/>
      <c r="AP44" s="623"/>
      <c r="AQ44" s="624"/>
      <c r="AR44" s="624"/>
      <c r="AS44" s="4"/>
      <c r="AT44" s="4"/>
      <c r="AU44" s="40"/>
      <c r="AV44" s="622"/>
      <c r="AW44" s="622"/>
      <c r="AX44" s="622"/>
      <c r="AY44" s="623"/>
      <c r="AZ44" s="624"/>
      <c r="BA44" s="623"/>
      <c r="BB44" s="623"/>
      <c r="BC44" s="623"/>
      <c r="BD44" s="623"/>
      <c r="BE44" s="623"/>
      <c r="BF44" s="625"/>
      <c r="BG44" s="623"/>
      <c r="BH44" s="625"/>
      <c r="BI44" s="626"/>
      <c r="BJ44" s="625"/>
      <c r="BK44" s="622"/>
      <c r="BL44" s="623"/>
      <c r="BM44" s="624"/>
      <c r="BN44" s="624"/>
    </row>
    <row r="45" ht="15.75" customHeight="1" hidden="1" spans="1:66" x14ac:dyDescent="0.25" outlineLevel="2" collapsed="1">
      <c r="A45" s="4"/>
      <c r="B45" s="4"/>
      <c r="C45" s="40" t="s">
        <v>706</v>
      </c>
      <c r="D45" s="75"/>
      <c r="E45" s="75"/>
      <c r="F45" s="8"/>
      <c r="G45" s="8"/>
      <c r="H45" s="8"/>
      <c r="I45" s="8"/>
      <c r="J45" s="8"/>
      <c r="K45" s="8"/>
      <c r="L45" s="8"/>
      <c r="M45" s="8"/>
      <c r="N45" s="8"/>
      <c r="O45" s="8"/>
      <c r="P45" s="8"/>
      <c r="Q45" s="569" t="str">
        <f>Q6</f>
        <v>Enterprise Value / </v>
      </c>
      <c r="R45" s="57"/>
      <c r="S45" s="57"/>
      <c r="T45" s="197">
        <f>T6</f>
        <v>0</v>
      </c>
      <c r="U45" s="8"/>
      <c r="V45" s="8"/>
      <c r="W45" s="8"/>
      <c r="X45" s="4"/>
      <c r="Y45" s="40" t="s">
        <v>706</v>
      </c>
      <c r="Z45" s="8"/>
      <c r="AA45" s="8"/>
      <c r="AB45" s="8"/>
      <c r="AC45" s="627"/>
      <c r="AD45" s="75"/>
      <c r="AE45" s="627"/>
      <c r="AF45" s="627"/>
      <c r="AG45" s="627"/>
      <c r="AH45" s="627"/>
      <c r="AI45" s="627"/>
      <c r="AJ45" s="585"/>
      <c r="AK45" s="627"/>
      <c r="AL45" s="585"/>
      <c r="AM45" s="583"/>
      <c r="AN45" s="585"/>
      <c r="AO45" s="8"/>
      <c r="AP45" s="627"/>
      <c r="AQ45" s="75"/>
      <c r="AR45" s="75"/>
      <c r="AS45" s="4"/>
      <c r="AT45" s="4"/>
      <c r="AU45" s="40" t="s">
        <v>706</v>
      </c>
      <c r="AV45" s="8"/>
      <c r="AW45" s="8"/>
      <c r="AX45" s="8"/>
      <c r="AY45" s="627"/>
      <c r="AZ45" s="75"/>
      <c r="BA45" s="627"/>
      <c r="BB45" s="627"/>
      <c r="BC45" s="627"/>
      <c r="BD45" s="627"/>
      <c r="BE45" s="627"/>
      <c r="BF45" s="585"/>
      <c r="BG45" s="627"/>
      <c r="BH45" s="585"/>
      <c r="BI45" s="583"/>
      <c r="BJ45" s="585"/>
      <c r="BK45" s="8"/>
      <c r="BL45" s="627"/>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9" t="str">
        <f t="shared" si="18"/>
        <v>Sales</v>
      </c>
      <c r="J46" s="57"/>
      <c r="K46" s="569" t="str">
        <f>K7</f>
        <v>EPS</v>
      </c>
      <c r="L46" s="57"/>
      <c r="M46" s="569" t="str">
        <f>M7</f>
        <v>EBITDA Margin</v>
      </c>
      <c r="N46" s="57"/>
      <c r="O46" s="569" t="str">
        <f>O7</f>
        <v>Profit Margin</v>
      </c>
      <c r="P46" s="57"/>
      <c r="Q46" s="569" t="str">
        <f>Q7</f>
        <v>EBITDA</v>
      </c>
      <c r="R46" s="57"/>
      <c r="S46" s="569" t="str">
        <f>S7</f>
        <v>Sales</v>
      </c>
      <c r="T46" s="57"/>
      <c r="U46" s="569" t="str">
        <f>U7</f>
        <v>Price / Earnings</v>
      </c>
      <c r="V46" s="57"/>
      <c r="W46" s="8"/>
      <c r="X46" s="4"/>
      <c r="Y46" s="40"/>
      <c r="AB46" s="8"/>
      <c r="AC46" s="627"/>
      <c r="AD46" s="75"/>
      <c r="AE46" s="627"/>
      <c r="AF46" s="627"/>
      <c r="AG46" s="627"/>
      <c r="AH46" s="627"/>
      <c r="AI46" s="627"/>
      <c r="AJ46" s="585"/>
      <c r="AK46" s="627"/>
      <c r="AL46" s="585"/>
      <c r="AM46" s="583"/>
      <c r="AN46" s="585"/>
      <c r="AO46" s="8"/>
      <c r="AP46" s="627"/>
      <c r="AQ46" s="75"/>
      <c r="AR46" s="75"/>
      <c r="AS46" s="4"/>
      <c r="AT46" s="4"/>
      <c r="AU46" s="40"/>
      <c r="AX46" s="8"/>
      <c r="AY46" s="627"/>
      <c r="AZ46" s="75"/>
      <c r="BA46" s="627"/>
      <c r="BB46" s="627"/>
      <c r="BC46" s="627"/>
      <c r="BD46" s="627"/>
      <c r="BE46" s="627"/>
      <c r="BF46" s="585"/>
      <c r="BG46" s="627"/>
      <c r="BH46" s="585"/>
      <c r="BI46" s="583"/>
      <c r="BJ46" s="585"/>
      <c r="BK46" s="8"/>
      <c r="BL46" s="627"/>
      <c r="BM46" s="75"/>
      <c r="BN46" s="75"/>
    </row>
    <row r="47" ht="15.75" customHeight="1" hidden="1" spans="1:66" x14ac:dyDescent="0.25" outlineLevel="2" collapsed="1">
      <c r="A47" s="4"/>
      <c r="D47" s="131"/>
      <c r="E47" s="75"/>
      <c r="F47" s="569" t="str">
        <f>F8</f>
        <v>Ticker</v>
      </c>
      <c r="G47" s="569" t="str">
        <f t="shared" si="18"/>
        <v>Cap</v>
      </c>
      <c r="H47" s="569" t="str">
        <f t="shared" si="18"/>
        <v>Value</v>
      </c>
      <c r="I47" s="569" t="str">
        <f t="shared" si="18"/>
        <v>LTM</v>
      </c>
      <c r="J47" s="570">
        <f>J8</f>
        <v>45686</v>
      </c>
      <c r="K47" s="569" t="str">
        <f>K8</f>
        <v>LTM</v>
      </c>
      <c r="L47" s="570">
        <f>L8</f>
        <v>45686</v>
      </c>
      <c r="M47" s="569" t="str">
        <f>M8</f>
        <v>LTM</v>
      </c>
      <c r="N47" s="570">
        <f>N8</f>
        <v>45686</v>
      </c>
      <c r="O47" s="569" t="str">
        <f>O8</f>
        <v>LTM</v>
      </c>
      <c r="P47" s="570">
        <f>P8</f>
        <v>45686</v>
      </c>
      <c r="Q47" s="569" t="str">
        <f>Q8</f>
        <v>LTM</v>
      </c>
      <c r="R47" s="570">
        <f>R8</f>
        <v>45686</v>
      </c>
      <c r="S47" s="569" t="str">
        <f>S8</f>
        <v>LTM</v>
      </c>
      <c r="T47" s="570">
        <f>T8</f>
        <v>45686</v>
      </c>
      <c r="U47" s="569" t="str">
        <f>U8</f>
        <v>LTM</v>
      </c>
      <c r="V47" s="570">
        <f>V8</f>
        <v>45320</v>
      </c>
      <c r="W47" s="8"/>
      <c r="X47" s="4"/>
      <c r="Y47" s="40"/>
      <c r="Z47" s="630"/>
      <c r="AA47" s="630"/>
      <c r="AB47" s="40"/>
      <c r="AC47" s="197"/>
      <c r="AD47" s="197"/>
      <c r="AE47" s="197"/>
      <c r="AF47" s="197"/>
      <c r="AG47" s="197"/>
      <c r="AH47" s="197"/>
      <c r="AI47" s="197"/>
      <c r="AJ47" s="197"/>
      <c r="AK47" s="197"/>
      <c r="AL47" s="197"/>
      <c r="AM47" s="197"/>
      <c r="AN47" s="197"/>
      <c r="AO47" s="40"/>
      <c r="AP47" s="197"/>
      <c r="AQ47" s="197"/>
      <c r="AR47" s="197"/>
      <c r="AS47" s="4"/>
      <c r="AT47" s="4"/>
      <c r="AU47" s="40"/>
      <c r="AV47" s="630"/>
      <c r="AW47" s="630"/>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1"/>
      <c r="J48" s="75"/>
      <c r="K48" s="75"/>
      <c r="L48" s="75"/>
      <c r="M48" s="75"/>
      <c r="N48" s="75"/>
      <c r="O48" s="75"/>
      <c r="P48" s="75"/>
      <c r="Q48" s="75"/>
      <c r="R48" s="75"/>
      <c r="S48" s="75"/>
      <c r="T48" s="75"/>
      <c r="U48" s="75"/>
      <c r="V48" s="75"/>
      <c r="W48" s="8"/>
      <c r="X48" s="4"/>
      <c r="Y48" s="40"/>
      <c r="Z48" s="569" t="str">
        <f>Z4</f>
        <v>-</v>
      </c>
      <c r="AA48" s="57"/>
      <c r="AB48" s="57"/>
      <c r="AC48" s="57"/>
      <c r="AD48" s="57"/>
      <c r="AE48" s="57"/>
      <c r="AF48" s="57"/>
      <c r="AG48" s="57"/>
      <c r="AH48" s="57"/>
      <c r="AI48" s="57"/>
      <c r="AJ48" s="57"/>
      <c r="AK48" s="57"/>
      <c r="AL48" s="57"/>
      <c r="AM48" s="57"/>
      <c r="AN48" s="57"/>
      <c r="AO48" s="57"/>
      <c r="AP48" s="57"/>
      <c r="AQ48" s="57"/>
      <c r="AR48" s="57"/>
      <c r="AS48" s="4"/>
      <c r="AT48" s="4"/>
      <c r="AU48" s="40"/>
      <c r="AV48" s="569"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1" t="e">
        <f>_xll.ciqfunctions.udf.CIQ($B53, "IQ_COMPANY_NAME",Current_Date)</f>
        <v>#NAME?</v>
      </c>
      <c r="E49" s="632"/>
      <c r="F49" s="633" t="str">
        <f>$E$83</f>
        <v>JEF</v>
      </c>
      <c r="G49" s="634" t="e">
        <f>_xll.ciqfunctions.udf.CIQ($B53, "IQ_MARKETCAP",Current_Date)</f>
        <v>#NAME?</v>
      </c>
      <c r="H49" s="634" t="e">
        <f>_xll.ciqfunctions.udf.CIQ($B53, "IQ_TEV",Current_Date)</f>
        <v>#NAME?</v>
      </c>
      <c r="I49" s="635" t="e">
        <f>_xll.ciqfunctions.udf.CIQ($B53, "IQ_TOTAL_REV_1YR_ANN_GROWTH",IQ_LTM,Current_Date)/100</f>
        <v>#NAME?</v>
      </c>
      <c r="J49" s="635" t="e">
        <f>_xll.ciqfunctions.udf.CIQ($B53,"IQ_REVENUE_EST",IQ_FY+1)/(_xll.ciqfunctions.udf.CIQ($B53,"IQ_TOTAL_REV",IQ_FY))-1</f>
        <v>#NAME?</v>
      </c>
      <c r="K49" s="635" t="e">
        <f>_xll.ciqfunctions.udf.CIQ($B53, "IQ_EPS_1YR_ANN_GROWTH",IQ_LTM,Current_Date)/100</f>
        <v>#NAME?</v>
      </c>
      <c r="L49" s="635" t="e">
        <f>_xll.ciqfunctions.udf.CIQ($B53,"IQ_EPS_EST",IQ_FY+1)/(_xll.ciqfunctions.udf.CIQ($B53,"IQ_DILUT_EPS_INCL",IQ_FY))-1</f>
        <v>#NAME?</v>
      </c>
      <c r="M49" s="636" t="e">
        <f>_xll.ciqfunctions.udf.CIQ($B53, "IQ_EBITDA_MARGIN",IQ_LTM)/100</f>
        <v>#NAME?</v>
      </c>
      <c r="N49" s="635" t="e">
        <f>_xll.ciqfunctions.udf.CIQ($B53,"IQ_EBITDA_EST",IQ_FY+1)/(_xll.ciqfunctions.udf.CIQ($B53,"IQ_REVENUE_EST",IQ_FY+1))</f>
        <v>#NAME?</v>
      </c>
      <c r="O49" s="635" t="e">
        <f>_xll.ciqfunctions.udf.CIQ($B53, "IQ_NI_MARGIN",IQ_LTM)/100</f>
        <v>#NAME?</v>
      </c>
      <c r="P49" s="635" t="e">
        <f>_xll.ciqfunctions.udf.CIQ($B53,"IQ_NI_EST",IQ_FY+1)/(_xll.ciqfunctions.udf.CIQ($B53,"IQ_REVENUE_EST",IQ_FY+1))</f>
        <v>#NAME?</v>
      </c>
      <c r="Q49" s="637" t="e">
        <f>_xll.ciqfunctions.udf.CIQ($B53, "IQ_TEV_EBITDA",IQ_LTM)</f>
        <v>#NAME?</v>
      </c>
      <c r="R49" s="638" t="e">
        <f>_xll.ciqfunctions.udf.CIQ($B53, "IQ_TEV",Current_Date)/_xll.ciqfunctions.udf.CIQ($B53, "IQ_EBITDA_EST",IQ_FY+1)</f>
        <v>#NAME?</v>
      </c>
      <c r="S49" s="637" t="e">
        <f>_xll.ciqfunctions.udf.CIQ($B53, "IQ_TEV_TOTAL_REV",IQ_LTM)</f>
        <v>#NAME?</v>
      </c>
      <c r="T49" s="638" t="e">
        <f>_xll.ciqfunctions.udf.CIQ($B53, "IQ_TEV",Current_Date)/_xll.ciqfunctions.udf.CIQ($B53, "IQ_REVENUE_EST",IQ_FY+1)</f>
        <v>#NAME?</v>
      </c>
      <c r="U49" s="637" t="e">
        <f>_xll.ciqfunctions.udf.CIQ($B53, "IQ_PE_EXCL",IQ_LTM)</f>
        <v>#NAME?</v>
      </c>
      <c r="V49" s="637"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9"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9" t="str">
        <f>BI6</f>
        <v>Enterprise Value / </v>
      </c>
      <c r="BJ49" s="57"/>
      <c r="BK49" s="57"/>
      <c r="BL49" s="197">
        <f>BL6</f>
        <v>0</v>
      </c>
      <c r="BM49" s="8"/>
      <c r="BN49" s="8"/>
    </row>
    <row r="50" ht="15.75" customHeight="1" hidden="1" spans="1:66" x14ac:dyDescent="0.25" outlineLevel="2" collapsed="1">
      <c r="A50" s="4"/>
      <c r="D50" s="8"/>
      <c r="E50" s="8"/>
      <c r="F50" s="75"/>
      <c r="G50" s="75"/>
      <c r="H50" s="75"/>
      <c r="I50" s="571"/>
      <c r="J50" s="571"/>
      <c r="K50" s="571"/>
      <c r="L50" s="571"/>
      <c r="M50" s="571"/>
      <c r="N50" s="571"/>
      <c r="O50" s="627"/>
      <c r="P50" s="627"/>
      <c r="Q50" s="583"/>
      <c r="R50" s="583"/>
      <c r="S50" s="75"/>
      <c r="T50" s="75"/>
      <c r="U50" s="75"/>
      <c r="V50" s="75"/>
      <c r="W50" s="8"/>
      <c r="X50" s="4"/>
      <c r="Y50" s="40"/>
      <c r="Z50" s="75"/>
      <c r="AA50" s="75"/>
      <c r="AB50" s="75"/>
      <c r="AC50" s="75">
        <f t="shared" ref="AC50:AE51" si="19">AC7</f>
        <v>0</v>
      </c>
      <c r="AD50" s="75">
        <f t="shared" si="19"/>
        <v>0</v>
      </c>
      <c r="AE50" s="569">
        <f t="shared" si="19"/>
        <v>0</v>
      </c>
      <c r="AF50" s="57"/>
      <c r="AG50" s="569">
        <f>AG7</f>
        <v>0</v>
      </c>
      <c r="AH50" s="57"/>
      <c r="AI50" s="569">
        <f>AI7</f>
        <v>0</v>
      </c>
      <c r="AJ50" s="57"/>
      <c r="AK50" s="569">
        <f>AK7</f>
        <v>0</v>
      </c>
      <c r="AL50" s="57"/>
      <c r="AM50" s="569">
        <f>AM7</f>
        <v>0</v>
      </c>
      <c r="AN50" s="57"/>
      <c r="AO50" s="569">
        <f>AO7</f>
        <v>0</v>
      </c>
      <c r="AP50" s="57"/>
      <c r="AQ50" s="569">
        <f>AQ7</f>
        <v>0</v>
      </c>
      <c r="AR50" s="57"/>
      <c r="AS50" s="4"/>
      <c r="AT50" s="4"/>
      <c r="AU50" s="40"/>
      <c r="AV50" s="75"/>
      <c r="AW50" s="75"/>
      <c r="AX50" s="75"/>
      <c r="AY50" s="75">
        <f t="shared" ref="AY50:BA51" si="20">AY7</f>
        <v>0</v>
      </c>
      <c r="AZ50" s="75">
        <f t="shared" si="20"/>
        <v>0</v>
      </c>
      <c r="BA50" s="569">
        <f t="shared" si="20"/>
        <v>0</v>
      </c>
      <c r="BB50" s="57"/>
      <c r="BC50" s="569">
        <f>BC7</f>
        <v>0</v>
      </c>
      <c r="BD50" s="57"/>
      <c r="BE50" s="569">
        <f>BE7</f>
        <v>0</v>
      </c>
      <c r="BF50" s="57"/>
      <c r="BG50" s="569">
        <f>BG7</f>
        <v>0</v>
      </c>
      <c r="BH50" s="57"/>
      <c r="BI50" s="569">
        <f>BI7</f>
        <v>0</v>
      </c>
      <c r="BJ50" s="57"/>
      <c r="BK50" s="569">
        <f>BK7</f>
        <v>0</v>
      </c>
      <c r="BL50" s="57"/>
      <c r="BM50" s="569">
        <f>BM7</f>
        <v>0</v>
      </c>
      <c r="BN50" s="57"/>
    </row>
    <row r="51" ht="15.75" customHeight="1" hidden="1" spans="1:66" x14ac:dyDescent="0.25" outlineLevel="2" collapsed="1">
      <c r="A51" s="4"/>
      <c r="B51" s="40"/>
      <c r="C51" s="40"/>
      <c r="D51" s="8" t="str">
        <f>+E86</f>
        <v>Raymond James Financial, Inc.</v>
      </c>
      <c r="E51" s="8"/>
      <c r="F51" s="75" t="str">
        <f t="shared" ref="F51:F53" si="21">F68</f>
        <v>RJ</v>
      </c>
      <c r="G51" s="584" t="e">
        <f>_xll.ciqfunctions.udf.CIQ($B55, "IQ_MARKETCAP",Current_Date)</f>
        <v>#NAME?</v>
      </c>
      <c r="H51" s="584" t="e">
        <f>_xll.ciqfunctions.udf.CIQ($B55, "IQ_TEV",Current_Date)</f>
        <v>#NAME?</v>
      </c>
      <c r="I51" s="582" t="e">
        <f>_xll.ciqfunctions.udf.CIQ($B55, "IQ_TOTAL_REV_1YR_ANN_GROWTH",IQ_LTM,Current_Date)/100</f>
        <v>#NAME?</v>
      </c>
      <c r="J51" s="582" t="e">
        <f t="shared" ref="J51:J53" si="22">_xll.ciqfunctions.udf.CIQ($B55,"IQ_REVENUE_EST",IQ_FY+1)/(_xll.ciqfunctions.udf.CIQ($B55,"IQ_TOTAL_REV",IQ_FY))-1</f>
        <v>#NAME?</v>
      </c>
      <c r="K51" s="582" t="e">
        <f>_xll.ciqfunctions.udf.CIQ($B55, "IQ_EPS_1YR_ANN_GROWTH",IQ_LTM,Current_Date)/100</f>
        <v>#NAME?</v>
      </c>
      <c r="L51" s="582" t="e">
        <f t="shared" ref="L51:L53" si="23">_xll.ciqfunctions.udf.CIQ($B55,"IQ_EPS_EST",IQ_FY+1)/(_xll.ciqfunctions.udf.CIQ($B55,"IQ_DILUT_EPS_INCL",IQ_FY))-1</f>
        <v>#NAME?</v>
      </c>
      <c r="M51" s="639" t="e">
        <f t="shared" ref="M51:M53" si="24">_xll.ciqfunctions.udf.CIQ($B55, "IQ_EBITDA_MARGIN",IQ_LTM)/100</f>
        <v>#NAME?</v>
      </c>
      <c r="N51" s="582" t="e">
        <f t="shared" ref="N51:N53" si="25">_xll.ciqfunctions.udf.CIQ($B55,"IQ_EBITDA_EST",IQ_FY+1)/(_xll.ciqfunctions.udf.CIQ($B55,"IQ_REVENUE_EST",IQ_FY+1))</f>
        <v>#NAME?</v>
      </c>
      <c r="O51" s="582" t="e">
        <f t="shared" ref="O51:O53" si="26">_xll.ciqfunctions.udf.CIQ($B55, "IQ_NI_MARGIN",IQ_LTM)/100</f>
        <v>#NAME?</v>
      </c>
      <c r="P51" s="582" t="e">
        <f t="shared" ref="P51:P53" si="27">_xll.ciqfunctions.udf.CIQ($B55,"IQ_NI_EST",IQ_FY+1)/(_xll.ciqfunctions.udf.CIQ($B55,"IQ_REVENUE_EST",IQ_FY+1))</f>
        <v>#NAME?</v>
      </c>
      <c r="Q51" s="585" t="e">
        <f t="shared" ref="Q51:Q53" si="28">_xll.ciqfunctions.udf.CIQ($B55, "IQ_TEV_EBITDA",IQ_LTM)</f>
        <v>#NAME?</v>
      </c>
      <c r="R51" s="640" t="e">
        <f>_xll.ciqfunctions.udf.CIQ($B55, "IQ_TEV",Current_Date)/_xll.ciqfunctions.udf.CIQ($B55, "IQ_EBITDA_EST",IQ_FY+1)</f>
        <v>#NAME?</v>
      </c>
      <c r="S51" s="585" t="e">
        <f t="shared" ref="S51:S53" si="29">_xll.ciqfunctions.udf.CIQ($B55, "IQ_TEV_TOTAL_REV",IQ_LTM)</f>
        <v>#NAME?</v>
      </c>
      <c r="T51" s="640" t="e">
        <f>_xll.ciqfunctions.udf.CIQ($B55, "IQ_TEV",Current_Date)/_xll.ciqfunctions.udf.CIQ($B55, "IQ_REVENUE_EST",IQ_FY+1)</f>
        <v>#NAME?</v>
      </c>
      <c r="U51" s="585" t="e">
        <f t="shared" ref="U51:U53" si="30">_xll.ciqfunctions.udf.CIQ($B55, "IQ_PE_EXCL",IQ_LTM)</f>
        <v>#NAME?</v>
      </c>
      <c r="V51" s="585" t="e">
        <f>_xll.ciqfunctions.udf.CIQ($B55, "IQ_MARKETCAP",Current_Date)/_xll.ciqfunctions.udf.CIQ($B55, "IQ_NI_EST",IQ_FY+1)</f>
        <v>#NAME?</v>
      </c>
      <c r="W51" s="8"/>
      <c r="X51" s="4"/>
      <c r="Y51" s="40"/>
      <c r="Z51" s="131"/>
      <c r="AA51" s="75"/>
      <c r="AB51" s="569">
        <f>AB8</f>
        <v>0</v>
      </c>
      <c r="AC51" s="569">
        <f t="shared" si="19"/>
        <v>0</v>
      </c>
      <c r="AD51" s="569">
        <f t="shared" si="19"/>
        <v>0</v>
      </c>
      <c r="AE51" s="569">
        <f t="shared" si="19"/>
        <v>0</v>
      </c>
      <c r="AF51" s="570">
        <f>AF8</f>
        <v>0</v>
      </c>
      <c r="AG51" s="569">
        <f>AG8</f>
        <v>0</v>
      </c>
      <c r="AH51" s="570">
        <f>AH8</f>
        <v>0</v>
      </c>
      <c r="AI51" s="569">
        <f>AI8</f>
        <v>0</v>
      </c>
      <c r="AJ51" s="570">
        <f>AJ8</f>
        <v>0</v>
      </c>
      <c r="AK51" s="569">
        <f>AK8</f>
        <v>0</v>
      </c>
      <c r="AL51" s="570">
        <f>AL8</f>
        <v>0</v>
      </c>
      <c r="AM51" s="569">
        <f>AM8</f>
        <v>0</v>
      </c>
      <c r="AN51" s="570">
        <f>AN8</f>
        <v>0</v>
      </c>
      <c r="AO51" s="569">
        <f>AO8</f>
        <v>0</v>
      </c>
      <c r="AP51" s="570">
        <f>AP8</f>
        <v>0</v>
      </c>
      <c r="AQ51" s="569">
        <f>AQ8</f>
        <v>0</v>
      </c>
      <c r="AR51" s="570">
        <f>AR8</f>
        <v>0</v>
      </c>
      <c r="AS51" s="4"/>
      <c r="AT51" s="4"/>
      <c r="AU51" s="40"/>
      <c r="AV51" s="131"/>
      <c r="AW51" s="75"/>
      <c r="AX51" s="569">
        <f>AX8</f>
        <v>0</v>
      </c>
      <c r="AY51" s="569">
        <f t="shared" si="20"/>
        <v>0</v>
      </c>
      <c r="AZ51" s="569">
        <f t="shared" si="20"/>
        <v>0</v>
      </c>
      <c r="BA51" s="569">
        <f t="shared" si="20"/>
        <v>0</v>
      </c>
      <c r="BB51" s="570">
        <f>BB8</f>
        <v>0</v>
      </c>
      <c r="BC51" s="569">
        <f>BC8</f>
        <v>0</v>
      </c>
      <c r="BD51" s="570">
        <f>BD8</f>
        <v>0</v>
      </c>
      <c r="BE51" s="569">
        <f>BE8</f>
        <v>0</v>
      </c>
      <c r="BF51" s="570">
        <f>BF8</f>
        <v>0</v>
      </c>
      <c r="BG51" s="569">
        <f>BG8</f>
        <v>0</v>
      </c>
      <c r="BH51" s="570">
        <f>BH8</f>
        <v>0</v>
      </c>
      <c r="BI51" s="569">
        <f>BI8</f>
        <v>0</v>
      </c>
      <c r="BJ51" s="570">
        <f>BJ8</f>
        <v>0</v>
      </c>
      <c r="BK51" s="569">
        <f>BK8</f>
        <v>0</v>
      </c>
      <c r="BL51" s="570">
        <f>BL8</f>
        <v>0</v>
      </c>
      <c r="BM51" s="569">
        <f>BM8</f>
        <v>0</v>
      </c>
      <c r="BN51" s="570">
        <f>BN8</f>
        <v>0</v>
      </c>
    </row>
    <row r="52" ht="15.75" customHeight="1" hidden="1" spans="1:66" x14ac:dyDescent="0.25" outlineLevel="2" collapsed="1">
      <c r="A52" s="4"/>
      <c r="B52" s="40"/>
      <c r="C52" s="40"/>
      <c r="D52" s="8" t="e">
        <f>_xll.ciqfunctions.udf.CIQ($B56, "IQ_COMPANY_NAME",Current_Date)</f>
        <v>#NAME?</v>
      </c>
      <c r="E52" s="8"/>
      <c r="F52" s="75" t="str">
        <f t="shared" si="21"/>
        <v>HLI</v>
      </c>
      <c r="G52" s="584" t="e">
        <f>_xll.ciqfunctions.udf.CIQ($B56, "IQ_MARKETCAP",Current_Date)</f>
        <v>#NAME?</v>
      </c>
      <c r="H52" s="584" t="e">
        <f>_xll.ciqfunctions.udf.CIQ($B56, "IQ_TEV",Current_Date)</f>
        <v>#NAME?</v>
      </c>
      <c r="I52" s="582" t="e">
        <f>_xll.ciqfunctions.udf.CIQ($B56, "IQ_TOTAL_REV_1YR_ANN_GROWTH",IQ_LTM,Current_Date)/100</f>
        <v>#NAME?</v>
      </c>
      <c r="J52" s="582" t="e">
        <f t="shared" si="22"/>
        <v>#NAME?</v>
      </c>
      <c r="K52" s="582" t="e">
        <f>_xll.ciqfunctions.udf.CIQ($B56, "IQ_EPS_1YR_ANN_GROWTH",IQ_LTM,Current_Date)/100</f>
        <v>#NAME?</v>
      </c>
      <c r="L52" s="582" t="e">
        <f t="shared" si="23"/>
        <v>#NAME?</v>
      </c>
      <c r="M52" s="582" t="e">
        <f t="shared" si="24"/>
        <v>#NAME?</v>
      </c>
      <c r="N52" s="582" t="e">
        <f t="shared" si="25"/>
        <v>#NAME?</v>
      </c>
      <c r="O52" s="582" t="e">
        <f t="shared" si="26"/>
        <v>#NAME?</v>
      </c>
      <c r="P52" s="582" t="e">
        <f t="shared" si="27"/>
        <v>#NAME?</v>
      </c>
      <c r="Q52" s="585" t="e">
        <f t="shared" si="28"/>
        <v>#NAME?</v>
      </c>
      <c r="R52" s="585" t="e">
        <f>_xll.ciqfunctions.udf.CIQ($B56, "IQ_TEV",Current_Date)/_xll.ciqfunctions.udf.CIQ($B56, "IQ_EBITDA_EST",IQ_FY+1)</f>
        <v>#NAME?</v>
      </c>
      <c r="S52" s="585" t="e">
        <f t="shared" si="29"/>
        <v>#NAME?</v>
      </c>
      <c r="T52" s="585" t="e">
        <f>_xll.ciqfunctions.udf.CIQ($B56, "IQ_TEV",Current_Date)/_xll.ciqfunctions.udf.CIQ($B56, "IQ_REVENUE_EST",IQ_FY+1)</f>
        <v>#NAME?</v>
      </c>
      <c r="U52" s="585" t="e">
        <f t="shared" si="30"/>
        <v>#NAME?</v>
      </c>
      <c r="V52" s="585" t="e">
        <f>_xll.ciqfunctions.udf.CIQ($B56, "IQ_MARKETCAP",Current_Date)/_xll.ciqfunctions.udf.CIQ($B56, "IQ_NI_EST",IQ_FY+1)</f>
        <v>#NAME?</v>
      </c>
      <c r="W52" s="8"/>
      <c r="X52" s="4"/>
      <c r="Y52" s="40"/>
      <c r="Z52" s="75"/>
      <c r="AA52" s="75"/>
      <c r="AB52" s="75"/>
      <c r="AC52" s="75"/>
      <c r="AD52" s="75"/>
      <c r="AE52" s="571"/>
      <c r="AF52" s="75"/>
      <c r="AG52" s="75"/>
      <c r="AH52" s="75"/>
      <c r="AI52" s="75"/>
      <c r="AJ52" s="75"/>
      <c r="AK52" s="75"/>
      <c r="AL52" s="75"/>
      <c r="AM52" s="75"/>
      <c r="AN52" s="75"/>
      <c r="AO52" s="75"/>
      <c r="AP52" s="75"/>
      <c r="AQ52" s="75"/>
      <c r="AR52" s="75"/>
      <c r="AS52" s="4"/>
      <c r="AT52" s="4"/>
      <c r="AU52" s="40"/>
      <c r="AV52" s="75"/>
      <c r="AW52" s="75"/>
      <c r="AX52" s="75"/>
      <c r="AY52" s="75"/>
      <c r="AZ52" s="75"/>
      <c r="BA52" s="571"/>
      <c r="BB52" s="75"/>
      <c r="BC52" s="75"/>
      <c r="BD52" s="75"/>
      <c r="BE52" s="75"/>
      <c r="BF52" s="75"/>
      <c r="BG52" s="75"/>
      <c r="BH52" s="75"/>
      <c r="BI52" s="75"/>
      <c r="BJ52" s="75"/>
      <c r="BK52" s="75"/>
      <c r="BL52" s="75"/>
      <c r="BM52" s="75"/>
      <c r="BN52" s="75"/>
    </row>
    <row r="53" ht="15.75" customHeight="1" hidden="1" spans="1:66" x14ac:dyDescent="0.25" outlineLevel="2" collapsed="1">
      <c r="A53" s="4"/>
      <c r="B53" s="641" t="str">
        <f>B70</f>
        <v>IQ285359</v>
      </c>
      <c r="C53" s="641"/>
      <c r="D53" s="8" t="e">
        <f>_xll.ciqfunctions.udf.CIQ($B57, "IQ_COMPANY_NAME",Current_Date)</f>
        <v>#NAME?</v>
      </c>
      <c r="E53" s="8"/>
      <c r="F53" s="75" t="str">
        <f t="shared" si="21"/>
        <v>SF</v>
      </c>
      <c r="G53" s="584" t="e">
        <f>_xll.ciqfunctions.udf.CIQ($B57, "IQ_MARKETCAP",Current_Date)</f>
        <v>#NAME?</v>
      </c>
      <c r="H53" s="584" t="e">
        <f>_xll.ciqfunctions.udf.CIQ($B57, "IQ_TEV",Current_Date)</f>
        <v>#NAME?</v>
      </c>
      <c r="I53" s="582" t="e">
        <f>_xll.ciqfunctions.udf.CIQ($B57, "IQ_TOTAL_REV_1YR_ANN_GROWTH",IQ_LTM,Current_Date)/100</f>
        <v>#NAME?</v>
      </c>
      <c r="J53" s="582" t="e">
        <f t="shared" si="22"/>
        <v>#NAME?</v>
      </c>
      <c r="K53" s="582" t="e">
        <f>_xll.ciqfunctions.udf.CIQ($B57, "IQ_EPS_1YR_ANN_GROWTH",IQ_LTM,Current_Date)/100</f>
        <v>#NAME?</v>
      </c>
      <c r="L53" s="582" t="e">
        <f t="shared" si="23"/>
        <v>#NAME?</v>
      </c>
      <c r="M53" s="582" t="e">
        <f t="shared" si="24"/>
        <v>#NAME?</v>
      </c>
      <c r="N53" s="582" t="e">
        <f t="shared" si="25"/>
        <v>#NAME?</v>
      </c>
      <c r="O53" s="582" t="e">
        <f t="shared" si="26"/>
        <v>#NAME?</v>
      </c>
      <c r="P53" s="582" t="e">
        <f t="shared" si="27"/>
        <v>#NAME?</v>
      </c>
      <c r="Q53" s="585" t="e">
        <f t="shared" si="28"/>
        <v>#NAME?</v>
      </c>
      <c r="R53" s="585" t="e">
        <f>_xll.ciqfunctions.udf.CIQ($B57, "IQ_TEV",Current_Date)/_xll.ciqfunctions.udf.CIQ($B57, "IQ_EBITDA_EST",IQ_FY+1)</f>
        <v>#NAME?</v>
      </c>
      <c r="S53" s="585" t="e">
        <f t="shared" si="29"/>
        <v>#NAME?</v>
      </c>
      <c r="T53" s="585" t="e">
        <f>_xll.ciqfunctions.udf.CIQ($B57, "IQ_TEV",Current_Date)/_xll.ciqfunctions.udf.CIQ($B57, "IQ_REVENUE_EST",IQ_FY+1)</f>
        <v>#NAME?</v>
      </c>
      <c r="U53" s="585" t="e">
        <f t="shared" si="30"/>
        <v>#NAME?</v>
      </c>
      <c r="V53" s="585" t="e">
        <f>_xll.ciqfunctions.udf.CIQ($B57, "IQ_MARKETCAP",Current_Date)/_xll.ciqfunctions.udf.CIQ($B57, "IQ_NI_EST",IQ_FY+1)</f>
        <v>#NAME?</v>
      </c>
      <c r="W53" s="8"/>
      <c r="X53" s="641" t="str">
        <f>X72</f>
        <v>IQ285359</v>
      </c>
      <c r="Y53" s="40"/>
      <c r="Z53" s="631" t="str">
        <f>Company_Name</f>
        <v>Jefferies Financial Group Inc.</v>
      </c>
      <c r="AA53" s="632"/>
      <c r="AB53" s="633" t="str">
        <f>$E$83</f>
        <v>JEF</v>
      </c>
      <c r="AC53" s="634" t="e">
        <f>_xll.ciqfunctions.udf.CIQ($X53, "IQ_MARKETCAP",Current_Date)</f>
        <v>#NAME?</v>
      </c>
      <c r="AD53" s="634" t="e">
        <f>_xll.ciqfunctions.udf.CIQ($X53, "IQ_TEV",Current_Date)</f>
        <v>#NAME?</v>
      </c>
      <c r="AE53" s="635" t="e">
        <f>_xll.ciqfunctions.udf.CIQ($X53, "IQ_TOTAL_REV_1YR_ANN_GROWTH",IQ_LTM,Current_Date)/100</f>
        <v>#NAME?</v>
      </c>
      <c r="AF53" s="635" t="e">
        <f>_xll.ciqfunctions.udf.CIQ($X53,"IQ_REVENUE_EST",IQ_FY+1)/(_xll.ciqfunctions.udf.CIQ($X53,"IQ_TOTAL_REV",IQ_FY))-1</f>
        <v>#NAME?</v>
      </c>
      <c r="AG53" s="635" t="e">
        <f>_xll.ciqfunctions.udf.CIQ($X53, "IQ_EPS_1YR_ANN_GROWTH",IQ_LTM,Current_Date)/100</f>
        <v>#NAME?</v>
      </c>
      <c r="AH53" s="635" t="e">
        <f>_xll.ciqfunctions.udf.CIQ($X53,"IQ_EPS_EST",IQ_FY+1)/(_xll.ciqfunctions.udf.CIQ($X53,"IQ_DILUT_EPS_INCL",IQ_FY))-1</f>
        <v>#NAME?</v>
      </c>
      <c r="AI53" s="635" t="e">
        <f>_xll.ciqfunctions.udf.CIQ($X53, "IQ_EBITDA_MARGIN",IQ_LTM)/100</f>
        <v>#NAME?</v>
      </c>
      <c r="AJ53" s="635" t="e">
        <f>_xll.ciqfunctions.udf.CIQ($X53,"IQ_EBITDA_EST",IQ_FY+1)/(_xll.ciqfunctions.udf.CIQ($X53,"IQ_REVENUE_EST",IQ_FY+1))</f>
        <v>#NAME?</v>
      </c>
      <c r="AK53" s="635" t="e">
        <f>_xll.ciqfunctions.udf.CIQ($X53, "IQ_NI_MARGIN",IQ_LTM)/100</f>
        <v>#NAME?</v>
      </c>
      <c r="AL53" s="635" t="e">
        <f>_xll.ciqfunctions.udf.CIQ($X53,"IQ_NI_EST",IQ_FY+1)/(_xll.ciqfunctions.udf.CIQ($X53,"IQ_REVENUE_EST",IQ_FY+1))</f>
        <v>#NAME?</v>
      </c>
      <c r="AM53" s="637" t="e">
        <f>_xll.ciqfunctions.udf.CIQ($X53, "IQ_TEV_EBITDA",IQ_LTM)</f>
        <v>#NAME?</v>
      </c>
      <c r="AN53" s="637" t="e">
        <f>_xll.ciqfunctions.udf.CIQ($X53, "IQ_TEV",Current_Date)/_xll.ciqfunctions.udf.CIQ($X53, "IQ_EBITDA_EST",IQ_FY+1)</f>
        <v>#NAME?</v>
      </c>
      <c r="AO53" s="637" t="e">
        <f>_xll.ciqfunctions.udf.CIQ($X53, "IQ_TEV_TOTAL_REV",IQ_LTM)</f>
        <v>#NAME?</v>
      </c>
      <c r="AP53" s="637" t="e">
        <f>_xll.ciqfunctions.udf.CIQ($X53, "IQ_TEV",Current_Date)/_xll.ciqfunctions.udf.CIQ($X53, "IQ_REVENUE_EST",IQ_FY+1)</f>
        <v>#NAME?</v>
      </c>
      <c r="AQ53" s="637" t="e">
        <f>_xll.ciqfunctions.udf.CIQ($X53, "IQ_PE_EXCL",IQ_LTM)</f>
        <v>#NAME?</v>
      </c>
      <c r="AR53" s="642" t="e">
        <f>_xll.ciqfunctions.udf.CIQ($X53, "IQ_MARKETCAP",Current_Date)/_xll.ciqfunctions.udf.CIQ($X53, "IQ_NI_EST",IQ_FY+1)</f>
        <v>#NAME?</v>
      </c>
      <c r="AS53" s="4"/>
      <c r="AT53" s="641" t="str">
        <f>AT72</f>
        <v>IQ285359</v>
      </c>
      <c r="AU53" s="40"/>
      <c r="AV53" s="631" t="str">
        <f>Company_Name</f>
        <v>Jefferies Financial Group Inc.</v>
      </c>
      <c r="AW53" s="632"/>
      <c r="AX53" s="633" t="str">
        <f>Ticker</f>
        <v>JEF</v>
      </c>
      <c r="AY53" s="634" t="e">
        <f>_xll.ciqfunctions.udf.CIQ($AT53, "IQ_MARKETCAP",Current_Date)</f>
        <v>#NAME?</v>
      </c>
      <c r="AZ53" s="634" t="e">
        <f>_xll.ciqfunctions.udf.CIQ($AT53, "IQ_TEV",Current_Date)</f>
        <v>#NAME?</v>
      </c>
      <c r="BA53" s="635" t="e">
        <f>_xll.ciqfunctions.udf.CIQ($AT53, "IQ_TOTAL_REV_1YR_ANN_GROWTH",IQ_LTM,Current_Date)/100</f>
        <v>#NAME?</v>
      </c>
      <c r="BB53" s="635" t="e">
        <f>_xll.ciqfunctions.udf.CIQ($AT53,"IQ_REVENUE_EST",IQ_FY+1)/(_xll.ciqfunctions.udf.CIQ($AT53,"IQ_TOTAL_REV",IQ_FY))-1</f>
        <v>#NAME?</v>
      </c>
      <c r="BC53" s="635" t="e">
        <f>_xll.ciqfunctions.udf.CIQ($AT53, "IQ_EPS_1YR_ANN_GROWTH",IQ_LTM,Current_Date)/100</f>
        <v>#NAME?</v>
      </c>
      <c r="BD53" s="635" t="e">
        <f>_xll.ciqfunctions.udf.CIQ($AT53,"IQ_EPS_EST",IQ_FY+1)/(_xll.ciqfunctions.udf.CIQ($AT53,"IQ_DILUT_EPS_INCL",IQ_FY))-1</f>
        <v>#NAME?</v>
      </c>
      <c r="BE53" s="635" t="e">
        <f>_xll.ciqfunctions.udf.CIQ($AT53, "IQ_EBITDA_MARGIN",IQ_LTM)/100</f>
        <v>#NAME?</v>
      </c>
      <c r="BF53" s="635" t="e">
        <f>_xll.ciqfunctions.udf.CIQ($AT53,"IQ_EBITDA_EST",IQ_FY+1)/(_xll.ciqfunctions.udf.CIQ($AT53,"IQ_REVENUE_EST",IQ_FY+1))</f>
        <v>#NAME?</v>
      </c>
      <c r="BG53" s="635" t="e">
        <f>_xll.ciqfunctions.udf.CIQ($AT53, "IQ_NI_MARGIN",IQ_LTM)/100</f>
        <v>#NAME?</v>
      </c>
      <c r="BH53" s="635" t="e">
        <f>_xll.ciqfunctions.udf.CIQ($AT53,"IQ_NI_EST",IQ_FY+1)/(_xll.ciqfunctions.udf.CIQ($AT53,"IQ_REVENUE_EST",IQ_FY+1))</f>
        <v>#NAME?</v>
      </c>
      <c r="BI53" s="637" t="e">
        <f>_xll.ciqfunctions.udf.CIQ($AT53, "IQ_TEV_EBITDA",IQ_LTM)</f>
        <v>#NAME?</v>
      </c>
      <c r="BJ53" s="637" t="e">
        <f>_xll.ciqfunctions.udf.CIQ($AT53, "IQ_TEV",Current_Date)/_xll.ciqfunctions.udf.CIQ($AT53, "IQ_EBITDA_EST",IQ_FY+1)</f>
        <v>#NAME?</v>
      </c>
      <c r="BK53" s="637" t="e">
        <f>_xll.ciqfunctions.udf.CIQ($AT53, "IQ_TEV_TOTAL_REV",IQ_LTM)</f>
        <v>#NAME?</v>
      </c>
      <c r="BL53" s="637" t="e">
        <f>_xll.ciqfunctions.udf.CIQ($AT53, "IQ_TEV",Current_Date)/_xll.ciqfunctions.udf.CIQ($AT53, "IQ_REVENUE_EST",IQ_FY+1)</f>
        <v>#NAME?</v>
      </c>
      <c r="BM53" s="637" t="e">
        <f>_xll.ciqfunctions.udf.CIQ($AT53, "IQ_PE_EXCL",IQ_LTM)</f>
        <v>#NAME?</v>
      </c>
      <c r="BN53" s="642" t="e">
        <f>_xll.ciqfunctions.udf.CIQ($AT53, "IQ_MARKETCAP",Current_Date)/_xll.ciqfunctions.udf.CIQ($AT53, "IQ_NI_EST",IQ_FY+1)</f>
        <v>#NAME?</v>
      </c>
    </row>
    <row r="54" ht="15.75" customHeight="1" hidden="1" spans="1:66" x14ac:dyDescent="0.25" outlineLevel="2" collapsed="1">
      <c r="A54" s="4"/>
      <c r="B54" s="641"/>
      <c r="C54" s="641"/>
      <c r="D54" s="8"/>
      <c r="E54" s="8"/>
      <c r="F54" s="75"/>
      <c r="G54" s="75"/>
      <c r="H54" s="75"/>
      <c r="I54" s="75"/>
      <c r="J54" s="75"/>
      <c r="K54" s="75"/>
      <c r="L54" s="75"/>
      <c r="M54" s="75"/>
      <c r="N54" s="75"/>
      <c r="O54" s="75"/>
      <c r="P54" s="75"/>
      <c r="Q54" s="75"/>
      <c r="R54" s="75"/>
      <c r="S54" s="208"/>
      <c r="T54" s="75"/>
      <c r="U54" s="75"/>
      <c r="V54" s="75"/>
      <c r="W54" s="8"/>
      <c r="X54" s="641"/>
      <c r="Y54" s="40"/>
      <c r="Z54" s="8"/>
      <c r="AA54" s="8"/>
      <c r="AB54" s="75"/>
      <c r="AC54" s="581"/>
      <c r="AD54" s="75"/>
      <c r="AE54" s="571"/>
      <c r="AF54" s="643"/>
      <c r="AG54" s="571"/>
      <c r="AH54" s="571"/>
      <c r="AI54" s="627"/>
      <c r="AJ54" s="627"/>
      <c r="AK54" s="627"/>
      <c r="AL54" s="627"/>
      <c r="AM54" s="583"/>
      <c r="AN54" s="583"/>
      <c r="AO54" s="75"/>
      <c r="AP54" s="75"/>
      <c r="AQ54" s="75"/>
      <c r="AR54" s="75"/>
      <c r="AS54" s="4"/>
      <c r="AT54" s="641"/>
      <c r="AU54" s="40"/>
      <c r="AV54" s="8"/>
      <c r="AW54" s="8"/>
      <c r="AX54" s="75"/>
      <c r="AY54" s="581"/>
      <c r="AZ54" s="75"/>
      <c r="BA54" s="571"/>
      <c r="BB54" s="643"/>
      <c r="BC54" s="571"/>
      <c r="BD54" s="571"/>
      <c r="BE54" s="627"/>
      <c r="BF54" s="627"/>
      <c r="BG54" s="627"/>
      <c r="BH54" s="627"/>
      <c r="BI54" s="583"/>
      <c r="BJ54" s="583"/>
      <c r="BK54" s="75"/>
      <c r="BL54" s="75"/>
      <c r="BM54" s="75"/>
      <c r="BN54" s="75"/>
    </row>
    <row r="55" ht="15.75" customHeight="1" hidden="1" spans="1:66" x14ac:dyDescent="0.25" outlineLevel="2" collapsed="1">
      <c r="A55" s="4"/>
      <c r="B55" s="641" t="str">
        <f t="shared" ref="B55:B57" si="31">B72</f>
        <v>IQ22623</v>
      </c>
      <c r="C55" s="641"/>
      <c r="D55" s="644" t="str">
        <f>D17</f>
        <v>High</v>
      </c>
      <c r="E55" s="645"/>
      <c r="F55" s="646"/>
      <c r="G55" s="647" t="e">
        <f t="shared" ref="G55:V55" si="32">MAX(G51:G53)</f>
        <v>#NAME?</v>
      </c>
      <c r="H55" s="647" t="e">
        <f t="shared" si="32"/>
        <v>#NAME?</v>
      </c>
      <c r="I55" s="648" t="e">
        <f t="shared" si="32"/>
        <v>#NAME?</v>
      </c>
      <c r="J55" s="648" t="e">
        <f t="shared" si="32"/>
        <v>#NAME?</v>
      </c>
      <c r="K55" s="648" t="e">
        <f t="shared" si="32"/>
        <v>#NAME?</v>
      </c>
      <c r="L55" s="648" t="e">
        <f t="shared" si="32"/>
        <v>#NAME?</v>
      </c>
      <c r="M55" s="649" t="e">
        <f t="shared" si="32"/>
        <v>#NAME?</v>
      </c>
      <c r="N55" s="648" t="e">
        <f t="shared" si="32"/>
        <v>#NAME?</v>
      </c>
      <c r="O55" s="648" t="e">
        <f t="shared" si="32"/>
        <v>#NAME?</v>
      </c>
      <c r="P55" s="648" t="e">
        <f t="shared" si="32"/>
        <v>#NAME?</v>
      </c>
      <c r="Q55" s="650" t="e">
        <f t="shared" si="32"/>
        <v>#NAME?</v>
      </c>
      <c r="R55" s="651" t="e">
        <f t="shared" si="32"/>
        <v>#NAME?</v>
      </c>
      <c r="S55" s="652" t="e">
        <f t="shared" si="32"/>
        <v>#NAME?</v>
      </c>
      <c r="T55" s="651" t="e">
        <f t="shared" si="32"/>
        <v>#NAME?</v>
      </c>
      <c r="U55" s="652" t="e">
        <f t="shared" si="32"/>
        <v>#NAME?</v>
      </c>
      <c r="V55" s="653" t="e">
        <f t="shared" si="32"/>
        <v>#NAME?</v>
      </c>
      <c r="W55" s="8"/>
      <c r="X55" s="641" t="str">
        <f t="shared" ref="X55:X59" si="33">X74</f>
        <v>IQ159230</v>
      </c>
      <c r="Y55" s="40"/>
      <c r="Z55" s="8" t="e">
        <f>_xll.ciqfunctions.udf.CIQ($X55, "IQ_COMPANY_NAME",Current_Date)</f>
        <v>#NAME?</v>
      </c>
      <c r="AA55" s="8"/>
      <c r="AB55" s="75" t="str">
        <f t="shared" ref="AB55:AB59" si="34">AB74</f>
        <v>RTX</v>
      </c>
      <c r="AC55" s="584" t="e">
        <f>_xll.ciqfunctions.udf.CIQ($X55, "IQ_MARKETCAP",Current_Date)</f>
        <v>#NAME?</v>
      </c>
      <c r="AD55" s="584" t="e">
        <f>_xll.ciqfunctions.udf.CIQ($X55, "IQ_TEV",Current_Date)</f>
        <v>#NAME?</v>
      </c>
      <c r="AE55" s="582" t="e">
        <f>_xll.ciqfunctions.udf.CIQ($X55, "IQ_TOTAL_REV_1YR_ANN_GROWTH",IQ_LTM,Current_Date)/100</f>
        <v>#NAME?</v>
      </c>
      <c r="AF55" s="582" t="e">
        <f t="shared" ref="AF55:AF59" si="35">_xll.ciqfunctions.udf.CIQ($X55,"IQ_REVENUE_EST",IQ_FY+1)/(_xll.ciqfunctions.udf.CIQ($X55,"IQ_TOTAL_REV",IQ_FY))-1</f>
        <v>#NAME?</v>
      </c>
      <c r="AG55" s="582" t="e">
        <f>_xll.ciqfunctions.udf.CIQ($X55, "IQ_EPS_1YR_ANN_GROWTH",IQ_LTM,Current_Date)/100</f>
        <v>#NAME?</v>
      </c>
      <c r="AH55" s="582" t="e">
        <f t="shared" ref="AH55:AH59" si="36">_xll.ciqfunctions.udf.CIQ($X55,"IQ_EPS_EST",IQ_FY+1)/(_xll.ciqfunctions.udf.CIQ($X55,"IQ_DILUT_EPS_INCL",IQ_FY))-1</f>
        <v>#NAME?</v>
      </c>
      <c r="AI55" s="582" t="e">
        <f t="shared" ref="AI55:AI59" si="37">_xll.ciqfunctions.udf.CIQ($X55, "IQ_EBITDA_MARGIN",IQ_LTM)/100</f>
        <v>#NAME?</v>
      </c>
      <c r="AJ55" s="582" t="e">
        <f t="shared" ref="AJ55:AJ59" si="38">_xll.ciqfunctions.udf.CIQ($X55,"IQ_EBITDA_EST",IQ_FY+1)/(_xll.ciqfunctions.udf.CIQ($X55,"IQ_REVENUE_EST",IQ_FY+1))</f>
        <v>#NAME?</v>
      </c>
      <c r="AK55" s="582" t="e">
        <f t="shared" ref="AK55:AK59" si="39">_xll.ciqfunctions.udf.CIQ($X55, "IQ_NI_MARGIN",IQ_LTM)/100</f>
        <v>#NAME?</v>
      </c>
      <c r="AL55" s="582" t="e">
        <f t="shared" ref="AL55:AL59" si="40">_xll.ciqfunctions.udf.CIQ($X55,"IQ_NI_EST",IQ_FY+1)/(_xll.ciqfunctions.udf.CIQ($X55,"IQ_REVENUE_EST",IQ_FY+1))</f>
        <v>#NAME?</v>
      </c>
      <c r="AM55" s="585" t="e">
        <f t="shared" ref="AM55:AM59" si="41">_xll.ciqfunctions.udf.CIQ($X55, "IQ_TEV_EBITDA",IQ_LTM)</f>
        <v>#NAME?</v>
      </c>
      <c r="AN55" s="585" t="e">
        <f>_xll.ciqfunctions.udf.CIQ($X55, "IQ_TEV",Current_Date)/_xll.ciqfunctions.udf.CIQ($X55, "IQ_EBITDA_EST",IQ_FY+1)</f>
        <v>#NAME?</v>
      </c>
      <c r="AO55" s="585" t="e">
        <f t="shared" ref="AO55:AO59" si="42">_xll.ciqfunctions.udf.CIQ($X55, "IQ_TEV_TOTAL_REV",IQ_LTM)</f>
        <v>#NAME?</v>
      </c>
      <c r="AP55" s="585" t="e">
        <f>_xll.ciqfunctions.udf.CIQ($X55, "IQ_TEV",Current_Date)/_xll.ciqfunctions.udf.CIQ($X55, "IQ_REVENUE_EST",IQ_FY+1)</f>
        <v>#NAME?</v>
      </c>
      <c r="AQ55" s="585" t="e">
        <f t="shared" ref="AQ55:AQ59" si="43">_xll.ciqfunctions.udf.CIQ($X55, "IQ_PE_EXCL",IQ_LTM)</f>
        <v>#NAME?</v>
      </c>
      <c r="AR55" s="585" t="e">
        <f>_xll.ciqfunctions.udf.CIQ($X55, "IQ_MARKETCAP",Current_Date)/_xll.ciqfunctions.udf.CIQ($X55, "IQ_NI_EST",IQ_FY+1)</f>
        <v>#NAME?</v>
      </c>
      <c r="AS55" s="4"/>
      <c r="AT55" s="641" t="str">
        <f t="shared" ref="AT55:AT59" si="44">AT74</f>
        <v>IQ289194</v>
      </c>
      <c r="AU55" s="40"/>
      <c r="AV55" s="8" t="e">
        <f>_xll.ciqfunctions.udf.CIQ($AT55, "IQ_COMPANY_NAME",Current_Date)</f>
        <v>#NAME?</v>
      </c>
      <c r="AW55" s="8"/>
      <c r="AX55" s="75" t="str">
        <f>N87</f>
        <v>MMM</v>
      </c>
      <c r="AY55" s="584" t="e">
        <f>_xll.ciqfunctions.udf.CIQ($AT55, "IQ_MARKETCAP",Current_Date)</f>
        <v>#NAME?</v>
      </c>
      <c r="AZ55" s="584" t="e">
        <f>_xll.ciqfunctions.udf.CIQ($AT55, "IQ_TEV",Current_Date)</f>
        <v>#NAME?</v>
      </c>
      <c r="BA55" s="582" t="e">
        <f>_xll.ciqfunctions.udf.CIQ($AT55, "IQ_TOTAL_REV_1YR_ANN_GROWTH",IQ_LTM,Current_Date)/100</f>
        <v>#NAME?</v>
      </c>
      <c r="BB55" s="582" t="e">
        <f t="shared" ref="BB55:BB59" si="45">_xll.ciqfunctions.udf.CIQ($AT55,"IQ_REVENUE_EST",IQ_FY+1)/(_xll.ciqfunctions.udf.CIQ($AT55,"IQ_TOTAL_REV",IQ_FY))-1</f>
        <v>#NAME?</v>
      </c>
      <c r="BC55" s="582" t="e">
        <f>_xll.ciqfunctions.udf.CIQ($AT55, "IQ_EPS_1YR_ANN_GROWTH",IQ_LTM,Current_Date)/100</f>
        <v>#NAME?</v>
      </c>
      <c r="BD55" s="582" t="e">
        <f t="shared" ref="BD55:BD59" si="46">_xll.ciqfunctions.udf.CIQ($AT55,"IQ_EPS_EST",IQ_FY+1)/(_xll.ciqfunctions.udf.CIQ($AT55,"IQ_DILUT_EPS_INCL",IQ_FY))-1</f>
        <v>#NAME?</v>
      </c>
      <c r="BE55" s="582" t="e">
        <f t="shared" ref="BE55:BE59" si="47">_xll.ciqfunctions.udf.CIQ($AT55, "IQ_EBITDA_MARGIN",IQ_LTM)/100</f>
        <v>#NAME?</v>
      </c>
      <c r="BF55" s="582" t="e">
        <f t="shared" ref="BF55:BF59" si="48">_xll.ciqfunctions.udf.CIQ($AT55,"IQ_EBITDA_EST",IQ_FY+1)/(_xll.ciqfunctions.udf.CIQ($AT55,"IQ_REVENUE_EST",IQ_FY+1))</f>
        <v>#NAME?</v>
      </c>
      <c r="BG55" s="582" t="e">
        <f t="shared" ref="BG55:BG59" si="49">_xll.ciqfunctions.udf.CIQ($AT55, "IQ_NI_MARGIN",IQ_LTM)/100</f>
        <v>#NAME?</v>
      </c>
      <c r="BH55" s="582" t="e">
        <f t="shared" ref="BH55:BH59" si="50">_xll.ciqfunctions.udf.CIQ($AT55,"IQ_NI_EST",IQ_FY+1)/(_xll.ciqfunctions.udf.CIQ($AT55,"IQ_REVENUE_EST",IQ_FY+1))</f>
        <v>#NAME?</v>
      </c>
      <c r="BI55" s="585" t="e">
        <f t="shared" ref="BI55:BI59" si="51">_xll.ciqfunctions.udf.CIQ($AT55, "IQ_TEV_EBITDA",IQ_LTM)</f>
        <v>#NAME?</v>
      </c>
      <c r="BJ55" s="585" t="e">
        <f>_xll.ciqfunctions.udf.CIQ($AT55, "IQ_TEV",Current_Date)/_xll.ciqfunctions.udf.CIQ($AT55, "IQ_EBITDA_EST",IQ_FY+1)</f>
        <v>#NAME?</v>
      </c>
      <c r="BK55" s="585" t="e">
        <f t="shared" ref="BK55:BK59" si="52">_xll.ciqfunctions.udf.CIQ($AT55, "IQ_TEV_TOTAL_REV",IQ_LTM)</f>
        <v>#NAME?</v>
      </c>
      <c r="BL55" s="585" t="e">
        <f>_xll.ciqfunctions.udf.CIQ($AT55, "IQ_TEV",Current_Date)/_xll.ciqfunctions.udf.CIQ($AT55, "IQ_REVENUE_EST",IQ_FY+1)</f>
        <v>#NAME?</v>
      </c>
      <c r="BM55" s="585" t="e">
        <f t="shared" ref="BM55:BM59" si="53">_xll.ciqfunctions.udf.CIQ($AT55, "IQ_PE_EXCL",IQ_LTM)</f>
        <v>#NAME?</v>
      </c>
      <c r="BN55" s="585" t="e">
        <f>_xll.ciqfunctions.udf.CIQ($AT55, "IQ_MARKETCAP",Current_Date)/_xll.ciqfunctions.udf.CIQ($AT55, "IQ_NI_EST",IQ_FY+1)</f>
        <v>#NAME?</v>
      </c>
    </row>
    <row r="56" ht="15.75" customHeight="1" hidden="1" spans="1:66" x14ac:dyDescent="0.25" outlineLevel="2" collapsed="1">
      <c r="A56" s="4"/>
      <c r="B56" s="641" t="str">
        <f t="shared" si="31"/>
        <v>IQ20999</v>
      </c>
      <c r="C56" s="641"/>
      <c r="D56" s="654" t="str">
        <f>D18</f>
        <v>Mean</v>
      </c>
      <c r="E56" s="655"/>
      <c r="F56" s="656"/>
      <c r="G56" s="657" t="e">
        <f t="shared" ref="G56:V56" si="54">AVERAGE(G51:G53)</f>
        <v>#NAME?</v>
      </c>
      <c r="H56" s="657" t="e">
        <f t="shared" si="54"/>
        <v>#NAME?</v>
      </c>
      <c r="I56" s="658" t="e">
        <f t="shared" si="54"/>
        <v>#NAME?</v>
      </c>
      <c r="J56" s="658" t="e">
        <f t="shared" si="54"/>
        <v>#NAME?</v>
      </c>
      <c r="K56" s="658" t="e">
        <f t="shared" si="54"/>
        <v>#NAME?</v>
      </c>
      <c r="L56" s="658" t="e">
        <f t="shared" si="54"/>
        <v>#NAME?</v>
      </c>
      <c r="M56" s="659" t="e">
        <f t="shared" si="54"/>
        <v>#NAME?</v>
      </c>
      <c r="N56" s="658" t="e">
        <f t="shared" si="54"/>
        <v>#NAME?</v>
      </c>
      <c r="O56" s="658" t="e">
        <f t="shared" si="54"/>
        <v>#NAME?</v>
      </c>
      <c r="P56" s="658" t="e">
        <f t="shared" si="54"/>
        <v>#NAME?</v>
      </c>
      <c r="Q56" s="660" t="e">
        <f t="shared" si="54"/>
        <v>#NAME?</v>
      </c>
      <c r="R56" s="661" t="e">
        <f t="shared" si="54"/>
        <v>#NAME?</v>
      </c>
      <c r="S56" s="662" t="e">
        <f t="shared" si="54"/>
        <v>#NAME?</v>
      </c>
      <c r="T56" s="661" t="e">
        <f t="shared" si="54"/>
        <v>#NAME?</v>
      </c>
      <c r="U56" s="662" t="e">
        <f t="shared" si="54"/>
        <v>#NAME?</v>
      </c>
      <c r="V56" s="663" t="e">
        <f t="shared" si="54"/>
        <v>#NAME?</v>
      </c>
      <c r="W56" s="8"/>
      <c r="X56" s="641" t="str">
        <f t="shared" si="33"/>
        <v>IQ370857</v>
      </c>
      <c r="Y56" s="40"/>
      <c r="Z56" s="8" t="e">
        <f>_xll.ciqfunctions.udf.CIQ($X56, "IQ_COMPANY_NAME",Current_Date)</f>
        <v>#NAME?</v>
      </c>
      <c r="AA56" s="8"/>
      <c r="AB56" s="75" t="str">
        <f t="shared" si="34"/>
        <v>BA</v>
      </c>
      <c r="AC56" s="584" t="e">
        <f>_xll.ciqfunctions.udf.CIQ($X56, "IQ_MARKETCAP",Current_Date)</f>
        <v>#NAME?</v>
      </c>
      <c r="AD56" s="584" t="e">
        <f>_xll.ciqfunctions.udf.CIQ($X56, "IQ_TEV",Current_Date)</f>
        <v>#NAME?</v>
      </c>
      <c r="AE56" s="582" t="e">
        <f>_xll.ciqfunctions.udf.CIQ($X56, "IQ_TOTAL_REV_1YR_ANN_GROWTH",IQ_LTM,Current_Date)/100</f>
        <v>#NAME?</v>
      </c>
      <c r="AF56" s="582" t="e">
        <f t="shared" si="35"/>
        <v>#NAME?</v>
      </c>
      <c r="AG56" s="582" t="e">
        <f>_xll.ciqfunctions.udf.CIQ($X56, "IQ_EPS_1YR_ANN_GROWTH",IQ_LTM,Current_Date)/100</f>
        <v>#NAME?</v>
      </c>
      <c r="AH56" s="582" t="e">
        <f t="shared" si="36"/>
        <v>#NAME?</v>
      </c>
      <c r="AI56" s="582" t="e">
        <f t="shared" si="37"/>
        <v>#NAME?</v>
      </c>
      <c r="AJ56" s="582" t="e">
        <f t="shared" si="38"/>
        <v>#NAME?</v>
      </c>
      <c r="AK56" s="582" t="e">
        <f t="shared" si="39"/>
        <v>#NAME?</v>
      </c>
      <c r="AL56" s="582" t="e">
        <f t="shared" si="40"/>
        <v>#NAME?</v>
      </c>
      <c r="AM56" s="585" t="e">
        <f t="shared" si="41"/>
        <v>#NAME?</v>
      </c>
      <c r="AN56" s="585" t="e">
        <f>_xll.ciqfunctions.udf.CIQ($X56, "IQ_TEV",Current_Date)/_xll.ciqfunctions.udf.CIQ($X56, "IQ_EBITDA_EST",IQ_FY+1)</f>
        <v>#NAME?</v>
      </c>
      <c r="AO56" s="585" t="e">
        <f t="shared" si="42"/>
        <v>#NAME?</v>
      </c>
      <c r="AP56" s="585" t="e">
        <f>_xll.ciqfunctions.udf.CIQ($X56, "IQ_TEV",Current_Date)/_xll.ciqfunctions.udf.CIQ($X56, "IQ_REVENUE_EST",IQ_FY+1)</f>
        <v>#NAME?</v>
      </c>
      <c r="AQ56" s="585" t="e">
        <f t="shared" si="43"/>
        <v>#NAME?</v>
      </c>
      <c r="AR56" s="585" t="e">
        <f>_xll.ciqfunctions.udf.CIQ($X56, "IQ_MARKETCAP",Current_Date)/_xll.ciqfunctions.udf.CIQ($X56, "IQ_NI_EST",IQ_FY+1)</f>
        <v>#NAME?</v>
      </c>
      <c r="AS56" s="4"/>
      <c r="AT56" s="641" t="str">
        <f t="shared" si="44"/>
        <v>IQ177031</v>
      </c>
      <c r="AU56" s="40"/>
      <c r="AV56" s="8" t="e">
        <f>_xll.ciqfunctions.udf.CIQ($AT56, "IQ_COMPANY_NAME",Current_Date)</f>
        <v>#NAME?</v>
      </c>
      <c r="AW56" s="8"/>
      <c r="AX56" s="75" t="str">
        <f>N91</f>
        <v>GE</v>
      </c>
      <c r="AY56" s="584" t="e">
        <f>_xll.ciqfunctions.udf.CIQ($AT56, "IQ_MARKETCAP",Current_Date)</f>
        <v>#NAME?</v>
      </c>
      <c r="AZ56" s="584" t="e">
        <f>_xll.ciqfunctions.udf.CIQ($AT56, "IQ_TEV",Current_Date)</f>
        <v>#NAME?</v>
      </c>
      <c r="BA56" s="582" t="e">
        <f>_xll.ciqfunctions.udf.CIQ($AT56, "IQ_TOTAL_REV_1YR_ANN_GROWTH",IQ_LTM,Current_Date)/100</f>
        <v>#NAME?</v>
      </c>
      <c r="BB56" s="582" t="e">
        <f t="shared" si="45"/>
        <v>#NAME?</v>
      </c>
      <c r="BC56" s="582" t="e">
        <f>_xll.ciqfunctions.udf.CIQ($AT56, "IQ_EPS_1YR_ANN_GROWTH",IQ_LTM,Current_Date)/100</f>
        <v>#NAME?</v>
      </c>
      <c r="BD56" s="582" t="e">
        <f t="shared" si="46"/>
        <v>#NAME?</v>
      </c>
      <c r="BE56" s="582" t="e">
        <f t="shared" si="47"/>
        <v>#NAME?</v>
      </c>
      <c r="BF56" s="582" t="e">
        <f t="shared" si="48"/>
        <v>#NAME?</v>
      </c>
      <c r="BG56" s="582" t="e">
        <f t="shared" si="49"/>
        <v>#NAME?</v>
      </c>
      <c r="BH56" s="582" t="e">
        <f t="shared" si="50"/>
        <v>#NAME?</v>
      </c>
      <c r="BI56" s="585" t="e">
        <f t="shared" si="51"/>
        <v>#NAME?</v>
      </c>
      <c r="BJ56" s="585" t="e">
        <f>_xll.ciqfunctions.udf.CIQ($AT56, "IQ_TEV",Current_Date)/_xll.ciqfunctions.udf.CIQ($AT56, "IQ_EBITDA_EST",IQ_FY+1)</f>
        <v>#NAME?</v>
      </c>
      <c r="BK56" s="585" t="e">
        <f t="shared" si="52"/>
        <v>#NAME?</v>
      </c>
      <c r="BL56" s="585" t="e">
        <f>_xll.ciqfunctions.udf.CIQ($AT56, "IQ_TEV",Current_Date)/_xll.ciqfunctions.udf.CIQ($AT56, "IQ_REVENUE_EST",IQ_FY+1)</f>
        <v>#NAME?</v>
      </c>
      <c r="BM56" s="585" t="e">
        <f t="shared" si="53"/>
        <v>#NAME?</v>
      </c>
      <c r="BN56" s="585" t="e">
        <f>_xll.ciqfunctions.udf.CIQ($AT56, "IQ_MARKETCAP",Current_Date)/_xll.ciqfunctions.udf.CIQ($AT56, "IQ_NI_EST",IQ_FY+1)</f>
        <v>#NAME?</v>
      </c>
    </row>
    <row r="57" ht="15.75" customHeight="1" hidden="1" spans="1:66" x14ac:dyDescent="0.25" outlineLevel="2" collapsed="1">
      <c r="A57" s="4"/>
      <c r="B57" s="641" t="str">
        <f t="shared" si="31"/>
        <v>IQ305275</v>
      </c>
      <c r="C57" s="641"/>
      <c r="D57" s="654" t="str">
        <f>D19</f>
        <v>Median</v>
      </c>
      <c r="E57" s="655"/>
      <c r="F57" s="655"/>
      <c r="G57" s="657" t="e">
        <f t="shared" ref="G57:V57" si="55">MEDIAN(G51:G53)</f>
        <v>#NAME?</v>
      </c>
      <c r="H57" s="657" t="e">
        <f t="shared" si="55"/>
        <v>#NAME?</v>
      </c>
      <c r="I57" s="658" t="e">
        <f t="shared" si="55"/>
        <v>#NAME?</v>
      </c>
      <c r="J57" s="658" t="e">
        <f t="shared" si="55"/>
        <v>#NAME?</v>
      </c>
      <c r="K57" s="658" t="e">
        <f t="shared" si="55"/>
        <v>#NAME?</v>
      </c>
      <c r="L57" s="658" t="e">
        <f t="shared" si="55"/>
        <v>#NAME?</v>
      </c>
      <c r="M57" s="659" t="e">
        <f t="shared" si="55"/>
        <v>#NAME?</v>
      </c>
      <c r="N57" s="658" t="e">
        <f t="shared" si="55"/>
        <v>#NAME?</v>
      </c>
      <c r="O57" s="658" t="e">
        <f t="shared" si="55"/>
        <v>#NAME?</v>
      </c>
      <c r="P57" s="658" t="e">
        <f t="shared" si="55"/>
        <v>#NAME?</v>
      </c>
      <c r="Q57" s="660" t="e">
        <f t="shared" si="55"/>
        <v>#NAME?</v>
      </c>
      <c r="R57" s="661" t="e">
        <f t="shared" si="55"/>
        <v>#NAME?</v>
      </c>
      <c r="S57" s="662" t="e">
        <f t="shared" si="55"/>
        <v>#NAME?</v>
      </c>
      <c r="T57" s="661" t="e">
        <f t="shared" si="55"/>
        <v>#NAME?</v>
      </c>
      <c r="U57" s="662" t="e">
        <f t="shared" si="55"/>
        <v>#NAME?</v>
      </c>
      <c r="V57" s="663" t="e">
        <f t="shared" si="55"/>
        <v>#NAME?</v>
      </c>
      <c r="W57" s="8"/>
      <c r="X57" s="641" t="str">
        <f t="shared" si="33"/>
        <v>IQ363263</v>
      </c>
      <c r="Y57" s="40"/>
      <c r="Z57" s="8" t="e">
        <f>_xll.ciqfunctions.udf.CIQ($X57, "IQ_COMPANY_NAME",Current_Date)</f>
        <v>#NAME?</v>
      </c>
      <c r="AA57" s="8"/>
      <c r="AB57" s="75" t="str">
        <f t="shared" si="34"/>
        <v>HII</v>
      </c>
      <c r="AC57" s="584" t="e">
        <f>_xll.ciqfunctions.udf.CIQ($X57, "IQ_MARKETCAP",Current_Date)</f>
        <v>#NAME?</v>
      </c>
      <c r="AD57" s="584" t="e">
        <f>_xll.ciqfunctions.udf.CIQ($X57, "IQ_TEV",Current_Date)</f>
        <v>#NAME?</v>
      </c>
      <c r="AE57" s="582" t="e">
        <f>_xll.ciqfunctions.udf.CIQ($X57, "IQ_TOTAL_REV_1YR_ANN_GROWTH",IQ_LTM,Current_Date)/100</f>
        <v>#NAME?</v>
      </c>
      <c r="AF57" s="582" t="e">
        <f t="shared" si="35"/>
        <v>#NAME?</v>
      </c>
      <c r="AG57" s="582" t="e">
        <f>_xll.ciqfunctions.udf.CIQ($X57, "IQ_EPS_1YR_ANN_GROWTH",IQ_LTM,Current_Date)/100</f>
        <v>#NAME?</v>
      </c>
      <c r="AH57" s="582" t="e">
        <f t="shared" si="36"/>
        <v>#NAME?</v>
      </c>
      <c r="AI57" s="582" t="e">
        <f t="shared" si="37"/>
        <v>#NAME?</v>
      </c>
      <c r="AJ57" s="582" t="e">
        <f t="shared" si="38"/>
        <v>#NAME?</v>
      </c>
      <c r="AK57" s="582" t="e">
        <f t="shared" si="39"/>
        <v>#NAME?</v>
      </c>
      <c r="AL57" s="582" t="e">
        <f t="shared" si="40"/>
        <v>#NAME?</v>
      </c>
      <c r="AM57" s="585" t="e">
        <f t="shared" si="41"/>
        <v>#NAME?</v>
      </c>
      <c r="AN57" s="585" t="e">
        <f>_xll.ciqfunctions.udf.CIQ($X57, "IQ_TEV",Current_Date)/_xll.ciqfunctions.udf.CIQ($X57, "IQ_EBITDA_EST",IQ_FY+1)</f>
        <v>#NAME?</v>
      </c>
      <c r="AO57" s="585" t="e">
        <f t="shared" si="42"/>
        <v>#NAME?</v>
      </c>
      <c r="AP57" s="585" t="e">
        <f>_xll.ciqfunctions.udf.CIQ($X57, "IQ_TEV",Current_Date)/_xll.ciqfunctions.udf.CIQ($X57, "IQ_REVENUE_EST",IQ_FY+1)</f>
        <v>#NAME?</v>
      </c>
      <c r="AQ57" s="585" t="e">
        <f t="shared" si="43"/>
        <v>#NAME?</v>
      </c>
      <c r="AR57" s="585" t="e">
        <f>_xll.ciqfunctions.udf.CIQ($X57, "IQ_MARKETCAP",Current_Date)/_xll.ciqfunctions.udf.CIQ($X57, "IQ_NI_EST",IQ_FY+1)</f>
        <v>#NAME?</v>
      </c>
      <c r="AS57" s="4"/>
      <c r="AT57" s="641" t="str">
        <f t="shared" si="44"/>
        <v>IQ1340740</v>
      </c>
      <c r="AU57" s="40"/>
      <c r="AV57" s="8" t="e">
        <f>_xll.ciqfunctions.udf.CIQ($AT57, "IQ_COMPANY_NAME",Current_Date)</f>
        <v>#NAME?</v>
      </c>
      <c r="AW57" s="8"/>
      <c r="AX57" s="75" t="str">
        <f>N95</f>
        <v>HON</v>
      </c>
      <c r="AY57" s="584" t="e">
        <f>_xll.ciqfunctions.udf.CIQ($AT57, "IQ_MARKETCAP",Current_Date)</f>
        <v>#NAME?</v>
      </c>
      <c r="AZ57" s="584" t="e">
        <f>_xll.ciqfunctions.udf.CIQ($AT57, "IQ_TEV",Current_Date)</f>
        <v>#NAME?</v>
      </c>
      <c r="BA57" s="582" t="e">
        <f>_xll.ciqfunctions.udf.CIQ($AT57, "IQ_TOTAL_REV_1YR_ANN_GROWTH",IQ_LTM,Current_Date)/100</f>
        <v>#NAME?</v>
      </c>
      <c r="BB57" s="582" t="e">
        <f t="shared" si="45"/>
        <v>#NAME?</v>
      </c>
      <c r="BC57" s="582" t="e">
        <f>_xll.ciqfunctions.udf.CIQ($AT57, "IQ_EPS_1YR_ANN_GROWTH",IQ_LTM,Current_Date)/100</f>
        <v>#NAME?</v>
      </c>
      <c r="BD57" s="582" t="e">
        <f t="shared" si="46"/>
        <v>#NAME?</v>
      </c>
      <c r="BE57" s="582" t="e">
        <f t="shared" si="47"/>
        <v>#NAME?</v>
      </c>
      <c r="BF57" s="582" t="e">
        <f t="shared" si="48"/>
        <v>#NAME?</v>
      </c>
      <c r="BG57" s="582" t="e">
        <f t="shared" si="49"/>
        <v>#NAME?</v>
      </c>
      <c r="BH57" s="582" t="e">
        <f t="shared" si="50"/>
        <v>#NAME?</v>
      </c>
      <c r="BI57" s="585" t="e">
        <f t="shared" si="51"/>
        <v>#NAME?</v>
      </c>
      <c r="BJ57" s="585" t="e">
        <f>_xll.ciqfunctions.udf.CIQ($AT57, "IQ_TEV",Current_Date)/_xll.ciqfunctions.udf.CIQ($AT57, "IQ_EBITDA_EST",IQ_FY+1)</f>
        <v>#NAME?</v>
      </c>
      <c r="BK57" s="585" t="e">
        <f t="shared" si="52"/>
        <v>#NAME?</v>
      </c>
      <c r="BL57" s="585" t="e">
        <f>_xll.ciqfunctions.udf.CIQ($AT57, "IQ_TEV",Current_Date)/_xll.ciqfunctions.udf.CIQ($AT57, "IQ_REVENUE_EST",IQ_FY+1)</f>
        <v>#NAME?</v>
      </c>
      <c r="BM57" s="585" t="e">
        <f t="shared" si="53"/>
        <v>#NAME?</v>
      </c>
      <c r="BN57" s="585" t="e">
        <f>_xll.ciqfunctions.udf.CIQ($AT57, "IQ_MARKETCAP",Current_Date)/_xll.ciqfunctions.udf.CIQ($AT57, "IQ_NI_EST",IQ_FY+1)</f>
        <v>#NAME?</v>
      </c>
    </row>
    <row r="58" ht="15.75" customHeight="1" hidden="1" spans="1:66" x14ac:dyDescent="0.25" outlineLevel="2" collapsed="1">
      <c r="A58" s="4"/>
      <c r="B58" s="4"/>
      <c r="C58" s="4"/>
      <c r="D58" s="664" t="str">
        <f>D20</f>
        <v>Low</v>
      </c>
      <c r="E58" s="665"/>
      <c r="F58" s="665"/>
      <c r="G58" s="666" t="e">
        <f t="shared" ref="G58:V58" si="56">MIN(G51:G53)</f>
        <v>#NAME?</v>
      </c>
      <c r="H58" s="666" t="e">
        <f t="shared" si="56"/>
        <v>#NAME?</v>
      </c>
      <c r="I58" s="667" t="e">
        <f t="shared" si="56"/>
        <v>#NAME?</v>
      </c>
      <c r="J58" s="667" t="e">
        <f t="shared" si="56"/>
        <v>#NAME?</v>
      </c>
      <c r="K58" s="667" t="e">
        <f t="shared" si="56"/>
        <v>#NAME?</v>
      </c>
      <c r="L58" s="667" t="e">
        <f t="shared" si="56"/>
        <v>#NAME?</v>
      </c>
      <c r="M58" s="668" t="e">
        <f t="shared" si="56"/>
        <v>#NAME?</v>
      </c>
      <c r="N58" s="667" t="e">
        <f t="shared" si="56"/>
        <v>#NAME?</v>
      </c>
      <c r="O58" s="667" t="e">
        <f t="shared" si="56"/>
        <v>#NAME?</v>
      </c>
      <c r="P58" s="667" t="e">
        <f t="shared" si="56"/>
        <v>#NAME?</v>
      </c>
      <c r="Q58" s="669" t="e">
        <f t="shared" si="56"/>
        <v>#NAME?</v>
      </c>
      <c r="R58" s="670" t="e">
        <f t="shared" si="56"/>
        <v>#NAME?</v>
      </c>
      <c r="S58" s="671" t="e">
        <f t="shared" si="56"/>
        <v>#NAME?</v>
      </c>
      <c r="T58" s="670" t="e">
        <f t="shared" si="56"/>
        <v>#NAME?</v>
      </c>
      <c r="U58" s="671" t="e">
        <f t="shared" si="56"/>
        <v>#NAME?</v>
      </c>
      <c r="V58" s="672" t="e">
        <f t="shared" si="56"/>
        <v>#NAME?</v>
      </c>
      <c r="W58" s="8"/>
      <c r="X58" s="641" t="str">
        <f t="shared" si="33"/>
        <v>IQ285827</v>
      </c>
      <c r="Y58" s="40"/>
      <c r="Z58" s="8" t="e">
        <f>_xll.ciqfunctions.udf.CIQ($X58, "IQ_COMPANY_NAME",Current_Date)</f>
        <v>#NAME?</v>
      </c>
      <c r="AA58" s="8"/>
      <c r="AB58" s="75" t="str">
        <f t="shared" si="34"/>
        <v>LMT</v>
      </c>
      <c r="AC58" s="584" t="e">
        <f>_xll.ciqfunctions.udf.CIQ($X58, "IQ_MARKETCAP",Current_Date)</f>
        <v>#NAME?</v>
      </c>
      <c r="AD58" s="584" t="e">
        <f>_xll.ciqfunctions.udf.CIQ($X58, "IQ_TEV",Current_Date)</f>
        <v>#NAME?</v>
      </c>
      <c r="AE58" s="582" t="e">
        <f>_xll.ciqfunctions.udf.CIQ($X58, "IQ_TOTAL_REV_1YR_ANN_GROWTH",IQ_LTM,Current_Date)/100</f>
        <v>#NAME?</v>
      </c>
      <c r="AF58" s="582" t="e">
        <f t="shared" si="35"/>
        <v>#NAME?</v>
      </c>
      <c r="AG58" s="582" t="e">
        <f>_xll.ciqfunctions.udf.CIQ($X58, "IQ_EPS_1YR_ANN_GROWTH",IQ_LTM,Current_Date)/100</f>
        <v>#NAME?</v>
      </c>
      <c r="AH58" s="582" t="e">
        <f t="shared" si="36"/>
        <v>#NAME?</v>
      </c>
      <c r="AI58" s="582" t="e">
        <f t="shared" si="37"/>
        <v>#NAME?</v>
      </c>
      <c r="AJ58" s="582" t="e">
        <f t="shared" si="38"/>
        <v>#NAME?</v>
      </c>
      <c r="AK58" s="582" t="e">
        <f t="shared" si="39"/>
        <v>#NAME?</v>
      </c>
      <c r="AL58" s="582" t="e">
        <f t="shared" si="40"/>
        <v>#NAME?</v>
      </c>
      <c r="AM58" s="585" t="e">
        <f t="shared" si="41"/>
        <v>#NAME?</v>
      </c>
      <c r="AN58" s="585" t="e">
        <f>_xll.ciqfunctions.udf.CIQ($X58, "IQ_TEV",Current_Date)/_xll.ciqfunctions.udf.CIQ($X58, "IQ_EBITDA_EST",IQ_FY+1)</f>
        <v>#NAME?</v>
      </c>
      <c r="AO58" s="585" t="e">
        <f t="shared" si="42"/>
        <v>#NAME?</v>
      </c>
      <c r="AP58" s="585" t="e">
        <f>_xll.ciqfunctions.udf.CIQ($X58, "IQ_TEV",Current_Date)/_xll.ciqfunctions.udf.CIQ($X58, "IQ_REVENUE_EST",IQ_FY+1)</f>
        <v>#NAME?</v>
      </c>
      <c r="AQ58" s="585" t="e">
        <f t="shared" si="43"/>
        <v>#NAME?</v>
      </c>
      <c r="AR58" s="585" t="e">
        <f>_xll.ciqfunctions.udf.CIQ($X58, "IQ_MARKETCAP",Current_Date)/_xll.ciqfunctions.udf.CIQ($X58, "IQ_NI_EST",IQ_FY+1)</f>
        <v>#NAME?</v>
      </c>
      <c r="AS58" s="4"/>
      <c r="AT58" s="641" t="str">
        <f t="shared" si="44"/>
        <v>IQ22751</v>
      </c>
      <c r="AU58" s="40"/>
      <c r="AV58" s="8" t="e">
        <f>_xll.ciqfunctions.udf.CIQ($AT58, "IQ_COMPANY_NAME",Current_Date)</f>
        <v>#NAME?</v>
      </c>
      <c r="AW58" s="8"/>
      <c r="AX58" s="75" t="str">
        <f>N99</f>
        <v>ROP</v>
      </c>
      <c r="AY58" s="584" t="e">
        <f>_xll.ciqfunctions.udf.CIQ($AT58, "IQ_MARKETCAP",Current_Date)</f>
        <v>#NAME?</v>
      </c>
      <c r="AZ58" s="584" t="e">
        <f>_xll.ciqfunctions.udf.CIQ($AT58, "IQ_TEV",Current_Date)</f>
        <v>#NAME?</v>
      </c>
      <c r="BA58" s="582" t="e">
        <f>_xll.ciqfunctions.udf.CIQ($AT58, "IQ_TOTAL_REV_1YR_ANN_GROWTH",IQ_LTM,Current_Date)/100</f>
        <v>#NAME?</v>
      </c>
      <c r="BB58" s="582" t="e">
        <f t="shared" si="45"/>
        <v>#NAME?</v>
      </c>
      <c r="BC58" s="582" t="e">
        <f>_xll.ciqfunctions.udf.CIQ($AT58, "IQ_EPS_1YR_ANN_GROWTH",IQ_LTM,Current_Date)/100</f>
        <v>#NAME?</v>
      </c>
      <c r="BD58" s="582" t="e">
        <f t="shared" si="46"/>
        <v>#NAME?</v>
      </c>
      <c r="BE58" s="582" t="e">
        <f t="shared" si="47"/>
        <v>#NAME?</v>
      </c>
      <c r="BF58" s="582" t="e">
        <f t="shared" si="48"/>
        <v>#NAME?</v>
      </c>
      <c r="BG58" s="582" t="e">
        <f t="shared" si="49"/>
        <v>#NAME?</v>
      </c>
      <c r="BH58" s="582" t="e">
        <f t="shared" si="50"/>
        <v>#NAME?</v>
      </c>
      <c r="BI58" s="585" t="e">
        <f t="shared" si="51"/>
        <v>#NAME?</v>
      </c>
      <c r="BJ58" s="585" t="e">
        <f>_xll.ciqfunctions.udf.CIQ($AT58, "IQ_TEV",Current_Date)/_xll.ciqfunctions.udf.CIQ($AT58, "IQ_EBITDA_EST",IQ_FY+1)</f>
        <v>#NAME?</v>
      </c>
      <c r="BK58" s="585" t="e">
        <f t="shared" si="52"/>
        <v>#NAME?</v>
      </c>
      <c r="BL58" s="585" t="e">
        <f>_xll.ciqfunctions.udf.CIQ($AT58, "IQ_TEV",Current_Date)/_xll.ciqfunctions.udf.CIQ($AT58, "IQ_REVENUE_EST",IQ_FY+1)</f>
        <v>#NAME?</v>
      </c>
      <c r="BM58" s="585" t="e">
        <f t="shared" si="53"/>
        <v>#NAME?</v>
      </c>
      <c r="BN58" s="585"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1" t="str">
        <f t="shared" si="33"/>
        <v>IQ97199</v>
      </c>
      <c r="Y59" s="40"/>
      <c r="Z59" s="8" t="e">
        <f>_xll.ciqfunctions.udf.CIQ($X59, "IQ_COMPANY_NAME",Current_Date)</f>
        <v>#NAME?</v>
      </c>
      <c r="AA59" s="8"/>
      <c r="AB59" s="75" t="str">
        <f t="shared" si="34"/>
        <v>NOC</v>
      </c>
      <c r="AC59" s="584" t="e">
        <f>_xll.ciqfunctions.udf.CIQ($X59, "IQ_MARKETCAP",Current_Date)</f>
        <v>#NAME?</v>
      </c>
      <c r="AD59" s="584" t="e">
        <f>_xll.ciqfunctions.udf.CIQ($X59, "IQ_TEV",Current_Date)</f>
        <v>#NAME?</v>
      </c>
      <c r="AE59" s="582" t="e">
        <f>_xll.ciqfunctions.udf.CIQ($X59, "IQ_TOTAL_REV_1YR_ANN_GROWTH",IQ_LTM,Current_Date)/100</f>
        <v>#NAME?</v>
      </c>
      <c r="AF59" s="582" t="e">
        <f t="shared" si="35"/>
        <v>#NAME?</v>
      </c>
      <c r="AG59" s="582" t="e">
        <f>_xll.ciqfunctions.udf.CIQ($X59, "IQ_EPS_1YR_ANN_GROWTH",IQ_LTM,Current_Date)/100</f>
        <v>#NAME?</v>
      </c>
      <c r="AH59" s="582" t="e">
        <f t="shared" si="36"/>
        <v>#NAME?</v>
      </c>
      <c r="AI59" s="582" t="e">
        <f t="shared" si="37"/>
        <v>#NAME?</v>
      </c>
      <c r="AJ59" s="582" t="e">
        <f t="shared" si="38"/>
        <v>#NAME?</v>
      </c>
      <c r="AK59" s="582" t="e">
        <f t="shared" si="39"/>
        <v>#NAME?</v>
      </c>
      <c r="AL59" s="582" t="e">
        <f t="shared" si="40"/>
        <v>#NAME?</v>
      </c>
      <c r="AM59" s="585" t="e">
        <f t="shared" si="41"/>
        <v>#NAME?</v>
      </c>
      <c r="AN59" s="585" t="e">
        <f>_xll.ciqfunctions.udf.CIQ($X59, "IQ_TEV",Current_Date)/_xll.ciqfunctions.udf.CIQ($X59, "IQ_EBITDA_EST",IQ_FY+1)</f>
        <v>#NAME?</v>
      </c>
      <c r="AO59" s="585" t="e">
        <f t="shared" si="42"/>
        <v>#NAME?</v>
      </c>
      <c r="AP59" s="585" t="e">
        <f>_xll.ciqfunctions.udf.CIQ($X59, "IQ_TEV",Current_Date)/_xll.ciqfunctions.udf.CIQ($X59, "IQ_REVENUE_EST",IQ_FY+1)</f>
        <v>#NAME?</v>
      </c>
      <c r="AQ59" s="585" t="e">
        <f t="shared" si="43"/>
        <v>#NAME?</v>
      </c>
      <c r="AR59" s="585" t="e">
        <f>_xll.ciqfunctions.udf.CIQ($X59, "IQ_MARKETCAP",Current_Date)/_xll.ciqfunctions.udf.CIQ($X59, "IQ_NI_EST",IQ_FY+1)</f>
        <v>#NAME?</v>
      </c>
      <c r="AS59" s="4"/>
      <c r="AT59" s="641" t="str">
        <f t="shared" si="44"/>
        <v>IQ269231</v>
      </c>
      <c r="AU59" s="40"/>
      <c r="AV59" s="8" t="e">
        <f>_xll.ciqfunctions.udf.CIQ($AT59, "IQ_COMPANY_NAME",Current_Date)</f>
        <v>#NAME?</v>
      </c>
      <c r="AW59" s="8"/>
      <c r="AX59" s="75" t="str">
        <f>N103</f>
        <v>EMR</v>
      </c>
      <c r="AY59" s="584" t="e">
        <f>_xll.ciqfunctions.udf.CIQ($AT59, "IQ_MARKETCAP",Current_Date)</f>
        <v>#NAME?</v>
      </c>
      <c r="AZ59" s="584" t="e">
        <f>_xll.ciqfunctions.udf.CIQ($AT59, "IQ_TEV",Current_Date)</f>
        <v>#NAME?</v>
      </c>
      <c r="BA59" s="582" t="e">
        <f>_xll.ciqfunctions.udf.CIQ($AT59, "IQ_TOTAL_REV_1YR_ANN_GROWTH",IQ_LTM,Current_Date)/100</f>
        <v>#NAME?</v>
      </c>
      <c r="BB59" s="582" t="e">
        <f t="shared" si="45"/>
        <v>#NAME?</v>
      </c>
      <c r="BC59" s="582" t="e">
        <f>_xll.ciqfunctions.udf.CIQ($AT59, "IQ_EPS_1YR_ANN_GROWTH",IQ_LTM,Current_Date)/100</f>
        <v>#NAME?</v>
      </c>
      <c r="BD59" s="582" t="e">
        <f t="shared" si="46"/>
        <v>#NAME?</v>
      </c>
      <c r="BE59" s="582" t="e">
        <f t="shared" si="47"/>
        <v>#NAME?</v>
      </c>
      <c r="BF59" s="582" t="e">
        <f t="shared" si="48"/>
        <v>#NAME?</v>
      </c>
      <c r="BG59" s="582" t="e">
        <f t="shared" si="49"/>
        <v>#NAME?</v>
      </c>
      <c r="BH59" s="582" t="e">
        <f t="shared" si="50"/>
        <v>#NAME?</v>
      </c>
      <c r="BI59" s="585" t="e">
        <f t="shared" si="51"/>
        <v>#NAME?</v>
      </c>
      <c r="BJ59" s="585" t="e">
        <f>_xll.ciqfunctions.udf.CIQ($AT59, "IQ_TEV",Current_Date)/_xll.ciqfunctions.udf.CIQ($AT59, "IQ_EBITDA_EST",IQ_FY+1)</f>
        <v>#NAME?</v>
      </c>
      <c r="BK59" s="585" t="e">
        <f t="shared" si="52"/>
        <v>#NAME?</v>
      </c>
      <c r="BL59" s="585" t="e">
        <f>_xll.ciqfunctions.udf.CIQ($AT59, "IQ_TEV",Current_Date)/_xll.ciqfunctions.udf.CIQ($AT59, "IQ_REVENUE_EST",IQ_FY+1)</f>
        <v>#NAME?</v>
      </c>
      <c r="BM59" s="585" t="e">
        <f t="shared" si="53"/>
        <v>#NAME?</v>
      </c>
      <c r="BN59" s="585" t="e">
        <f>_xll.ciqfunctions.udf.CIQ($AT59, "IQ_MARKETCAP",Current_Date)/_xll.ciqfunctions.udf.CIQ($AT59, "IQ_NI_EST",IQ_FY+1)</f>
        <v>#NAME?</v>
      </c>
    </row>
    <row r="60" ht="15.75" customHeight="1" hidden="1" spans="1:66" x14ac:dyDescent="0.25" outlineLevel="2" collapsed="1">
      <c r="A60" s="4"/>
      <c r="B60" s="4"/>
      <c r="C60" s="4"/>
      <c r="D60" s="630"/>
      <c r="E60" s="630"/>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9" t="str">
        <f>D22</f>
        <v>Company</v>
      </c>
      <c r="E61" s="57"/>
      <c r="F61" s="57"/>
      <c r="G61" s="569" t="str">
        <f>G22</f>
        <v>General Statistics</v>
      </c>
      <c r="H61" s="57"/>
      <c r="I61" s="57"/>
      <c r="J61" s="569" t="str">
        <f>J22</f>
        <v>Returns Analysis</v>
      </c>
      <c r="K61" s="57"/>
      <c r="L61" s="57"/>
      <c r="M61" s="569" t="str">
        <f>M22</f>
        <v>2025A Leverage Analysis</v>
      </c>
      <c r="N61" s="57"/>
      <c r="O61" s="57"/>
      <c r="P61" s="569" t="str">
        <f>P22</f>
        <v>2025A Coverage Analysis</v>
      </c>
      <c r="Q61" s="57"/>
      <c r="R61" s="57"/>
      <c r="S61" s="569" t="str">
        <f>S22</f>
        <v>Liquidity Profile</v>
      </c>
      <c r="T61" s="57"/>
      <c r="U61" s="569" t="str">
        <f>U22</f>
        <v>Credit Profile</v>
      </c>
      <c r="V61" s="57"/>
      <c r="W61" s="8"/>
      <c r="X61" s="4"/>
      <c r="Y61" s="40"/>
      <c r="Z61" s="644">
        <f>Z19</f>
        <v>0</v>
      </c>
      <c r="AA61" s="645"/>
      <c r="AB61" s="646"/>
      <c r="AC61" s="647" t="e">
        <f t="shared" ref="AC61:AR61" si="57">MAX(AC55:AC59)</f>
        <v>#NAME?</v>
      </c>
      <c r="AD61" s="647" t="e">
        <f t="shared" si="57"/>
        <v>#NAME?</v>
      </c>
      <c r="AE61" s="648" t="e">
        <f t="shared" si="57"/>
        <v>#NAME?</v>
      </c>
      <c r="AF61" s="648" t="e">
        <f t="shared" si="57"/>
        <v>#NAME?</v>
      </c>
      <c r="AG61" s="648" t="e">
        <f t="shared" si="57"/>
        <v>#NAME?</v>
      </c>
      <c r="AH61" s="648" t="e">
        <f t="shared" si="57"/>
        <v>#NAME?</v>
      </c>
      <c r="AI61" s="648" t="e">
        <f t="shared" si="57"/>
        <v>#NAME?</v>
      </c>
      <c r="AJ61" s="648" t="e">
        <f t="shared" si="57"/>
        <v>#NAME?</v>
      </c>
      <c r="AK61" s="648" t="e">
        <f t="shared" si="57"/>
        <v>#NAME?</v>
      </c>
      <c r="AL61" s="648" t="e">
        <f t="shared" si="57"/>
        <v>#NAME?</v>
      </c>
      <c r="AM61" s="650" t="e">
        <f t="shared" si="57"/>
        <v>#NAME?</v>
      </c>
      <c r="AN61" s="652" t="e">
        <f t="shared" si="57"/>
        <v>#NAME?</v>
      </c>
      <c r="AO61" s="652" t="e">
        <f t="shared" si="57"/>
        <v>#NAME?</v>
      </c>
      <c r="AP61" s="652" t="e">
        <f t="shared" si="57"/>
        <v>#NAME?</v>
      </c>
      <c r="AQ61" s="652" t="e">
        <f t="shared" si="57"/>
        <v>#NAME?</v>
      </c>
      <c r="AR61" s="653" t="e">
        <f t="shared" si="57"/>
        <v>#NAME?</v>
      </c>
      <c r="AS61" s="4"/>
      <c r="AT61" s="4"/>
      <c r="AU61" s="40"/>
      <c r="AV61" s="644">
        <f>AV19</f>
        <v>0</v>
      </c>
      <c r="AW61" s="645"/>
      <c r="AX61" s="646"/>
      <c r="AY61" s="647" t="e">
        <f t="shared" ref="AY61:BN61" si="58">MAX(AY55:AY59)</f>
        <v>#NAME?</v>
      </c>
      <c r="AZ61" s="647" t="e">
        <f t="shared" si="58"/>
        <v>#NAME?</v>
      </c>
      <c r="BA61" s="648" t="e">
        <f t="shared" si="58"/>
        <v>#NAME?</v>
      </c>
      <c r="BB61" s="648" t="e">
        <f t="shared" si="58"/>
        <v>#NAME?</v>
      </c>
      <c r="BC61" s="648" t="e">
        <f t="shared" si="58"/>
        <v>#NAME?</v>
      </c>
      <c r="BD61" s="648" t="e">
        <f t="shared" si="58"/>
        <v>#NAME?</v>
      </c>
      <c r="BE61" s="648" t="e">
        <f t="shared" si="58"/>
        <v>#NAME?</v>
      </c>
      <c r="BF61" s="648" t="e">
        <f t="shared" si="58"/>
        <v>#NAME?</v>
      </c>
      <c r="BG61" s="648" t="e">
        <f t="shared" si="58"/>
        <v>#NAME?</v>
      </c>
      <c r="BH61" s="648" t="e">
        <f t="shared" si="58"/>
        <v>#NAME?</v>
      </c>
      <c r="BI61" s="650" t="e">
        <f t="shared" si="58"/>
        <v>#NAME?</v>
      </c>
      <c r="BJ61" s="652" t="e">
        <f t="shared" si="58"/>
        <v>#NAME?</v>
      </c>
      <c r="BK61" s="652" t="e">
        <f t="shared" si="58"/>
        <v>#NAME?</v>
      </c>
      <c r="BL61" s="652" t="e">
        <f t="shared" si="58"/>
        <v>#NAME?</v>
      </c>
      <c r="BM61" s="652" t="e">
        <f t="shared" si="58"/>
        <v>#NAME?</v>
      </c>
      <c r="BN61" s="653" t="e">
        <f t="shared" si="58"/>
        <v>#NAME?</v>
      </c>
    </row>
    <row r="62" ht="15.75" customHeight="1" hidden="1" spans="1:66" x14ac:dyDescent="0.25" outlineLevel="2" collapsed="1">
      <c r="A62" s="4"/>
      <c r="B62" s="4"/>
      <c r="C62" s="4"/>
      <c r="D62" s="8"/>
      <c r="E62" s="8"/>
      <c r="F62" s="8"/>
      <c r="G62" s="8"/>
      <c r="H62" s="8"/>
      <c r="I62" s="8"/>
      <c r="J62" s="8"/>
      <c r="K62" s="8"/>
      <c r="L62" s="8"/>
      <c r="M62" s="569" t="str">
        <f>M23</f>
        <v>Total Debt / </v>
      </c>
      <c r="N62" s="57"/>
      <c r="O62" s="57"/>
      <c r="P62" s="8"/>
      <c r="Q62" s="8"/>
      <c r="R62" s="8"/>
      <c r="S62" s="8"/>
      <c r="T62" s="8"/>
      <c r="U62" s="8"/>
      <c r="V62" s="8"/>
      <c r="W62" s="8"/>
      <c r="X62" s="4"/>
      <c r="Y62" s="40"/>
      <c r="Z62" s="654">
        <f>Z20</f>
        <v>0</v>
      </c>
      <c r="AA62" s="655"/>
      <c r="AB62" s="656"/>
      <c r="AC62" s="657" t="e">
        <f t="shared" ref="AC62:AR62" si="59">AVERAGE(AC55:AC59)</f>
        <v>#NAME?</v>
      </c>
      <c r="AD62" s="657" t="e">
        <f t="shared" si="59"/>
        <v>#NAME?</v>
      </c>
      <c r="AE62" s="658" t="e">
        <f t="shared" si="59"/>
        <v>#NAME?</v>
      </c>
      <c r="AF62" s="658" t="e">
        <f t="shared" si="59"/>
        <v>#NAME?</v>
      </c>
      <c r="AG62" s="658" t="e">
        <f t="shared" si="59"/>
        <v>#NAME?</v>
      </c>
      <c r="AH62" s="658" t="e">
        <f t="shared" si="59"/>
        <v>#NAME?</v>
      </c>
      <c r="AI62" s="658" t="e">
        <f t="shared" si="59"/>
        <v>#NAME?</v>
      </c>
      <c r="AJ62" s="658" t="e">
        <f t="shared" si="59"/>
        <v>#NAME?</v>
      </c>
      <c r="AK62" s="658" t="e">
        <f t="shared" si="59"/>
        <v>#NAME?</v>
      </c>
      <c r="AL62" s="658" t="e">
        <f t="shared" si="59"/>
        <v>#NAME?</v>
      </c>
      <c r="AM62" s="660" t="e">
        <f t="shared" si="59"/>
        <v>#NAME?</v>
      </c>
      <c r="AN62" s="662" t="e">
        <f t="shared" si="59"/>
        <v>#NAME?</v>
      </c>
      <c r="AO62" s="662" t="e">
        <f t="shared" si="59"/>
        <v>#NAME?</v>
      </c>
      <c r="AP62" s="662" t="e">
        <f t="shared" si="59"/>
        <v>#NAME?</v>
      </c>
      <c r="AQ62" s="662" t="e">
        <f t="shared" si="59"/>
        <v>#NAME?</v>
      </c>
      <c r="AR62" s="663" t="e">
        <f t="shared" si="59"/>
        <v>#NAME?</v>
      </c>
      <c r="AS62" s="4"/>
      <c r="AT62" s="4"/>
      <c r="AU62" s="40"/>
      <c r="AV62" s="654">
        <f>AV20</f>
        <v>0</v>
      </c>
      <c r="AW62" s="655"/>
      <c r="AX62" s="656"/>
      <c r="AY62" s="657" t="e">
        <f t="shared" ref="AY62:BN62" si="60">AVERAGE(AY55:AY59)</f>
        <v>#NAME?</v>
      </c>
      <c r="AZ62" s="657" t="e">
        <f t="shared" si="60"/>
        <v>#NAME?</v>
      </c>
      <c r="BA62" s="658" t="e">
        <f t="shared" si="60"/>
        <v>#NAME?</v>
      </c>
      <c r="BB62" s="658" t="e">
        <f t="shared" si="60"/>
        <v>#NAME?</v>
      </c>
      <c r="BC62" s="658" t="e">
        <f t="shared" si="60"/>
        <v>#NAME?</v>
      </c>
      <c r="BD62" s="658" t="e">
        <f t="shared" si="60"/>
        <v>#NAME?</v>
      </c>
      <c r="BE62" s="658" t="e">
        <f t="shared" si="60"/>
        <v>#NAME?</v>
      </c>
      <c r="BF62" s="658" t="e">
        <f t="shared" si="60"/>
        <v>#NAME?</v>
      </c>
      <c r="BG62" s="658" t="e">
        <f t="shared" si="60"/>
        <v>#NAME?</v>
      </c>
      <c r="BH62" s="658" t="e">
        <f t="shared" si="60"/>
        <v>#NAME?</v>
      </c>
      <c r="BI62" s="660" t="e">
        <f t="shared" si="60"/>
        <v>#NAME?</v>
      </c>
      <c r="BJ62" s="662" t="e">
        <f t="shared" si="60"/>
        <v>#NAME?</v>
      </c>
      <c r="BK62" s="662" t="e">
        <f t="shared" si="60"/>
        <v>#NAME?</v>
      </c>
      <c r="BL62" s="662" t="e">
        <f t="shared" si="60"/>
        <v>#NAME?</v>
      </c>
      <c r="BM62" s="662" t="e">
        <f t="shared" si="60"/>
        <v>#NAME?</v>
      </c>
      <c r="BN62" s="663"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4">
        <f>Z21</f>
        <v>0</v>
      </c>
      <c r="AA63" s="655"/>
      <c r="AB63" s="655"/>
      <c r="AC63" s="657" t="e">
        <f t="shared" ref="AC63:AR63" si="62">MEDIAN(AC55:AC59)</f>
        <v>#NAME?</v>
      </c>
      <c r="AD63" s="657" t="e">
        <f t="shared" si="62"/>
        <v>#NAME?</v>
      </c>
      <c r="AE63" s="658" t="e">
        <f t="shared" si="62"/>
        <v>#NAME?</v>
      </c>
      <c r="AF63" s="658" t="e">
        <f t="shared" si="62"/>
        <v>#NAME?</v>
      </c>
      <c r="AG63" s="658" t="e">
        <f t="shared" si="62"/>
        <v>#NAME?</v>
      </c>
      <c r="AH63" s="658" t="e">
        <f t="shared" si="62"/>
        <v>#NAME?</v>
      </c>
      <c r="AI63" s="658" t="e">
        <f t="shared" si="62"/>
        <v>#NAME?</v>
      </c>
      <c r="AJ63" s="658" t="e">
        <f t="shared" si="62"/>
        <v>#NAME?</v>
      </c>
      <c r="AK63" s="658" t="e">
        <f t="shared" si="62"/>
        <v>#NAME?</v>
      </c>
      <c r="AL63" s="658" t="e">
        <f t="shared" si="62"/>
        <v>#NAME?</v>
      </c>
      <c r="AM63" s="660" t="e">
        <f t="shared" si="62"/>
        <v>#NAME?</v>
      </c>
      <c r="AN63" s="662" t="e">
        <f t="shared" si="62"/>
        <v>#NAME?</v>
      </c>
      <c r="AO63" s="662" t="e">
        <f t="shared" si="62"/>
        <v>#NAME?</v>
      </c>
      <c r="AP63" s="662" t="e">
        <f t="shared" si="62"/>
        <v>#NAME?</v>
      </c>
      <c r="AQ63" s="662" t="e">
        <f t="shared" si="62"/>
        <v>#NAME?</v>
      </c>
      <c r="AR63" s="663" t="e">
        <f t="shared" si="62"/>
        <v>#NAME?</v>
      </c>
      <c r="AS63" s="4"/>
      <c r="AT63" s="4"/>
      <c r="AU63" s="40"/>
      <c r="AV63" s="654">
        <f>AV21</f>
        <v>0</v>
      </c>
      <c r="AW63" s="655"/>
      <c r="AX63" s="655"/>
      <c r="AY63" s="657" t="e">
        <f t="shared" ref="AY63:BN63" si="63">MEDIAN(AY55:AY59)</f>
        <v>#NAME?</v>
      </c>
      <c r="AZ63" s="657" t="e">
        <f t="shared" si="63"/>
        <v>#NAME?</v>
      </c>
      <c r="BA63" s="658" t="e">
        <f t="shared" si="63"/>
        <v>#NAME?</v>
      </c>
      <c r="BB63" s="658" t="e">
        <f t="shared" si="63"/>
        <v>#NAME?</v>
      </c>
      <c r="BC63" s="658" t="e">
        <f t="shared" si="63"/>
        <v>#NAME?</v>
      </c>
      <c r="BD63" s="658" t="e">
        <f t="shared" si="63"/>
        <v>#NAME?</v>
      </c>
      <c r="BE63" s="658" t="e">
        <f t="shared" si="63"/>
        <v>#NAME?</v>
      </c>
      <c r="BF63" s="658" t="e">
        <f t="shared" si="63"/>
        <v>#NAME?</v>
      </c>
      <c r="BG63" s="658" t="e">
        <f t="shared" si="63"/>
        <v>#NAME?</v>
      </c>
      <c r="BH63" s="658" t="e">
        <f t="shared" si="63"/>
        <v>#NAME?</v>
      </c>
      <c r="BI63" s="660" t="e">
        <f t="shared" si="63"/>
        <v>#NAME?</v>
      </c>
      <c r="BJ63" s="662" t="e">
        <f t="shared" si="63"/>
        <v>#NAME?</v>
      </c>
      <c r="BK63" s="662" t="e">
        <f t="shared" si="63"/>
        <v>#NAME?</v>
      </c>
      <c r="BL63" s="662" t="e">
        <f t="shared" si="63"/>
        <v>#NAME?</v>
      </c>
      <c r="BM63" s="662" t="e">
        <f t="shared" si="63"/>
        <v>#NAME?</v>
      </c>
      <c r="BN63" s="663" t="e">
        <f t="shared" si="63"/>
        <v>#NAME?</v>
      </c>
    </row>
    <row r="64" ht="15.75" customHeight="1" hidden="1" spans="1:66" x14ac:dyDescent="0.25" outlineLevel="2" collapsed="1">
      <c r="A64" s="4"/>
      <c r="B64" s="40"/>
      <c r="C64" s="40"/>
      <c r="D64" s="131"/>
      <c r="E64" s="75"/>
      <c r="F64" s="569" t="str">
        <f>F25</f>
        <v>Ticker</v>
      </c>
      <c r="G64" s="569" t="str">
        <f>G25</f>
        <v>Tax Rate</v>
      </c>
      <c r="H64" s="569" t="str">
        <f>H25</f>
        <v>Beta</v>
      </c>
      <c r="I64" s="569" t="str">
        <f>I25</f>
        <v>Yield</v>
      </c>
      <c r="J64" s="569" t="str">
        <f t="shared" ref="J64:O64" si="64">J25</f>
        <v>ROIC</v>
      </c>
      <c r="K64" s="569" t="str">
        <f t="shared" si="64"/>
        <v>ROE </v>
      </c>
      <c r="L64" s="569" t="str">
        <f t="shared" si="64"/>
        <v>ROA</v>
      </c>
      <c r="M64" s="569" t="str">
        <f t="shared" si="64"/>
        <v>Cap</v>
      </c>
      <c r="N64" s="569" t="str">
        <f t="shared" si="64"/>
        <v>EBITDA</v>
      </c>
      <c r="O64" s="569" t="str">
        <f t="shared" si="64"/>
        <v>Equity</v>
      </c>
      <c r="P64" s="569" t="str">
        <f t="shared" si="61"/>
        <v>Int. Exp.</v>
      </c>
      <c r="Q64" s="569" t="str">
        <f t="shared" si="61"/>
        <v>Capex)/Int.</v>
      </c>
      <c r="R64" s="569" t="str">
        <f t="shared" si="61"/>
        <v>Int. Exp.</v>
      </c>
      <c r="S64" s="569" t="str">
        <f t="shared" si="61"/>
        <v>Ratio</v>
      </c>
      <c r="T64" s="569" t="str">
        <f t="shared" si="61"/>
        <v>Ratio</v>
      </c>
      <c r="U64" s="569" t="s">
        <v>681</v>
      </c>
      <c r="V64" s="569" t="s">
        <v>682</v>
      </c>
      <c r="W64" s="8"/>
      <c r="X64" s="4"/>
      <c r="Y64" s="40"/>
      <c r="Z64" s="664">
        <f>Z22</f>
        <v>0</v>
      </c>
      <c r="AA64" s="665"/>
      <c r="AB64" s="665"/>
      <c r="AC64" s="666" t="e">
        <f t="shared" ref="AC64:AR64" si="65">MIN(AC55:AC59)</f>
        <v>#NAME?</v>
      </c>
      <c r="AD64" s="666" t="e">
        <f t="shared" si="65"/>
        <v>#NAME?</v>
      </c>
      <c r="AE64" s="667" t="e">
        <f t="shared" si="65"/>
        <v>#NAME?</v>
      </c>
      <c r="AF64" s="667" t="e">
        <f t="shared" si="65"/>
        <v>#NAME?</v>
      </c>
      <c r="AG64" s="667" t="e">
        <f t="shared" si="65"/>
        <v>#NAME?</v>
      </c>
      <c r="AH64" s="667" t="e">
        <f t="shared" si="65"/>
        <v>#NAME?</v>
      </c>
      <c r="AI64" s="667" t="e">
        <f t="shared" si="65"/>
        <v>#NAME?</v>
      </c>
      <c r="AJ64" s="667" t="e">
        <f t="shared" si="65"/>
        <v>#NAME?</v>
      </c>
      <c r="AK64" s="667" t="e">
        <f t="shared" si="65"/>
        <v>#NAME?</v>
      </c>
      <c r="AL64" s="667" t="e">
        <f t="shared" si="65"/>
        <v>#NAME?</v>
      </c>
      <c r="AM64" s="669" t="e">
        <f t="shared" si="65"/>
        <v>#NAME?</v>
      </c>
      <c r="AN64" s="671" t="e">
        <f t="shared" si="65"/>
        <v>#NAME?</v>
      </c>
      <c r="AO64" s="671" t="e">
        <f t="shared" si="65"/>
        <v>#NAME?</v>
      </c>
      <c r="AP64" s="671" t="e">
        <f t="shared" si="65"/>
        <v>#NAME?</v>
      </c>
      <c r="AQ64" s="671" t="e">
        <f t="shared" si="65"/>
        <v>#NAME?</v>
      </c>
      <c r="AR64" s="672" t="e">
        <f t="shared" si="65"/>
        <v>#NAME?</v>
      </c>
      <c r="AS64" s="4"/>
      <c r="AT64" s="4"/>
      <c r="AU64" s="40"/>
      <c r="AV64" s="664">
        <f>AV22</f>
        <v>0</v>
      </c>
      <c r="AW64" s="665"/>
      <c r="AX64" s="665"/>
      <c r="AY64" s="666" t="e">
        <f t="shared" ref="AY64:BN64" si="66">MIN(AY55:AY59)</f>
        <v>#NAME?</v>
      </c>
      <c r="AZ64" s="666" t="e">
        <f t="shared" si="66"/>
        <v>#NAME?</v>
      </c>
      <c r="BA64" s="667" t="e">
        <f t="shared" si="66"/>
        <v>#NAME?</v>
      </c>
      <c r="BB64" s="667" t="e">
        <f t="shared" si="66"/>
        <v>#NAME?</v>
      </c>
      <c r="BC64" s="667" t="e">
        <f t="shared" si="66"/>
        <v>#NAME?</v>
      </c>
      <c r="BD64" s="667" t="e">
        <f t="shared" si="66"/>
        <v>#NAME?</v>
      </c>
      <c r="BE64" s="667" t="e">
        <f t="shared" si="66"/>
        <v>#NAME?</v>
      </c>
      <c r="BF64" s="667" t="e">
        <f t="shared" si="66"/>
        <v>#NAME?</v>
      </c>
      <c r="BG64" s="667" t="e">
        <f t="shared" si="66"/>
        <v>#NAME?</v>
      </c>
      <c r="BH64" s="667" t="e">
        <f t="shared" si="66"/>
        <v>#NAME?</v>
      </c>
      <c r="BI64" s="669" t="e">
        <f t="shared" si="66"/>
        <v>#NAME?</v>
      </c>
      <c r="BJ64" s="671" t="e">
        <f t="shared" si="66"/>
        <v>#NAME?</v>
      </c>
      <c r="BK64" s="671" t="e">
        <f t="shared" si="66"/>
        <v>#NAME?</v>
      </c>
      <c r="BL64" s="671" t="e">
        <f t="shared" si="66"/>
        <v>#NAME?</v>
      </c>
      <c r="BM64" s="671" t="e">
        <f t="shared" si="66"/>
        <v>#NAME?</v>
      </c>
      <c r="BN64" s="672" t="e">
        <f t="shared" si="66"/>
        <v>#NAME?</v>
      </c>
    </row>
    <row r="65" ht="15.75" customHeight="1" hidden="1" spans="1:66" x14ac:dyDescent="0.25" outlineLevel="2" collapsed="1">
      <c r="A65" s="4"/>
      <c r="B65" s="40"/>
      <c r="C65" s="40"/>
      <c r="D65" s="75"/>
      <c r="E65" s="75"/>
      <c r="F65" s="75"/>
      <c r="G65" s="75"/>
      <c r="H65" s="75"/>
      <c r="I65" s="571"/>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1" t="e">
        <f>D49</f>
        <v>#NAME?</v>
      </c>
      <c r="E66" s="632"/>
      <c r="F66" s="633" t="str">
        <f>F49</f>
        <v>JEF</v>
      </c>
      <c r="G66" s="635" t="e">
        <f>_xll.ciqfunctions.udf.CIQ($B70, "IQ_EFFECT_TAX_RATE",IQ_FY)/100</f>
        <v>#NAME?</v>
      </c>
      <c r="H66" s="673" t="e">
        <f>_xll.ciqfunctions.udf.CIQ($B70, "IQ_BETA_5YR",Current_Date)</f>
        <v>#NAME?</v>
      </c>
      <c r="I66" s="635" t="e">
        <f>_xll.ciqfunctions.udf.CIQ($B70, "IQ_DIVIDEND_YIELD",Current_Date)/100</f>
        <v>#NAME?</v>
      </c>
      <c r="J66" s="635" t="e">
        <f>(_xll.ciqfunctions.udf.CIQ($B70,"IQ_OPER_INC",IQ_LTM)*(1-G66))/(((_xll.ciqfunctions.udf.CIQ($B70,"IQ_TOTAL_DEBT",IQ_LTM))+_xll.ciqfunctions.udf.CIQ($B70,"IQ_TOTAL_EQUITY",IQ_LTM))-_xll.ciqfunctions.udf.CIQ($B70,"IQ_CASH_EQUIV",IQ_LTM))</f>
        <v>#NAME?</v>
      </c>
      <c r="K66" s="635" t="e">
        <f>_xll.ciqfunctions.udf.CIQ($B70, "IQ_RETURN_EQUITY",IQ_LTM)/100</f>
        <v>#NAME?</v>
      </c>
      <c r="L66" s="635" t="e">
        <f>_xll.ciqfunctions.udf.CIQ($B70, "IQ_RETURN_ASSETS",IQ_LTM)/100</f>
        <v>#NAME?</v>
      </c>
      <c r="M66" s="637" t="e">
        <f>_xll.ciqfunctions.udf.CIQ($B70, "IQ_TOTAL_DEBT_CAPITAL",IQ_FY)/100</f>
        <v>#NAME?</v>
      </c>
      <c r="N66" s="638" t="e">
        <f>_xll.ciqfunctions.udf.CIQ($B70, "IQ_TOTAL_DEBT_EBITDA",IQ_FY)</f>
        <v>#NAME?</v>
      </c>
      <c r="O66" s="637" t="e">
        <f>_xll.ciqfunctions.udf.CIQ($B70, "IQ_TOTAL_DEBT_EQUITY",IQ_FY)/100</f>
        <v>#NAME?</v>
      </c>
      <c r="P66" s="638" t="e">
        <f>_xll.ciqfunctions.udf.CIQ($B70, "IQ_EBITDA_INT",IQ_FY)</f>
        <v>#NAME?</v>
      </c>
      <c r="Q66" s="638" t="e">
        <f>_xll.ciqfunctions.udf.CIQ($B70, "IQ_EBITDA_CAPEX_INT",IQ_FY)</f>
        <v>#NAME?</v>
      </c>
      <c r="R66" s="638" t="e">
        <f>_xll.ciqfunctions.udf.CIQ($B70, "IQ_EBIT_INT",IQ_FY)</f>
        <v>#NAME?</v>
      </c>
      <c r="S66" s="637" t="e">
        <f>_xll.ciqfunctions.udf.CIQ($B70, "IQ_QUICK_RATIO",IQ_FY)</f>
        <v>#NAME?</v>
      </c>
      <c r="T66" s="637" t="e">
        <f>_xll.ciqfunctions.udf.CIQ($B70, "IQ_CURRENT_RATIO",IQ_FY)</f>
        <v>#NAME?</v>
      </c>
      <c r="U66" s="674" t="e">
        <f>_xll.ciqfunctions.udf.CIQ($B70, "IQ_SP_LC_LT",Current)</f>
        <v>#NAME?</v>
      </c>
      <c r="V66" s="675" t="e">
        <f>_xll.ciqfunctions.udf.CIQ($B70, "IQ_SP_OUTLOOK_WATCH",Current)</f>
        <v>#NAME?</v>
      </c>
      <c r="W66" s="8"/>
      <c r="X66" s="4"/>
      <c r="Y66" s="40"/>
      <c r="Z66" s="630"/>
      <c r="AA66" s="630"/>
      <c r="AB66" s="40"/>
      <c r="AC66" s="197"/>
      <c r="AD66" s="197"/>
      <c r="AE66" s="197"/>
      <c r="AF66" s="197"/>
      <c r="AG66" s="197"/>
      <c r="AH66" s="197"/>
      <c r="AI66" s="197"/>
      <c r="AJ66" s="197"/>
      <c r="AK66" s="197"/>
      <c r="AL66" s="197"/>
      <c r="AM66" s="197"/>
      <c r="AN66" s="197"/>
      <c r="AO66" s="197"/>
      <c r="AP66" s="197"/>
      <c r="AQ66" s="197"/>
      <c r="AR66" s="197"/>
      <c r="AS66" s="4"/>
      <c r="AT66" s="4"/>
      <c r="AU66" s="40"/>
      <c r="AV66" s="630"/>
      <c r="AW66" s="630"/>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1"/>
      <c r="H67" s="75"/>
      <c r="I67" s="643"/>
      <c r="J67" s="627"/>
      <c r="K67" s="627"/>
      <c r="L67" s="627"/>
      <c r="M67" s="627"/>
      <c r="N67" s="640"/>
      <c r="O67" s="627"/>
      <c r="P67" s="640"/>
      <c r="Q67" s="676"/>
      <c r="R67" s="676"/>
      <c r="S67" s="627"/>
      <c r="T67" s="627"/>
      <c r="U67" s="677"/>
      <c r="V67" s="677"/>
      <c r="W67" s="8"/>
      <c r="X67" s="4"/>
      <c r="Y67" s="40"/>
      <c r="Z67" s="569">
        <f>Z24</f>
        <v>0</v>
      </c>
      <c r="AA67" s="57"/>
      <c r="AB67" s="57"/>
      <c r="AC67" s="569">
        <f>AC24</f>
        <v>0</v>
      </c>
      <c r="AD67" s="57"/>
      <c r="AE67" s="57"/>
      <c r="AF67" s="569">
        <f>AF24</f>
        <v>0</v>
      </c>
      <c r="AG67" s="57"/>
      <c r="AH67" s="57"/>
      <c r="AI67" s="569">
        <f>AI24</f>
        <v>0</v>
      </c>
      <c r="AJ67" s="57"/>
      <c r="AK67" s="57"/>
      <c r="AL67" s="569">
        <f>AL24</f>
        <v>0</v>
      </c>
      <c r="AM67" s="57"/>
      <c r="AN67" s="57"/>
      <c r="AO67" s="569">
        <f>AO24</f>
        <v>0</v>
      </c>
      <c r="AP67" s="57"/>
      <c r="AQ67" s="569">
        <f>AQ24</f>
        <v>0</v>
      </c>
      <c r="AR67" s="57"/>
      <c r="AS67" s="4"/>
      <c r="AT67" s="4"/>
      <c r="AU67" s="40"/>
      <c r="AV67" s="569">
        <f>AV24</f>
        <v>0</v>
      </c>
      <c r="AW67" s="57"/>
      <c r="AX67" s="57"/>
      <c r="AY67" s="569">
        <f>AY24</f>
        <v>0</v>
      </c>
      <c r="AZ67" s="57"/>
      <c r="BA67" s="57"/>
      <c r="BB67" s="569">
        <f>BB24</f>
        <v>0</v>
      </c>
      <c r="BC67" s="57"/>
      <c r="BD67" s="57"/>
      <c r="BE67" s="569">
        <f>BE24</f>
        <v>0</v>
      </c>
      <c r="BF67" s="57"/>
      <c r="BG67" s="57"/>
      <c r="BH67" s="569">
        <f>BH24</f>
        <v>0</v>
      </c>
      <c r="BI67" s="57"/>
      <c r="BJ67" s="57"/>
      <c r="BK67" s="569">
        <f>BK24</f>
        <v>0</v>
      </c>
      <c r="BL67" s="57"/>
      <c r="BM67" s="569">
        <f>BM24</f>
        <v>0</v>
      </c>
      <c r="BN67" s="57"/>
    </row>
    <row r="68" ht="15.75" customHeight="1" hidden="1" spans="1:66" x14ac:dyDescent="0.25" outlineLevel="2" collapsed="1">
      <c r="A68" s="4"/>
      <c r="B68" s="40"/>
      <c r="C68" s="40"/>
      <c r="D68" s="8" t="str">
        <f t="shared" ref="D68:D70" si="67">D51</f>
        <v>Raymond James Financial, Inc.</v>
      </c>
      <c r="E68" s="8"/>
      <c r="F68" s="75" t="str">
        <f>E87</f>
        <v>RJ</v>
      </c>
      <c r="G68" s="582" t="e">
        <f t="shared" ref="G68:G70" si="68">_xll.ciqfunctions.udf.CIQ($B72, "IQ_EFFECT_TAX_RATE",IQ_FY)/100</f>
        <v>#NAME?</v>
      </c>
      <c r="H68" s="612" t="e">
        <f>_xll.ciqfunctions.udf.CIQ($B72, "IQ_BETA_5YR",Current_Date)</f>
        <v>#NAME?</v>
      </c>
      <c r="I68" s="582" t="e">
        <f>_xll.ciqfunctions.udf.CIQ($B72, "IQ_DIVIDEND_YIELD",Current_Date)/100</f>
        <v>#NAME?</v>
      </c>
      <c r="J68" s="582" t="e">
        <f t="shared" ref="J68:J70" si="69">(_xll.ciqfunctions.udf.CIQ($B72,"IQ_OPER_INC",IQ_LTM)*(1-G68))/(((_xll.ciqfunctions.udf.CIQ($B72,"IQ_TOTAL_DEBT",IQ_LTM))+_xll.ciqfunctions.udf.CIQ($B72,"IQ_TOTAL_EQUITY",IQ_LTM))-_xll.ciqfunctions.udf.CIQ($B72,"IQ_CASH_EQUIV",IQ_LTM))</f>
        <v>#NAME?</v>
      </c>
      <c r="K68" s="582" t="e">
        <f t="shared" ref="K68:K70" si="70">_xll.ciqfunctions.udf.CIQ($B72, "IQ_RETURN_EQUITY",IQ_LTM)/100</f>
        <v>#NAME?</v>
      </c>
      <c r="L68" s="582" t="e">
        <f t="shared" ref="L68:L70" si="71">_xll.ciqfunctions.udf.CIQ($B72, "IQ_RETURN_ASSETS",IQ_LTM)/100</f>
        <v>#NAME?</v>
      </c>
      <c r="M68" s="585" t="e">
        <f t="shared" ref="M68:M70" si="72">_xll.ciqfunctions.udf.CIQ($B72, "IQ_TOTAL_DEBT_CAPITAL",IQ_FY)/100</f>
        <v>#NAME?</v>
      </c>
      <c r="N68" s="640" t="e">
        <f t="shared" ref="N68:N70" si="73">_xll.ciqfunctions.udf.CIQ($B72, "IQ_TOTAL_DEBT_EBITDA",IQ_FY)</f>
        <v>#NAME?</v>
      </c>
      <c r="O68" s="585" t="e">
        <f t="shared" ref="O68:O70" si="74">_xll.ciqfunctions.udf.CIQ($B72, "IQ_TOTAL_DEBT_EQUITY",IQ_FY)/100</f>
        <v>#NAME?</v>
      </c>
      <c r="P68" s="640" t="e">
        <f t="shared" ref="P68:P70" si="75">_xll.ciqfunctions.udf.CIQ($B72, "IQ_EBITDA_INT",IQ_FY)</f>
        <v>#NAME?</v>
      </c>
      <c r="Q68" s="640" t="e">
        <f t="shared" ref="Q68:Q70" si="76">_xll.ciqfunctions.udf.CIQ($B72, "IQ_EBITDA_CAPEX_INT",IQ_FY)</f>
        <v>#NAME?</v>
      </c>
      <c r="R68" s="640" t="e">
        <f t="shared" ref="R68:R70" si="77">_xll.ciqfunctions.udf.CIQ($B72, "IQ_EBIT_INT",IQ_FY)</f>
        <v>#NAME?</v>
      </c>
      <c r="S68" s="585" t="e">
        <f t="shared" ref="S68:S70" si="78">_xll.ciqfunctions.udf.CIQ($B72, "IQ_QUICK_RATIO",IQ_FY)</f>
        <v>#NAME?</v>
      </c>
      <c r="T68" s="585" t="e">
        <f t="shared" ref="T68:T70" si="79">_xll.ciqfunctions.udf.CIQ($B72, "IQ_CURRENT_RATIO",IQ_FY)</f>
        <v>#NAME?</v>
      </c>
      <c r="U68" s="678" t="e">
        <f t="shared" ref="U68:U70" si="80">_xll.ciqfunctions.udf.CIQ($B72, "IQ_SP_LC_LT",Current)</f>
        <v>#NAME?</v>
      </c>
      <c r="V68" s="678" t="e">
        <f t="shared" ref="V68:V70" si="81">_xll.ciqfunctions.udf.CIQ($B72, "IQ_SP_OUTLOOK_WATCH",Current)</f>
        <v>#NAME?</v>
      </c>
      <c r="W68" s="8"/>
      <c r="X68" s="4"/>
      <c r="Y68" s="40"/>
      <c r="Z68" s="8"/>
      <c r="AA68" s="8"/>
      <c r="AB68" s="8"/>
      <c r="AC68" s="8"/>
      <c r="AD68" s="8"/>
      <c r="AE68" s="8"/>
      <c r="AF68" s="8"/>
      <c r="AG68" s="8"/>
      <c r="AH68" s="8"/>
      <c r="AI68" s="569">
        <f>AI25</f>
        <v>0</v>
      </c>
      <c r="AJ68" s="57"/>
      <c r="AK68" s="57"/>
      <c r="AL68" s="8"/>
      <c r="AM68" s="8"/>
      <c r="AN68" s="8"/>
      <c r="AO68" s="8"/>
      <c r="AP68" s="8"/>
      <c r="AQ68" s="8"/>
      <c r="AR68" s="8"/>
      <c r="AS68" s="4"/>
      <c r="AT68" s="4"/>
      <c r="AU68" s="40"/>
      <c r="AV68" s="8"/>
      <c r="AW68" s="8"/>
      <c r="AX68" s="8"/>
      <c r="AY68" s="8"/>
      <c r="AZ68" s="8"/>
      <c r="BA68" s="8"/>
      <c r="BB68" s="8"/>
      <c r="BC68" s="8"/>
      <c r="BD68" s="8"/>
      <c r="BE68" s="569">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2" t="e">
        <f t="shared" si="68"/>
        <v>#NAME?</v>
      </c>
      <c r="H69" s="612" t="e">
        <f>_xll.ciqfunctions.udf.CIQ($B73, "IQ_BETA_5YR",Current_Date)</f>
        <v>#NAME?</v>
      </c>
      <c r="I69" s="582" t="e">
        <f>_xll.ciqfunctions.udf.CIQ($B73, "IQ_DIVIDEND_YIELD",Current_Date)/100</f>
        <v>#NAME?</v>
      </c>
      <c r="J69" s="582" t="e">
        <f t="shared" si="69"/>
        <v>#NAME?</v>
      </c>
      <c r="K69" s="582" t="e">
        <f t="shared" si="70"/>
        <v>#NAME?</v>
      </c>
      <c r="L69" s="582" t="e">
        <f t="shared" si="71"/>
        <v>#NAME?</v>
      </c>
      <c r="M69" s="585" t="e">
        <f t="shared" si="72"/>
        <v>#NAME?</v>
      </c>
      <c r="N69" s="640" t="e">
        <f t="shared" si="73"/>
        <v>#NAME?</v>
      </c>
      <c r="O69" s="585" t="e">
        <f t="shared" si="74"/>
        <v>#NAME?</v>
      </c>
      <c r="P69" s="640" t="e">
        <f t="shared" si="75"/>
        <v>#NAME?</v>
      </c>
      <c r="Q69" s="640" t="e">
        <f t="shared" si="76"/>
        <v>#NAME?</v>
      </c>
      <c r="R69" s="640" t="e">
        <f t="shared" si="77"/>
        <v>#NAME?</v>
      </c>
      <c r="S69" s="585" t="e">
        <f t="shared" si="78"/>
        <v>#NAME?</v>
      </c>
      <c r="T69" s="585" t="e">
        <f t="shared" si="79"/>
        <v>#NAME?</v>
      </c>
      <c r="U69" s="678" t="e">
        <f t="shared" si="80"/>
        <v>#NAME?</v>
      </c>
      <c r="V69" s="678"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1" t="str">
        <f>E84</f>
        <v>IQ285359</v>
      </c>
      <c r="C70" s="641"/>
      <c r="D70" s="8" t="e">
        <f t="shared" si="67"/>
        <v>#NAME?</v>
      </c>
      <c r="E70" s="8"/>
      <c r="F70" s="75" t="str">
        <f>E95</f>
        <v>SF</v>
      </c>
      <c r="G70" s="582" t="e">
        <f t="shared" si="68"/>
        <v>#NAME?</v>
      </c>
      <c r="H70" s="612" t="e">
        <f>_xll.ciqfunctions.udf.CIQ($B74, "IQ_BETA_5YR",Current_Date)</f>
        <v>#NAME?</v>
      </c>
      <c r="I70" s="582" t="e">
        <f>_xll.ciqfunctions.udf.CIQ($B74, "IQ_DIVIDEND_YIELD",Current_Date)/100</f>
        <v>#NAME?</v>
      </c>
      <c r="J70" s="582" t="e">
        <f t="shared" si="69"/>
        <v>#NAME?</v>
      </c>
      <c r="K70" s="582" t="e">
        <f t="shared" si="70"/>
        <v>#NAME?</v>
      </c>
      <c r="L70" s="582" t="e">
        <f t="shared" si="71"/>
        <v>#NAME?</v>
      </c>
      <c r="M70" s="585" t="e">
        <f t="shared" si="72"/>
        <v>#NAME?</v>
      </c>
      <c r="N70" s="640" t="e">
        <f t="shared" si="73"/>
        <v>#NAME?</v>
      </c>
      <c r="O70" s="585" t="e">
        <f t="shared" si="74"/>
        <v>#NAME?</v>
      </c>
      <c r="P70" s="640" t="e">
        <f t="shared" si="75"/>
        <v>#NAME?</v>
      </c>
      <c r="Q70" s="640" t="e">
        <f t="shared" si="76"/>
        <v>#NAME?</v>
      </c>
      <c r="R70" s="640" t="e">
        <f t="shared" si="77"/>
        <v>#NAME?</v>
      </c>
      <c r="S70" s="585" t="e">
        <f t="shared" si="78"/>
        <v>#NAME?</v>
      </c>
      <c r="T70" s="585" t="e">
        <f t="shared" si="79"/>
        <v>#NAME?</v>
      </c>
      <c r="U70" s="678" t="e">
        <f t="shared" si="80"/>
        <v>#NAME?</v>
      </c>
      <c r="V70" s="678" t="e">
        <f t="shared" si="81"/>
        <v>#NAME?</v>
      </c>
      <c r="W70" s="8"/>
      <c r="X70" s="4"/>
      <c r="Y70" s="40"/>
      <c r="Z70" s="131"/>
      <c r="AA70" s="75"/>
      <c r="AB70" s="569">
        <f>AB27</f>
        <v>0</v>
      </c>
      <c r="AC70" s="569">
        <f>AC27</f>
        <v>0</v>
      </c>
      <c r="AD70" s="569">
        <f>AD27</f>
        <v>0</v>
      </c>
      <c r="AE70" s="569">
        <f>AE27</f>
        <v>0</v>
      </c>
      <c r="AF70" s="569">
        <f t="shared" ref="AF70:AK70" si="84">AF27</f>
        <v>0</v>
      </c>
      <c r="AG70" s="569">
        <f t="shared" si="84"/>
        <v>0</v>
      </c>
      <c r="AH70" s="569">
        <f t="shared" si="84"/>
        <v>0</v>
      </c>
      <c r="AI70" s="569">
        <f t="shared" si="84"/>
        <v>0</v>
      </c>
      <c r="AJ70" s="569">
        <f t="shared" si="84"/>
        <v>0</v>
      </c>
      <c r="AK70" s="569">
        <f t="shared" si="84"/>
        <v>0</v>
      </c>
      <c r="AL70" s="569">
        <f t="shared" si="82"/>
        <v>0</v>
      </c>
      <c r="AM70" s="569">
        <f t="shared" si="82"/>
        <v>0</v>
      </c>
      <c r="AN70" s="569">
        <f t="shared" si="82"/>
        <v>0</v>
      </c>
      <c r="AO70" s="569">
        <f t="shared" si="82"/>
        <v>0</v>
      </c>
      <c r="AP70" s="569">
        <f t="shared" si="82"/>
        <v>0</v>
      </c>
      <c r="AQ70" s="569">
        <f>AQ27</f>
        <v>0</v>
      </c>
      <c r="AR70" s="569">
        <f>AR27</f>
        <v>0</v>
      </c>
      <c r="AS70" s="4"/>
      <c r="AT70" s="4"/>
      <c r="AU70" s="40"/>
      <c r="AV70" s="131"/>
      <c r="AW70" s="75"/>
      <c r="AX70" s="569">
        <f>AX27</f>
        <v>0</v>
      </c>
      <c r="AY70" s="569">
        <f>AY27</f>
        <v>0</v>
      </c>
      <c r="AZ70" s="569">
        <f>AZ27</f>
        <v>0</v>
      </c>
      <c r="BA70" s="569">
        <f>BA27</f>
        <v>0</v>
      </c>
      <c r="BB70" s="569">
        <f t="shared" ref="BB70:BG70" si="85">BB27</f>
        <v>0</v>
      </c>
      <c r="BC70" s="569">
        <f t="shared" si="85"/>
        <v>0</v>
      </c>
      <c r="BD70" s="569">
        <f t="shared" si="85"/>
        <v>0</v>
      </c>
      <c r="BE70" s="569">
        <f t="shared" si="85"/>
        <v>0</v>
      </c>
      <c r="BF70" s="569">
        <f t="shared" si="85"/>
        <v>0</v>
      </c>
      <c r="BG70" s="569">
        <f t="shared" si="85"/>
        <v>0</v>
      </c>
      <c r="BH70" s="569">
        <f t="shared" si="83"/>
        <v>0</v>
      </c>
      <c r="BI70" s="569">
        <f t="shared" si="83"/>
        <v>0</v>
      </c>
      <c r="BJ70" s="569">
        <f t="shared" si="83"/>
        <v>0</v>
      </c>
      <c r="BK70" s="569">
        <f t="shared" si="83"/>
        <v>0</v>
      </c>
      <c r="BL70" s="569">
        <f t="shared" si="83"/>
        <v>0</v>
      </c>
      <c r="BM70" s="569">
        <f>BM27</f>
        <v>0</v>
      </c>
      <c r="BN70" s="569">
        <f>BN27</f>
        <v>0</v>
      </c>
    </row>
    <row r="71" ht="4.5" customHeight="1" hidden="1" spans="1:66" x14ac:dyDescent="0.25" outlineLevel="2" collapsed="1">
      <c r="A71" s="4"/>
      <c r="B71" s="641"/>
      <c r="C71" s="641"/>
      <c r="D71" s="122"/>
      <c r="E71" s="8"/>
      <c r="F71" s="75"/>
      <c r="G71" s="643"/>
      <c r="H71" s="75"/>
      <c r="I71" s="643"/>
      <c r="J71" s="75"/>
      <c r="K71" s="75"/>
      <c r="L71" s="75"/>
      <c r="M71" s="75"/>
      <c r="N71" s="75"/>
      <c r="O71" s="571"/>
      <c r="P71" s="585"/>
      <c r="Q71" s="585"/>
      <c r="R71" s="585"/>
      <c r="S71" s="208"/>
      <c r="T71" s="75"/>
      <c r="U71" s="679"/>
      <c r="V71" s="679"/>
      <c r="W71" s="8"/>
      <c r="X71" s="4"/>
      <c r="Y71" s="40"/>
      <c r="Z71" s="75"/>
      <c r="AA71" s="75"/>
      <c r="AB71" s="75"/>
      <c r="AC71" s="75"/>
      <c r="AD71" s="75"/>
      <c r="AE71" s="571"/>
      <c r="AF71" s="75"/>
      <c r="AG71" s="75"/>
      <c r="AH71" s="75"/>
      <c r="AI71" s="75"/>
      <c r="AJ71" s="75"/>
      <c r="AK71" s="75"/>
      <c r="AL71" s="75"/>
      <c r="AM71" s="75"/>
      <c r="AN71" s="75"/>
      <c r="AO71" s="75"/>
      <c r="AP71" s="75"/>
      <c r="AQ71" s="75"/>
      <c r="AR71" s="75"/>
      <c r="AS71" s="4"/>
      <c r="AT71" s="4"/>
      <c r="AU71" s="40"/>
      <c r="AV71" s="75"/>
      <c r="AW71" s="75"/>
      <c r="AX71" s="75"/>
      <c r="AY71" s="75"/>
      <c r="AZ71" s="75"/>
      <c r="BA71" s="571"/>
      <c r="BB71" s="75"/>
      <c r="BC71" s="75"/>
      <c r="BD71" s="75"/>
      <c r="BE71" s="75"/>
      <c r="BF71" s="75"/>
      <c r="BG71" s="75"/>
      <c r="BH71" s="75"/>
      <c r="BI71" s="75"/>
      <c r="BJ71" s="75"/>
      <c r="BK71" s="75"/>
      <c r="BL71" s="75"/>
      <c r="BM71" s="75"/>
      <c r="BN71" s="75"/>
    </row>
    <row r="72" ht="15.75" customHeight="1" hidden="1" spans="1:66" x14ac:dyDescent="0.25" outlineLevel="2" collapsed="1">
      <c r="A72" s="4"/>
      <c r="B72" s="641" t="str">
        <f>E88</f>
        <v>IQ22623</v>
      </c>
      <c r="C72" s="641"/>
      <c r="D72" s="644" t="str">
        <f t="shared" ref="D72:D75" si="86">D34</f>
        <v>High</v>
      </c>
      <c r="E72" s="645"/>
      <c r="F72" s="646"/>
      <c r="G72" s="647" t="e">
        <f t="shared" ref="G72:T72" si="87">MAX(G68:G70)</f>
        <v>#NAME?</v>
      </c>
      <c r="H72" s="680" t="e">
        <f t="shared" si="87"/>
        <v>#NAME?</v>
      </c>
      <c r="I72" s="648" t="e">
        <f t="shared" si="87"/>
        <v>#NAME?</v>
      </c>
      <c r="J72" s="648" t="e">
        <f t="shared" si="87"/>
        <v>#NAME?</v>
      </c>
      <c r="K72" s="648" t="e">
        <f t="shared" si="87"/>
        <v>#NAME?</v>
      </c>
      <c r="L72" s="648" t="e">
        <f t="shared" si="87"/>
        <v>#NAME?</v>
      </c>
      <c r="M72" s="650" t="e">
        <f t="shared" si="87"/>
        <v>#NAME?</v>
      </c>
      <c r="N72" s="648" t="e">
        <f t="shared" si="87"/>
        <v>#NAME?</v>
      </c>
      <c r="O72" s="648" t="e">
        <f t="shared" si="87"/>
        <v>#NAME?</v>
      </c>
      <c r="P72" s="650" t="e">
        <f t="shared" si="87"/>
        <v>#NAME?</v>
      </c>
      <c r="Q72" s="650" t="e">
        <f t="shared" si="87"/>
        <v>#NAME?</v>
      </c>
      <c r="R72" s="650" t="e">
        <f t="shared" si="87"/>
        <v>#NAME?</v>
      </c>
      <c r="S72" s="650" t="e">
        <f t="shared" si="87"/>
        <v>#NAME?</v>
      </c>
      <c r="T72" s="650" t="e">
        <f t="shared" si="87"/>
        <v>#NAME?</v>
      </c>
      <c r="U72" s="652"/>
      <c r="V72" s="653"/>
      <c r="W72" s="8"/>
      <c r="X72" s="641" t="str">
        <f>I84</f>
        <v>IQ285359</v>
      </c>
      <c r="Y72" s="40"/>
      <c r="Z72" s="631" t="str">
        <f>Z53</f>
        <v>Jefferies Financial Group Inc.</v>
      </c>
      <c r="AA72" s="632"/>
      <c r="AB72" s="633" t="str">
        <f>AB53</f>
        <v>JEF</v>
      </c>
      <c r="AC72" s="635" t="e">
        <f>_xll.ciqfunctions.udf.CIQ($X72, "IQ_EFFECT_TAX_RATE",IQ_FY)/100</f>
        <v>#NAME?</v>
      </c>
      <c r="AD72" s="673" t="e">
        <f>_xll.ciqfunctions.udf.CIQ($X72, "IQ_BETA_5YR",Current_Date)</f>
        <v>#NAME?</v>
      </c>
      <c r="AE72" s="635" t="e">
        <f>_xll.ciqfunctions.udf.CIQ($X72, "IQ_DIVIDEND_YIELD",Current_Date)/100</f>
        <v>#NAME?</v>
      </c>
      <c r="AF72" s="635" t="e">
        <f>(_xll.ciqfunctions.udf.CIQ($X72,"IQ_OPER_INC",IQ_LTM)*(1-AC72))/(((_xll.ciqfunctions.udf.CIQ($X72,"IQ_TOTAL_DEBT",IQ_LTM))+_xll.ciqfunctions.udf.CIQ($X72,"IQ_TOTAL_EQUITY",IQ_LTM))-_xll.ciqfunctions.udf.CIQ($X72,"IQ_CASH_EQUIV",IQ_LTM))</f>
        <v>#NAME?</v>
      </c>
      <c r="AG72" s="635" t="e">
        <f>_xll.ciqfunctions.udf.CIQ($X72, "IQ_RETURN_EQUITY",IQ_LTM)/100</f>
        <v>#NAME?</v>
      </c>
      <c r="AH72" s="635" t="e">
        <f>_xll.ciqfunctions.udf.CIQ($X72, "IQ_RETURN_ASSETS",IQ_LTM)/100</f>
        <v>#NAME?</v>
      </c>
      <c r="AI72" s="637" t="e">
        <f>_xll.ciqfunctions.udf.CIQ($X72, "IQ_TOTAL_DEBT_CAPITAL",IQ_FY)/100</f>
        <v>#NAME?</v>
      </c>
      <c r="AJ72" s="637" t="e">
        <f>_xll.ciqfunctions.udf.CIQ($X72, "IQ_TOTAL_DEBT_EBITDA",IQ_FY)</f>
        <v>#NAME?</v>
      </c>
      <c r="AK72" s="637" t="e">
        <f>_xll.ciqfunctions.udf.CIQ($X72, "IQ_TOTAL_DEBT_EQUITY",IQ_FY)/100</f>
        <v>#NAME?</v>
      </c>
      <c r="AL72" s="637" t="e">
        <f>_xll.ciqfunctions.udf.CIQ($X72, "IQ_EBITDA_INT",IQ_FY)</f>
        <v>#NAME?</v>
      </c>
      <c r="AM72" s="637" t="e">
        <f>_xll.ciqfunctions.udf.CIQ($X72, "IQ_EBITDA_CAPEX_INT",IQ_FY)</f>
        <v>#NAME?</v>
      </c>
      <c r="AN72" s="637" t="e">
        <f>_xll.ciqfunctions.udf.CIQ($X72, "IQ_EBIT_INT",IQ_FY)</f>
        <v>#NAME?</v>
      </c>
      <c r="AO72" s="673" t="e">
        <f>_xll.ciqfunctions.udf.CIQ($X72, "IQ_QUICK_RATIO",IQ_FY)</f>
        <v>#NAME?</v>
      </c>
      <c r="AP72" s="673" t="e">
        <f>_xll.ciqfunctions.udf.CIQ($X72, "IQ_CURRENT_RATIO",IQ_FY)</f>
        <v>#NAME?</v>
      </c>
      <c r="AQ72" s="633" t="e">
        <f>_xll.ciqfunctions.udf.CIQ($X72, "IQ_SP_LC_LT",Current)</f>
        <v>#NAME?</v>
      </c>
      <c r="AR72" s="681" t="e">
        <f>_xll.ciqfunctions.udf.CIQ($X72, "IQ_SP_OUTLOOK_WATCH",Current)</f>
        <v>#NAME?</v>
      </c>
      <c r="AS72" s="4"/>
      <c r="AT72" s="641" t="str">
        <f>N84</f>
        <v>IQ285359</v>
      </c>
      <c r="AU72" s="40">
        <f t="shared" ref="AU72:AV72" si="88">AU53</f>
        <v>0</v>
      </c>
      <c r="AV72" s="631" t="str">
        <f t="shared" si="88"/>
        <v>Jefferies Financial Group Inc.</v>
      </c>
      <c r="AW72" s="632"/>
      <c r="AX72" s="633" t="str">
        <f>AX53</f>
        <v>JEF</v>
      </c>
      <c r="AY72" s="635" t="e">
        <f>_xll.ciqfunctions.udf.CIQ($AT72, "IQ_EFFECT_TAX_RATE",IQ_FY)/100</f>
        <v>#NAME?</v>
      </c>
      <c r="AZ72" s="673" t="e">
        <f>_xll.ciqfunctions.udf.CIQ($AT72, "IQ_BETA_5YR",Current_Date)</f>
        <v>#NAME?</v>
      </c>
      <c r="BA72" s="635" t="e">
        <f>_xll.ciqfunctions.udf.CIQ($AT72, "IQ_DIVIDEND_YIELD",Current_Date)/100</f>
        <v>#NAME?</v>
      </c>
      <c r="BB72" s="635" t="e">
        <f>(_xll.ciqfunctions.udf.CIQ($AT72,"IQ_OPER_INC",IQ_LTM)*(1-AY72))/(((_xll.ciqfunctions.udf.CIQ($AT72,"IQ_TOTAL_DEBT",IQ_LTM))+_xll.ciqfunctions.udf.CIQ($AT72,"IQ_TOTAL_EQUITY",IQ_LTM))-_xll.ciqfunctions.udf.CIQ($AT72,"IQ_CASH_EQUIV",IQ_LTM))</f>
        <v>#NAME?</v>
      </c>
      <c r="BC72" s="635" t="e">
        <f>_xll.ciqfunctions.udf.CIQ($AT72, "IQ_RETURN_EQUITY",IQ_LTM)/100</f>
        <v>#NAME?</v>
      </c>
      <c r="BD72" s="635" t="e">
        <f>_xll.ciqfunctions.udf.CIQ($AT72, "IQ_RETURN_ASSETS",IQ_LTM)/100</f>
        <v>#NAME?</v>
      </c>
      <c r="BE72" s="637" t="e">
        <f>_xll.ciqfunctions.udf.CIQ($AT72, "IQ_TOTAL_DEBT_CAPITAL",IQ_FY)/100</f>
        <v>#NAME?</v>
      </c>
      <c r="BF72" s="637" t="e">
        <f>_xll.ciqfunctions.udf.CIQ($AT72, "IQ_TOTAL_DEBT_EBITDA",IQ_FY)</f>
        <v>#NAME?</v>
      </c>
      <c r="BG72" s="637" t="e">
        <f>_xll.ciqfunctions.udf.CIQ($AT72, "IQ_TOTAL_DEBT_EQUITY",IQ_FY)/100</f>
        <v>#NAME?</v>
      </c>
      <c r="BH72" s="637" t="e">
        <f>_xll.ciqfunctions.udf.CIQ($AT72, "IQ_EBITDA_INT",IQ_FY)</f>
        <v>#NAME?</v>
      </c>
      <c r="BI72" s="637" t="e">
        <f>_xll.ciqfunctions.udf.CIQ($AT72, "IQ_EBITDA_CAPEX_INT",IQ_FY)</f>
        <v>#NAME?</v>
      </c>
      <c r="BJ72" s="637" t="e">
        <f>_xll.ciqfunctions.udf.CIQ($AT72, "IQ_EBIT_INT",IQ_FY)</f>
        <v>#NAME?</v>
      </c>
      <c r="BK72" s="673" t="e">
        <f>_xll.ciqfunctions.udf.CIQ($AT72, "IQ_QUICK_RATIO",IQ_FY)</f>
        <v>#NAME?</v>
      </c>
      <c r="BL72" s="673" t="e">
        <f>_xll.ciqfunctions.udf.CIQ($AT72, "IQ_CURRENT_RATIO",IQ_FY)</f>
        <v>#NAME?</v>
      </c>
      <c r="BM72" s="633" t="e">
        <f>_xll.ciqfunctions.udf.CIQ($AT72, "IQ_SP_LC_LT",Current)</f>
        <v>#NAME?</v>
      </c>
      <c r="BN72" s="681" t="e">
        <f>_xll.ciqfunctions.udf.CIQ($AT72, "IQ_SP_OUTLOOK_WATCH",Current)</f>
        <v>#NAME?</v>
      </c>
    </row>
    <row r="73" ht="15.75" customHeight="1" hidden="1" spans="1:66" x14ac:dyDescent="0.25" outlineLevel="2" collapsed="1">
      <c r="A73" s="4"/>
      <c r="B73" s="641" t="str">
        <f>E92</f>
        <v>IQ20999</v>
      </c>
      <c r="C73" s="641"/>
      <c r="D73" s="654" t="str">
        <f t="shared" si="86"/>
        <v>Mean</v>
      </c>
      <c r="E73" s="655"/>
      <c r="F73" s="656"/>
      <c r="G73" s="657" t="e">
        <f t="shared" ref="G73:T73" si="89">AVERAGE(G68:G70)</f>
        <v>#NAME?</v>
      </c>
      <c r="H73" s="682" t="e">
        <f t="shared" si="89"/>
        <v>#NAME?</v>
      </c>
      <c r="I73" s="658" t="e">
        <f t="shared" si="89"/>
        <v>#NAME?</v>
      </c>
      <c r="J73" s="658" t="e">
        <f t="shared" si="89"/>
        <v>#NAME?</v>
      </c>
      <c r="K73" s="658" t="e">
        <f t="shared" si="89"/>
        <v>#NAME?</v>
      </c>
      <c r="L73" s="658" t="e">
        <f t="shared" si="89"/>
        <v>#NAME?</v>
      </c>
      <c r="M73" s="683" t="e">
        <f t="shared" si="89"/>
        <v>#NAME?</v>
      </c>
      <c r="N73" s="658" t="e">
        <f t="shared" si="89"/>
        <v>#NAME?</v>
      </c>
      <c r="O73" s="658" t="e">
        <f t="shared" si="89"/>
        <v>#NAME?</v>
      </c>
      <c r="P73" s="683" t="e">
        <f t="shared" si="89"/>
        <v>#NAME?</v>
      </c>
      <c r="Q73" s="683" t="e">
        <f t="shared" si="89"/>
        <v>#NAME?</v>
      </c>
      <c r="R73" s="683" t="e">
        <f t="shared" si="89"/>
        <v>#NAME?</v>
      </c>
      <c r="S73" s="683" t="e">
        <f t="shared" si="89"/>
        <v>#NAME?</v>
      </c>
      <c r="T73" s="683" t="e">
        <f t="shared" si="89"/>
        <v>#NAME?</v>
      </c>
      <c r="U73" s="662"/>
      <c r="V73" s="663"/>
      <c r="W73" s="8"/>
      <c r="X73" s="641"/>
      <c r="Y73" s="40"/>
      <c r="Z73" s="8"/>
      <c r="AA73" s="8"/>
      <c r="AB73" s="75"/>
      <c r="AC73" s="643"/>
      <c r="AD73" s="75"/>
      <c r="AE73" s="643"/>
      <c r="AF73" s="627"/>
      <c r="AG73" s="627"/>
      <c r="AH73" s="627"/>
      <c r="AI73" s="627"/>
      <c r="AJ73" s="585"/>
      <c r="AK73" s="627"/>
      <c r="AL73" s="585"/>
      <c r="AM73" s="583"/>
      <c r="AN73" s="583"/>
      <c r="AO73" s="75"/>
      <c r="AP73" s="75"/>
      <c r="AQ73" s="35"/>
      <c r="AR73" s="35"/>
      <c r="AS73" s="4"/>
      <c r="AT73" s="641"/>
      <c r="AU73" s="40"/>
      <c r="AV73" s="8"/>
      <c r="AW73" s="8"/>
      <c r="AX73" s="75"/>
      <c r="AY73" s="643"/>
      <c r="AZ73" s="75"/>
      <c r="BA73" s="643"/>
      <c r="BB73" s="627"/>
      <c r="BC73" s="627"/>
      <c r="BD73" s="627"/>
      <c r="BE73" s="627"/>
      <c r="BF73" s="585"/>
      <c r="BG73" s="627"/>
      <c r="BH73" s="585"/>
      <c r="BI73" s="583"/>
      <c r="BJ73" s="583"/>
      <c r="BK73" s="75"/>
      <c r="BL73" s="75"/>
      <c r="BM73" s="35"/>
      <c r="BN73" s="35"/>
    </row>
    <row r="74" ht="15.75" customHeight="1" hidden="1" spans="1:66" x14ac:dyDescent="0.25" outlineLevel="2" collapsed="1">
      <c r="A74" s="4"/>
      <c r="B74" s="641" t="str">
        <f>E96</f>
        <v>IQ305275</v>
      </c>
      <c r="C74" s="641"/>
      <c r="D74" s="654" t="str">
        <f t="shared" si="86"/>
        <v>Median</v>
      </c>
      <c r="E74" s="655"/>
      <c r="F74" s="655"/>
      <c r="G74" s="657" t="e">
        <f t="shared" ref="G74:T74" si="90">MEDIAN(G68:G70)</f>
        <v>#NAME?</v>
      </c>
      <c r="H74" s="682" t="e">
        <f t="shared" si="90"/>
        <v>#NAME?</v>
      </c>
      <c r="I74" s="658" t="e">
        <f t="shared" si="90"/>
        <v>#NAME?</v>
      </c>
      <c r="J74" s="658" t="e">
        <f t="shared" si="90"/>
        <v>#NAME?</v>
      </c>
      <c r="K74" s="658" t="e">
        <f t="shared" si="90"/>
        <v>#NAME?</v>
      </c>
      <c r="L74" s="658" t="e">
        <f t="shared" si="90"/>
        <v>#NAME?</v>
      </c>
      <c r="M74" s="683" t="e">
        <f t="shared" si="90"/>
        <v>#NAME?</v>
      </c>
      <c r="N74" s="658" t="e">
        <f t="shared" si="90"/>
        <v>#NAME?</v>
      </c>
      <c r="O74" s="658" t="e">
        <f t="shared" si="90"/>
        <v>#NAME?</v>
      </c>
      <c r="P74" s="683" t="e">
        <f t="shared" si="90"/>
        <v>#NAME?</v>
      </c>
      <c r="Q74" s="683" t="e">
        <f t="shared" si="90"/>
        <v>#NAME?</v>
      </c>
      <c r="R74" s="683" t="e">
        <f t="shared" si="90"/>
        <v>#NAME?</v>
      </c>
      <c r="S74" s="683" t="e">
        <f t="shared" si="90"/>
        <v>#NAME?</v>
      </c>
      <c r="T74" s="683" t="e">
        <f t="shared" si="90"/>
        <v>#NAME?</v>
      </c>
      <c r="U74" s="662"/>
      <c r="V74" s="663"/>
      <c r="W74" s="8"/>
      <c r="X74" s="641" t="str">
        <f>I88</f>
        <v>IQ159230</v>
      </c>
      <c r="Y74" s="40"/>
      <c r="Z74" s="8" t="e">
        <f t="shared" ref="Z74:Z78" si="91">Z55</f>
        <v>#NAME?</v>
      </c>
      <c r="AA74" s="8"/>
      <c r="AB74" s="75" t="str">
        <f>I87</f>
        <v>RTX</v>
      </c>
      <c r="AC74" s="582" t="e">
        <f t="shared" ref="AC74:AC78" si="92">_xll.ciqfunctions.udf.CIQ($X74, "IQ_EFFECT_TAX_RATE",IQ_FY)/100</f>
        <v>#NAME?</v>
      </c>
      <c r="AD74" s="612" t="e">
        <f>_xll.ciqfunctions.udf.CIQ($X74, "IQ_BETA_5YR",Current_Date)</f>
        <v>#NAME?</v>
      </c>
      <c r="AE74" s="582" t="e">
        <f>_xll.ciqfunctions.udf.CIQ($X74, "IQ_DIVIDEND_YIELD",Current_Date)/100</f>
        <v>#NAME?</v>
      </c>
      <c r="AF74" s="582" t="e">
        <f t="shared" ref="AF74:AF78" si="93">(_xll.ciqfunctions.udf.CIQ($X74,"IQ_OPER_INC",IQ_LTM)*(1-AC74))/(((_xll.ciqfunctions.udf.CIQ($X74,"IQ_TOTAL_DEBT",IQ_LTM))+_xll.ciqfunctions.udf.CIQ($X74,"IQ_TOTAL_EQUITY",IQ_LTM))-_xll.ciqfunctions.udf.CIQ($X74,"IQ_CASH_EQUIV",IQ_LTM))</f>
        <v>#NAME?</v>
      </c>
      <c r="AG74" s="582" t="e">
        <f t="shared" ref="AG74:AG78" si="94">_xll.ciqfunctions.udf.CIQ($X74, "IQ_RETURN_EQUITY",IQ_LTM)/100</f>
        <v>#NAME?</v>
      </c>
      <c r="AH74" s="582" t="e">
        <f t="shared" ref="AH74:AH78" si="95">_xll.ciqfunctions.udf.CIQ($X74, "IQ_RETURN_ASSETS",IQ_LTM)/100</f>
        <v>#NAME?</v>
      </c>
      <c r="AI74" s="585" t="e">
        <f t="shared" ref="AI74:AI78" si="96">_xll.ciqfunctions.udf.CIQ($X74, "IQ_TOTAL_DEBT_CAPITAL",IQ_FY)/100</f>
        <v>#NAME?</v>
      </c>
      <c r="AJ74" s="585" t="e">
        <f t="shared" ref="AJ74:AJ78" si="97">_xll.ciqfunctions.udf.CIQ($X74, "IQ_TOTAL_DEBT_EBITDA",IQ_FY)</f>
        <v>#NAME?</v>
      </c>
      <c r="AK74" s="585" t="e">
        <f t="shared" ref="AK74:AK78" si="98">_xll.ciqfunctions.udf.CIQ($X74, "IQ_TOTAL_DEBT_EQUITY",IQ_FY)/100</f>
        <v>#NAME?</v>
      </c>
      <c r="AL74" s="585" t="e">
        <f t="shared" ref="AL74:AL78" si="99">_xll.ciqfunctions.udf.CIQ($X74, "IQ_EBITDA_INT",IQ_FY)</f>
        <v>#NAME?</v>
      </c>
      <c r="AM74" s="585" t="e">
        <f t="shared" ref="AM74:AM78" si="100">_xll.ciqfunctions.udf.CIQ($X74, "IQ_EBITDA_CAPEX_INT",IQ_FY)</f>
        <v>#NAME?</v>
      </c>
      <c r="AN74" s="585" t="e">
        <f t="shared" ref="AN74:AN78" si="101">_xll.ciqfunctions.udf.CIQ($X74, "IQ_EBIT_INT",IQ_FY)</f>
        <v>#NAME?</v>
      </c>
      <c r="AO74" s="612" t="e">
        <f t="shared" ref="AO74:AO78" si="102">_xll.ciqfunctions.udf.CIQ($X74, "IQ_QUICK_RATIO",IQ_FY)</f>
        <v>#NAME?</v>
      </c>
      <c r="AP74" s="612"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1" t="str">
        <f>N88</f>
        <v>IQ289194</v>
      </c>
      <c r="AU74" s="40">
        <f t="shared" ref="AU74:AV74" si="106">AU55</f>
        <v>0</v>
      </c>
      <c r="AV74" s="8" t="e">
        <f t="shared" si="106"/>
        <v>#NAME?</v>
      </c>
      <c r="AW74" s="8"/>
      <c r="AX74" s="75" t="str">
        <f t="shared" ref="AX74:AX78" si="107">AX55</f>
        <v>MMM</v>
      </c>
      <c r="AY74" s="582" t="e">
        <f t="shared" ref="AY74:AY78" si="108">_xll.ciqfunctions.udf.CIQ($AT74, "IQ_EFFECT_TAX_RATE",IQ_FY)/100</f>
        <v>#NAME?</v>
      </c>
      <c r="AZ74" s="612" t="e">
        <f>_xll.ciqfunctions.udf.CIQ($AT74, "IQ_BETA_5YR",Current_Date)</f>
        <v>#NAME?</v>
      </c>
      <c r="BA74" s="582" t="e">
        <f>_xll.ciqfunctions.udf.CIQ($AT74, "IQ_DIVIDEND_YIELD",Current_Date)/100</f>
        <v>#NAME?</v>
      </c>
      <c r="BB74" s="582" t="e">
        <f t="shared" ref="BB74:BB78" si="109">(_xll.ciqfunctions.udf.CIQ($AT74,"IQ_OPER_INC",IQ_LTM)*(1-AY74))/(((_xll.ciqfunctions.udf.CIQ($AT74,"IQ_TOTAL_DEBT",IQ_LTM))+_xll.ciqfunctions.udf.CIQ($AT74,"IQ_TOTAL_EQUITY",IQ_LTM))-_xll.ciqfunctions.udf.CIQ($AT74,"IQ_CASH_EQUIV",IQ_LTM))</f>
        <v>#NAME?</v>
      </c>
      <c r="BC74" s="582" t="e">
        <f t="shared" ref="BC74:BC78" si="110">_xll.ciqfunctions.udf.CIQ($AT74, "IQ_RETURN_EQUITY",IQ_LTM)/100</f>
        <v>#NAME?</v>
      </c>
      <c r="BD74" s="582" t="e">
        <f t="shared" ref="BD74:BD78" si="111">_xll.ciqfunctions.udf.CIQ($AT74, "IQ_RETURN_ASSETS",IQ_LTM)/100</f>
        <v>#NAME?</v>
      </c>
      <c r="BE74" s="585" t="e">
        <f t="shared" ref="BE74:BE78" si="112">_xll.ciqfunctions.udf.CIQ($AT74, "IQ_TOTAL_DEBT_CAPITAL",IQ_FY)/100</f>
        <v>#NAME?</v>
      </c>
      <c r="BF74" s="585" t="e">
        <f t="shared" ref="BF74:BF78" si="113">_xll.ciqfunctions.udf.CIQ($AT74, "IQ_TOTAL_DEBT_EBITDA",IQ_FY)</f>
        <v>#NAME?</v>
      </c>
      <c r="BG74" s="585" t="e">
        <f t="shared" ref="BG74:BG78" si="114">_xll.ciqfunctions.udf.CIQ($AT74, "IQ_TOTAL_DEBT_EQUITY",IQ_FY)/100</f>
        <v>#NAME?</v>
      </c>
      <c r="BH74" s="585" t="e">
        <f t="shared" ref="BH74:BH78" si="115">_xll.ciqfunctions.udf.CIQ($AT74, "IQ_EBITDA_INT",IQ_FY)</f>
        <v>#NAME?</v>
      </c>
      <c r="BI74" s="585" t="e">
        <f t="shared" ref="BI74:BI78" si="116">_xll.ciqfunctions.udf.CIQ($AT74, "IQ_EBITDA_CAPEX_INT",IQ_FY)</f>
        <v>#NAME?</v>
      </c>
      <c r="BJ74" s="585" t="e">
        <f t="shared" ref="BJ74:BJ78" si="117">_xll.ciqfunctions.udf.CIQ($AT74, "IQ_EBIT_INT",IQ_FY)</f>
        <v>#NAME?</v>
      </c>
      <c r="BK74" s="612" t="e">
        <f t="shared" ref="BK74:BK78" si="118">_xll.ciqfunctions.udf.CIQ($AT74, "IQ_QUICK_RATIO",IQ_FY)</f>
        <v>#NAME?</v>
      </c>
      <c r="BL74" s="612"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4" t="str">
        <f t="shared" si="86"/>
        <v>Low</v>
      </c>
      <c r="E75" s="665"/>
      <c r="F75" s="665"/>
      <c r="G75" s="666" t="e">
        <f t="shared" ref="G75:T75" si="122">MIN(G68:G70)</f>
        <v>#NAME?</v>
      </c>
      <c r="H75" s="684" t="e">
        <f t="shared" si="122"/>
        <v>#NAME?</v>
      </c>
      <c r="I75" s="667" t="e">
        <f t="shared" si="122"/>
        <v>#NAME?</v>
      </c>
      <c r="J75" s="667" t="e">
        <f t="shared" si="122"/>
        <v>#NAME?</v>
      </c>
      <c r="K75" s="667" t="e">
        <f t="shared" si="122"/>
        <v>#NAME?</v>
      </c>
      <c r="L75" s="667" t="e">
        <f t="shared" si="122"/>
        <v>#NAME?</v>
      </c>
      <c r="M75" s="685" t="e">
        <f t="shared" si="122"/>
        <v>#NAME?</v>
      </c>
      <c r="N75" s="667" t="e">
        <f t="shared" si="122"/>
        <v>#NAME?</v>
      </c>
      <c r="O75" s="667" t="e">
        <f t="shared" si="122"/>
        <v>#NAME?</v>
      </c>
      <c r="P75" s="685" t="e">
        <f t="shared" si="122"/>
        <v>#NAME?</v>
      </c>
      <c r="Q75" s="685" t="e">
        <f t="shared" si="122"/>
        <v>#NAME?</v>
      </c>
      <c r="R75" s="685" t="e">
        <f t="shared" si="122"/>
        <v>#NAME?</v>
      </c>
      <c r="S75" s="685" t="e">
        <f t="shared" si="122"/>
        <v>#NAME?</v>
      </c>
      <c r="T75" s="685" t="e">
        <f t="shared" si="122"/>
        <v>#NAME?</v>
      </c>
      <c r="U75" s="671"/>
      <c r="V75" s="672"/>
      <c r="W75" s="8"/>
      <c r="X75" s="641" t="str">
        <f>I92</f>
        <v>IQ370857</v>
      </c>
      <c r="Y75" s="40"/>
      <c r="Z75" s="8" t="e">
        <f t="shared" si="91"/>
        <v>#NAME?</v>
      </c>
      <c r="AA75" s="8"/>
      <c r="AB75" s="75" t="str">
        <f>I91</f>
        <v>BA</v>
      </c>
      <c r="AC75" s="582" t="e">
        <f t="shared" si="92"/>
        <v>#NAME?</v>
      </c>
      <c r="AD75" s="612" t="e">
        <f>_xll.ciqfunctions.udf.CIQ($X75, "IQ_BETA_5YR",Current_Date)</f>
        <v>#NAME?</v>
      </c>
      <c r="AE75" s="582" t="e">
        <f>_xll.ciqfunctions.udf.CIQ($X75, "IQ_DIVIDEND_YIELD",Current_Date)/100</f>
        <v>#NAME?</v>
      </c>
      <c r="AF75" s="582" t="e">
        <f t="shared" si="93"/>
        <v>#NAME?</v>
      </c>
      <c r="AG75" s="582" t="e">
        <f t="shared" si="94"/>
        <v>#NAME?</v>
      </c>
      <c r="AH75" s="582" t="e">
        <f t="shared" si="95"/>
        <v>#NAME?</v>
      </c>
      <c r="AI75" s="585" t="e">
        <f t="shared" si="96"/>
        <v>#NAME?</v>
      </c>
      <c r="AJ75" s="585" t="e">
        <f t="shared" si="97"/>
        <v>#NAME?</v>
      </c>
      <c r="AK75" s="585" t="e">
        <f t="shared" si="98"/>
        <v>#NAME?</v>
      </c>
      <c r="AL75" s="585" t="e">
        <f t="shared" si="99"/>
        <v>#NAME?</v>
      </c>
      <c r="AM75" s="585" t="e">
        <f t="shared" si="100"/>
        <v>#NAME?</v>
      </c>
      <c r="AN75" s="585" t="e">
        <f t="shared" si="101"/>
        <v>#NAME?</v>
      </c>
      <c r="AO75" s="612" t="e">
        <f t="shared" si="102"/>
        <v>#NAME?</v>
      </c>
      <c r="AP75" s="612" t="e">
        <f t="shared" si="103"/>
        <v>#NAME?</v>
      </c>
      <c r="AQ75" s="75" t="e">
        <f t="shared" si="104"/>
        <v>#NAME?</v>
      </c>
      <c r="AR75" s="75" t="e">
        <f t="shared" si="105"/>
        <v>#NAME?</v>
      </c>
      <c r="AS75" s="4"/>
      <c r="AT75" s="641" t="str">
        <f>N92</f>
        <v>IQ177031</v>
      </c>
      <c r="AU75" s="40">
        <f>AU98</f>
        <v>0</v>
      </c>
      <c r="AV75" s="8" t="e">
        <f t="shared" ref="AV75:AV78" si="123">AV56</f>
        <v>#NAME?</v>
      </c>
      <c r="AW75" s="8"/>
      <c r="AX75" s="75" t="str">
        <f t="shared" si="107"/>
        <v>GE</v>
      </c>
      <c r="AY75" s="582" t="e">
        <f t="shared" si="108"/>
        <v>#NAME?</v>
      </c>
      <c r="AZ75" s="612" t="e">
        <f>_xll.ciqfunctions.udf.CIQ($AT75, "IQ_BETA_5YR",Current_Date)</f>
        <v>#NAME?</v>
      </c>
      <c r="BA75" s="582" t="e">
        <f>_xll.ciqfunctions.udf.CIQ($AT75, "IQ_DIVIDEND_YIELD",Current_Date)/100</f>
        <v>#NAME?</v>
      </c>
      <c r="BB75" s="582" t="e">
        <f t="shared" si="109"/>
        <v>#NAME?</v>
      </c>
      <c r="BC75" s="582" t="e">
        <f t="shared" si="110"/>
        <v>#NAME?</v>
      </c>
      <c r="BD75" s="582" t="e">
        <f t="shared" si="111"/>
        <v>#NAME?</v>
      </c>
      <c r="BE75" s="585" t="e">
        <f t="shared" si="112"/>
        <v>#NAME?</v>
      </c>
      <c r="BF75" s="585" t="e">
        <f t="shared" si="113"/>
        <v>#NAME?</v>
      </c>
      <c r="BG75" s="585" t="e">
        <f t="shared" si="114"/>
        <v>#NAME?</v>
      </c>
      <c r="BH75" s="585" t="e">
        <f t="shared" si="115"/>
        <v>#NAME?</v>
      </c>
      <c r="BI75" s="585" t="e">
        <f t="shared" si="116"/>
        <v>#NAME?</v>
      </c>
      <c r="BJ75" s="585" t="e">
        <f t="shared" si="117"/>
        <v>#NAME?</v>
      </c>
      <c r="BK75" s="612" t="e">
        <f t="shared" si="118"/>
        <v>#NAME?</v>
      </c>
      <c r="BL75" s="612" t="e">
        <f t="shared" si="119"/>
        <v>#NAME?</v>
      </c>
      <c r="BM75" s="75" t="e">
        <f t="shared" si="120"/>
        <v>#NAME?</v>
      </c>
      <c r="BN75" s="75" t="e">
        <f t="shared" si="121"/>
        <v>#NAME?</v>
      </c>
    </row>
    <row r="76" ht="15.75" customHeight="1" hidden="1" spans="1:66" x14ac:dyDescent="0.25" outlineLevel="2" collapsed="1">
      <c r="A76" s="4"/>
      <c r="B76" s="40"/>
      <c r="C76" s="40"/>
      <c r="D76" s="8"/>
      <c r="E76" s="8"/>
      <c r="F76" s="8"/>
      <c r="G76" s="627"/>
      <c r="H76" s="75"/>
      <c r="I76" s="627"/>
      <c r="J76" s="627"/>
      <c r="K76" s="627"/>
      <c r="L76" s="627"/>
      <c r="M76" s="627"/>
      <c r="N76" s="585"/>
      <c r="O76" s="627"/>
      <c r="P76" s="585"/>
      <c r="Q76" s="583"/>
      <c r="R76" s="585"/>
      <c r="S76" s="8"/>
      <c r="T76" s="627"/>
      <c r="U76" s="75"/>
      <c r="V76" s="75"/>
      <c r="W76" s="8"/>
      <c r="X76" s="641" t="str">
        <f>I96</f>
        <v>IQ363263</v>
      </c>
      <c r="Y76" s="40"/>
      <c r="Z76" s="8" t="e">
        <f t="shared" si="91"/>
        <v>#NAME?</v>
      </c>
      <c r="AA76" s="8"/>
      <c r="AB76" s="75" t="str">
        <f>I95</f>
        <v>HII</v>
      </c>
      <c r="AC76" s="582" t="e">
        <f t="shared" si="92"/>
        <v>#NAME?</v>
      </c>
      <c r="AD76" s="612" t="e">
        <f>_xll.ciqfunctions.udf.CIQ($X76, "IQ_BETA_5YR",Current_Date)</f>
        <v>#NAME?</v>
      </c>
      <c r="AE76" s="582" t="e">
        <f>_xll.ciqfunctions.udf.CIQ($X76, "IQ_DIVIDEND_YIELD",Current_Date)/100</f>
        <v>#NAME?</v>
      </c>
      <c r="AF76" s="582" t="e">
        <f t="shared" si="93"/>
        <v>#NAME?</v>
      </c>
      <c r="AG76" s="582" t="e">
        <f t="shared" si="94"/>
        <v>#NAME?</v>
      </c>
      <c r="AH76" s="582" t="e">
        <f t="shared" si="95"/>
        <v>#NAME?</v>
      </c>
      <c r="AI76" s="585" t="e">
        <f t="shared" si="96"/>
        <v>#NAME?</v>
      </c>
      <c r="AJ76" s="585" t="e">
        <f t="shared" si="97"/>
        <v>#NAME?</v>
      </c>
      <c r="AK76" s="585" t="e">
        <f t="shared" si="98"/>
        <v>#NAME?</v>
      </c>
      <c r="AL76" s="585" t="e">
        <f t="shared" si="99"/>
        <v>#NAME?</v>
      </c>
      <c r="AM76" s="585" t="e">
        <f t="shared" si="100"/>
        <v>#NAME?</v>
      </c>
      <c r="AN76" s="585" t="e">
        <f t="shared" si="101"/>
        <v>#NAME?</v>
      </c>
      <c r="AO76" s="612" t="e">
        <f t="shared" si="102"/>
        <v>#NAME?</v>
      </c>
      <c r="AP76" s="612" t="e">
        <f t="shared" si="103"/>
        <v>#NAME?</v>
      </c>
      <c r="AQ76" s="75" t="e">
        <f t="shared" si="104"/>
        <v>#NAME?</v>
      </c>
      <c r="AR76" s="75" t="e">
        <f t="shared" si="105"/>
        <v>#NAME?</v>
      </c>
      <c r="AS76" s="4"/>
      <c r="AT76" s="641" t="str">
        <f>N96</f>
        <v>IQ1340740</v>
      </c>
      <c r="AU76" s="40">
        <f>AU102</f>
        <v>0</v>
      </c>
      <c r="AV76" s="8" t="e">
        <f t="shared" si="123"/>
        <v>#NAME?</v>
      </c>
      <c r="AW76" s="8"/>
      <c r="AX76" s="75" t="str">
        <f t="shared" si="107"/>
        <v>HON</v>
      </c>
      <c r="AY76" s="582" t="e">
        <f t="shared" si="108"/>
        <v>#NAME?</v>
      </c>
      <c r="AZ76" s="612" t="e">
        <f>_xll.ciqfunctions.udf.CIQ($AT76, "IQ_BETA_5YR",Current_Date)</f>
        <v>#NAME?</v>
      </c>
      <c r="BA76" s="582" t="e">
        <f>_xll.ciqfunctions.udf.CIQ($AT76, "IQ_DIVIDEND_YIELD",Current_Date)/100</f>
        <v>#NAME?</v>
      </c>
      <c r="BB76" s="582" t="e">
        <f t="shared" si="109"/>
        <v>#NAME?</v>
      </c>
      <c r="BC76" s="582" t="e">
        <f t="shared" si="110"/>
        <v>#NAME?</v>
      </c>
      <c r="BD76" s="582" t="e">
        <f t="shared" si="111"/>
        <v>#NAME?</v>
      </c>
      <c r="BE76" s="585" t="e">
        <f t="shared" si="112"/>
        <v>#NAME?</v>
      </c>
      <c r="BF76" s="585" t="e">
        <f t="shared" si="113"/>
        <v>#NAME?</v>
      </c>
      <c r="BG76" s="585" t="e">
        <f t="shared" si="114"/>
        <v>#NAME?</v>
      </c>
      <c r="BH76" s="585" t="e">
        <f t="shared" si="115"/>
        <v>#NAME?</v>
      </c>
      <c r="BI76" s="585" t="e">
        <f t="shared" si="116"/>
        <v>#NAME?</v>
      </c>
      <c r="BJ76" s="585" t="e">
        <f t="shared" si="117"/>
        <v>#NAME?</v>
      </c>
      <c r="BK76" s="612" t="e">
        <f t="shared" si="118"/>
        <v>#NAME?</v>
      </c>
      <c r="BL76" s="612"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1" t="str">
        <f>I100</f>
        <v>IQ285827</v>
      </c>
      <c r="Y77" s="40"/>
      <c r="Z77" s="8" t="e">
        <f t="shared" si="91"/>
        <v>#NAME?</v>
      </c>
      <c r="AA77" s="8"/>
      <c r="AB77" s="75" t="str">
        <f>I99</f>
        <v>LMT</v>
      </c>
      <c r="AC77" s="582" t="e">
        <f t="shared" si="92"/>
        <v>#NAME?</v>
      </c>
      <c r="AD77" s="612" t="e">
        <f>_xll.ciqfunctions.udf.CIQ($X77, "IQ_BETA_5YR",Current_Date)</f>
        <v>#NAME?</v>
      </c>
      <c r="AE77" s="582" t="e">
        <f>_xll.ciqfunctions.udf.CIQ($X77, "IQ_DIVIDEND_YIELD",Current_Date)/100</f>
        <v>#NAME?</v>
      </c>
      <c r="AF77" s="582" t="e">
        <f t="shared" si="93"/>
        <v>#NAME?</v>
      </c>
      <c r="AG77" s="582" t="e">
        <f t="shared" si="94"/>
        <v>#NAME?</v>
      </c>
      <c r="AH77" s="582" t="e">
        <f t="shared" si="95"/>
        <v>#NAME?</v>
      </c>
      <c r="AI77" s="585" t="e">
        <f t="shared" si="96"/>
        <v>#NAME?</v>
      </c>
      <c r="AJ77" s="585" t="e">
        <f t="shared" si="97"/>
        <v>#NAME?</v>
      </c>
      <c r="AK77" s="585" t="e">
        <f t="shared" si="98"/>
        <v>#NAME?</v>
      </c>
      <c r="AL77" s="585" t="e">
        <f t="shared" si="99"/>
        <v>#NAME?</v>
      </c>
      <c r="AM77" s="585" t="e">
        <f t="shared" si="100"/>
        <v>#NAME?</v>
      </c>
      <c r="AN77" s="585" t="e">
        <f t="shared" si="101"/>
        <v>#NAME?</v>
      </c>
      <c r="AO77" s="612" t="e">
        <f t="shared" si="102"/>
        <v>#NAME?</v>
      </c>
      <c r="AP77" s="612" t="e">
        <f t="shared" si="103"/>
        <v>#NAME?</v>
      </c>
      <c r="AQ77" s="75" t="e">
        <f t="shared" si="104"/>
        <v>#NAME?</v>
      </c>
      <c r="AR77" s="75" t="e">
        <f t="shared" si="105"/>
        <v>#NAME?</v>
      </c>
      <c r="AS77" s="4"/>
      <c r="AT77" s="641" t="str">
        <f>N100</f>
        <v>IQ22751</v>
      </c>
      <c r="AU77" s="40">
        <f>AU106</f>
        <v>0</v>
      </c>
      <c r="AV77" s="8" t="e">
        <f t="shared" si="123"/>
        <v>#NAME?</v>
      </c>
      <c r="AW77" s="8"/>
      <c r="AX77" s="75" t="str">
        <f t="shared" si="107"/>
        <v>ROP</v>
      </c>
      <c r="AY77" s="582" t="e">
        <f t="shared" si="108"/>
        <v>#NAME?</v>
      </c>
      <c r="AZ77" s="612" t="e">
        <f>_xll.ciqfunctions.udf.CIQ($AT77, "IQ_BETA_5YR",Current_Date)</f>
        <v>#NAME?</v>
      </c>
      <c r="BA77" s="582" t="e">
        <f>_xll.ciqfunctions.udf.CIQ($AT77, "IQ_DIVIDEND_YIELD",Current_Date)/100</f>
        <v>#NAME?</v>
      </c>
      <c r="BB77" s="582" t="e">
        <f t="shared" si="109"/>
        <v>#NAME?</v>
      </c>
      <c r="BC77" s="582" t="e">
        <f t="shared" si="110"/>
        <v>#NAME?</v>
      </c>
      <c r="BD77" s="582" t="e">
        <f t="shared" si="111"/>
        <v>#NAME?</v>
      </c>
      <c r="BE77" s="585" t="e">
        <f t="shared" si="112"/>
        <v>#NAME?</v>
      </c>
      <c r="BF77" s="585" t="e">
        <f t="shared" si="113"/>
        <v>#NAME?</v>
      </c>
      <c r="BG77" s="585" t="e">
        <f t="shared" si="114"/>
        <v>#NAME?</v>
      </c>
      <c r="BH77" s="585" t="e">
        <f t="shared" si="115"/>
        <v>#NAME?</v>
      </c>
      <c r="BI77" s="585" t="e">
        <f t="shared" si="116"/>
        <v>#NAME?</v>
      </c>
      <c r="BJ77" s="585" t="e">
        <f t="shared" si="117"/>
        <v>#NAME?</v>
      </c>
      <c r="BK77" s="612" t="e">
        <f t="shared" si="118"/>
        <v>#NAME?</v>
      </c>
      <c r="BL77" s="612" t="e">
        <f t="shared" si="119"/>
        <v>#NAME?</v>
      </c>
      <c r="BM77" s="75" t="e">
        <f t="shared" si="120"/>
        <v>#NAME?</v>
      </c>
      <c r="BN77" s="75" t="e">
        <f t="shared" si="121"/>
        <v>#NAME?</v>
      </c>
    </row>
    <row r="78" ht="15.75" customHeight="1" hidden="1" spans="1:66" x14ac:dyDescent="0.25" outlineLevel="2" collapsed="1">
      <c r="A78" s="4"/>
      <c r="B78" s="40"/>
      <c r="C78" s="40"/>
      <c r="D78" s="686" t="s">
        <v>707</v>
      </c>
      <c r="E78" s="686"/>
      <c r="F78" s="686"/>
      <c r="G78" s="686"/>
      <c r="H78" s="686"/>
      <c r="I78" s="686"/>
      <c r="J78" s="686"/>
      <c r="K78" s="686"/>
      <c r="L78" s="686"/>
      <c r="M78" s="686"/>
      <c r="N78" s="686"/>
      <c r="O78" s="686"/>
      <c r="P78" s="686"/>
      <c r="Q78" s="686"/>
      <c r="R78" s="686"/>
      <c r="S78" s="686"/>
      <c r="T78" s="686"/>
      <c r="U78" s="686"/>
      <c r="V78" s="686"/>
      <c r="W78" s="8"/>
      <c r="X78" s="641" t="str">
        <f>I104</f>
        <v>IQ97199</v>
      </c>
      <c r="Y78" s="40"/>
      <c r="Z78" s="8" t="e">
        <f t="shared" si="91"/>
        <v>#NAME?</v>
      </c>
      <c r="AA78" s="8"/>
      <c r="AB78" s="75" t="str">
        <f>I103</f>
        <v>NOC</v>
      </c>
      <c r="AC78" s="582" t="e">
        <f t="shared" si="92"/>
        <v>#NAME?</v>
      </c>
      <c r="AD78" s="612" t="e">
        <f>_xll.ciqfunctions.udf.CIQ($X78, "IQ_BETA_5YR",Current_Date)</f>
        <v>#NAME?</v>
      </c>
      <c r="AE78" s="582" t="e">
        <f>_xll.ciqfunctions.udf.CIQ($X78, "IQ_DIVIDEND_YIELD",Current_Date)/100</f>
        <v>#NAME?</v>
      </c>
      <c r="AF78" s="582" t="e">
        <f t="shared" si="93"/>
        <v>#NAME?</v>
      </c>
      <c r="AG78" s="582" t="e">
        <f t="shared" si="94"/>
        <v>#NAME?</v>
      </c>
      <c r="AH78" s="582" t="e">
        <f t="shared" si="95"/>
        <v>#NAME?</v>
      </c>
      <c r="AI78" s="585" t="e">
        <f t="shared" si="96"/>
        <v>#NAME?</v>
      </c>
      <c r="AJ78" s="585" t="e">
        <f t="shared" si="97"/>
        <v>#NAME?</v>
      </c>
      <c r="AK78" s="585" t="e">
        <f t="shared" si="98"/>
        <v>#NAME?</v>
      </c>
      <c r="AL78" s="585" t="e">
        <f t="shared" si="99"/>
        <v>#NAME?</v>
      </c>
      <c r="AM78" s="585" t="e">
        <f t="shared" si="100"/>
        <v>#NAME?</v>
      </c>
      <c r="AN78" s="585" t="e">
        <f t="shared" si="101"/>
        <v>#NAME?</v>
      </c>
      <c r="AO78" s="612" t="e">
        <f t="shared" si="102"/>
        <v>#NAME?</v>
      </c>
      <c r="AP78" s="612" t="e">
        <f t="shared" si="103"/>
        <v>#NAME?</v>
      </c>
      <c r="AQ78" s="75" t="e">
        <f t="shared" si="104"/>
        <v>#NAME?</v>
      </c>
      <c r="AR78" s="75" t="e">
        <f t="shared" si="105"/>
        <v>#NAME?</v>
      </c>
      <c r="AS78" s="4"/>
      <c r="AT78" s="641" t="str">
        <f>N104</f>
        <v>IQ269231</v>
      </c>
      <c r="AU78" s="40">
        <f>AU110</f>
        <v>0</v>
      </c>
      <c r="AV78" s="8" t="e">
        <f t="shared" si="123"/>
        <v>#NAME?</v>
      </c>
      <c r="AW78" s="8"/>
      <c r="AX78" s="75" t="str">
        <f t="shared" si="107"/>
        <v>EMR</v>
      </c>
      <c r="AY78" s="582" t="e">
        <f t="shared" si="108"/>
        <v>#NAME?</v>
      </c>
      <c r="AZ78" s="612" t="e">
        <f>_xll.ciqfunctions.udf.CIQ($AT78, "IQ_BETA_5YR",Current_Date)</f>
        <v>#NAME?</v>
      </c>
      <c r="BA78" s="582" t="e">
        <f>_xll.ciqfunctions.udf.CIQ($AT78, "IQ_DIVIDEND_YIELD",Current_Date)/100</f>
        <v>#NAME?</v>
      </c>
      <c r="BB78" s="582" t="e">
        <f t="shared" si="109"/>
        <v>#NAME?</v>
      </c>
      <c r="BC78" s="582" t="e">
        <f t="shared" si="110"/>
        <v>#NAME?</v>
      </c>
      <c r="BD78" s="582" t="e">
        <f t="shared" si="111"/>
        <v>#NAME?</v>
      </c>
      <c r="BE78" s="585" t="e">
        <f t="shared" si="112"/>
        <v>#NAME?</v>
      </c>
      <c r="BF78" s="585" t="e">
        <f t="shared" si="113"/>
        <v>#NAME?</v>
      </c>
      <c r="BG78" s="585" t="e">
        <f t="shared" si="114"/>
        <v>#NAME?</v>
      </c>
      <c r="BH78" s="585" t="e">
        <f t="shared" si="115"/>
        <v>#NAME?</v>
      </c>
      <c r="BI78" s="585" t="e">
        <f t="shared" si="116"/>
        <v>#NAME?</v>
      </c>
      <c r="BJ78" s="585" t="e">
        <f t="shared" si="117"/>
        <v>#NAME?</v>
      </c>
      <c r="BK78" s="612" t="e">
        <f t="shared" si="118"/>
        <v>#NAME?</v>
      </c>
      <c r="BL78" s="612"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3"/>
      <c r="AD79" s="75"/>
      <c r="AE79" s="643"/>
      <c r="AF79" s="75"/>
      <c r="AG79" s="75"/>
      <c r="AH79" s="75"/>
      <c r="AI79" s="75"/>
      <c r="AJ79" s="75"/>
      <c r="AK79" s="571"/>
      <c r="AL79" s="585"/>
      <c r="AM79" s="585"/>
      <c r="AN79" s="585"/>
      <c r="AO79" s="208"/>
      <c r="AP79" s="75"/>
      <c r="AQ79" s="679"/>
      <c r="AR79" s="679"/>
      <c r="AS79" s="4"/>
      <c r="AT79" s="4"/>
      <c r="AU79" s="40"/>
      <c r="AV79" s="122"/>
      <c r="AW79" s="8"/>
      <c r="AX79" s="75"/>
      <c r="AY79" s="643"/>
      <c r="AZ79" s="75"/>
      <c r="BA79" s="643"/>
      <c r="BB79" s="75"/>
      <c r="BC79" s="75"/>
      <c r="BD79" s="75"/>
      <c r="BE79" s="75"/>
      <c r="BF79" s="75"/>
      <c r="BG79" s="571"/>
      <c r="BH79" s="585"/>
      <c r="BI79" s="585"/>
      <c r="BJ79" s="585"/>
      <c r="BK79" s="208"/>
      <c r="BL79" s="75"/>
      <c r="BM79" s="679"/>
      <c r="BN79" s="679"/>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4">
        <f t="shared" ref="Z80:Z83" si="124">Z38</f>
        <v>0</v>
      </c>
      <c r="AA80" s="645"/>
      <c r="AB80" s="646"/>
      <c r="AC80" s="647" t="e">
        <f t="shared" ref="AC80:AP80" si="125">MAX(AC74:AC78)</f>
        <v>#NAME?</v>
      </c>
      <c r="AD80" s="680" t="e">
        <f t="shared" si="125"/>
        <v>#NAME?</v>
      </c>
      <c r="AE80" s="648" t="e">
        <f t="shared" si="125"/>
        <v>#NAME?</v>
      </c>
      <c r="AF80" s="648" t="e">
        <f t="shared" si="125"/>
        <v>#NAME?</v>
      </c>
      <c r="AG80" s="648" t="e">
        <f t="shared" si="125"/>
        <v>#NAME?</v>
      </c>
      <c r="AH80" s="648" t="e">
        <f t="shared" si="125"/>
        <v>#NAME?</v>
      </c>
      <c r="AI80" s="650" t="e">
        <f t="shared" si="125"/>
        <v>#NAME?</v>
      </c>
      <c r="AJ80" s="648" t="e">
        <f t="shared" si="125"/>
        <v>#NAME?</v>
      </c>
      <c r="AK80" s="652" t="e">
        <f t="shared" si="125"/>
        <v>#NAME?</v>
      </c>
      <c r="AL80" s="652" t="e">
        <f t="shared" si="125"/>
        <v>#NAME?</v>
      </c>
      <c r="AM80" s="652" t="e">
        <f t="shared" si="125"/>
        <v>#NAME?</v>
      </c>
      <c r="AN80" s="652" t="e">
        <f t="shared" si="125"/>
        <v>#NAME?</v>
      </c>
      <c r="AO80" s="652" t="e">
        <f t="shared" si="125"/>
        <v>#NAME?</v>
      </c>
      <c r="AP80" s="652" t="e">
        <f t="shared" si="125"/>
        <v>#NAME?</v>
      </c>
      <c r="AQ80" s="652"/>
      <c r="AR80" s="653"/>
      <c r="AS80" s="4"/>
      <c r="AT80" s="4"/>
      <c r="AU80" s="40"/>
      <c r="AV80" s="644">
        <f t="shared" ref="AV80:AV83" si="126">AV38</f>
        <v>0</v>
      </c>
      <c r="AW80" s="645"/>
      <c r="AX80" s="646"/>
      <c r="AY80" s="647" t="e">
        <f t="shared" ref="AY80:BL80" si="127">MAX(AY74:AY78)</f>
        <v>#NAME?</v>
      </c>
      <c r="AZ80" s="647" t="e">
        <f t="shared" si="127"/>
        <v>#NAME?</v>
      </c>
      <c r="BA80" s="648" t="e">
        <f t="shared" si="127"/>
        <v>#NAME?</v>
      </c>
      <c r="BB80" s="648" t="e">
        <f t="shared" si="127"/>
        <v>#NAME?</v>
      </c>
      <c r="BC80" s="648" t="e">
        <f t="shared" si="127"/>
        <v>#NAME?</v>
      </c>
      <c r="BD80" s="648" t="e">
        <f t="shared" si="127"/>
        <v>#NAME?</v>
      </c>
      <c r="BE80" s="648" t="e">
        <f t="shared" si="127"/>
        <v>#NAME?</v>
      </c>
      <c r="BF80" s="648" t="e">
        <f t="shared" si="127"/>
        <v>#NAME?</v>
      </c>
      <c r="BG80" s="648" t="e">
        <f t="shared" si="127"/>
        <v>#NAME?</v>
      </c>
      <c r="BH80" s="648" t="e">
        <f t="shared" si="127"/>
        <v>#NAME?</v>
      </c>
      <c r="BI80" s="650" t="e">
        <f t="shared" si="127"/>
        <v>#NAME?</v>
      </c>
      <c r="BJ80" s="652" t="e">
        <f t="shared" si="127"/>
        <v>#NAME?</v>
      </c>
      <c r="BK80" s="652" t="e">
        <f t="shared" si="127"/>
        <v>#NAME?</v>
      </c>
      <c r="BL80" s="652" t="e">
        <f t="shared" si="127"/>
        <v>#NAME?</v>
      </c>
      <c r="BM80" s="652"/>
      <c r="BN80" s="653"/>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4">
        <f t="shared" si="124"/>
        <v>0</v>
      </c>
      <c r="AA81" s="655"/>
      <c r="AB81" s="656"/>
      <c r="AC81" s="657" t="e">
        <f t="shared" ref="AC81:AP81" si="128">AVERAGE(AC74:AC78)</f>
        <v>#NAME?</v>
      </c>
      <c r="AD81" s="682" t="e">
        <f t="shared" si="128"/>
        <v>#NAME?</v>
      </c>
      <c r="AE81" s="658" t="e">
        <f t="shared" si="128"/>
        <v>#NAME?</v>
      </c>
      <c r="AF81" s="658" t="e">
        <f t="shared" si="128"/>
        <v>#NAME?</v>
      </c>
      <c r="AG81" s="658" t="e">
        <f t="shared" si="128"/>
        <v>#NAME?</v>
      </c>
      <c r="AH81" s="658" t="e">
        <f t="shared" si="128"/>
        <v>#NAME?</v>
      </c>
      <c r="AI81" s="660" t="e">
        <f t="shared" si="128"/>
        <v>#NAME?</v>
      </c>
      <c r="AJ81" s="658" t="e">
        <f t="shared" si="128"/>
        <v>#NAME?</v>
      </c>
      <c r="AK81" s="662" t="e">
        <f t="shared" si="128"/>
        <v>#NAME?</v>
      </c>
      <c r="AL81" s="662" t="e">
        <f t="shared" si="128"/>
        <v>#NAME?</v>
      </c>
      <c r="AM81" s="662" t="e">
        <f t="shared" si="128"/>
        <v>#NAME?</v>
      </c>
      <c r="AN81" s="662" t="e">
        <f t="shared" si="128"/>
        <v>#NAME?</v>
      </c>
      <c r="AO81" s="662" t="e">
        <f t="shared" si="128"/>
        <v>#NAME?</v>
      </c>
      <c r="AP81" s="662" t="e">
        <f t="shared" si="128"/>
        <v>#NAME?</v>
      </c>
      <c r="AQ81" s="662"/>
      <c r="AR81" s="663"/>
      <c r="AS81" s="4"/>
      <c r="AT81" s="4"/>
      <c r="AU81" s="40"/>
      <c r="AV81" s="654">
        <f t="shared" si="126"/>
        <v>0</v>
      </c>
      <c r="AW81" s="655"/>
      <c r="AX81" s="656"/>
      <c r="AY81" s="657" t="e">
        <f t="shared" ref="AY81:BL81" si="129">AVERAGE(AY74:AY78)</f>
        <v>#NAME?</v>
      </c>
      <c r="AZ81" s="657" t="e">
        <f t="shared" si="129"/>
        <v>#NAME?</v>
      </c>
      <c r="BA81" s="658" t="e">
        <f t="shared" si="129"/>
        <v>#NAME?</v>
      </c>
      <c r="BB81" s="658" t="e">
        <f t="shared" si="129"/>
        <v>#NAME?</v>
      </c>
      <c r="BC81" s="658" t="e">
        <f t="shared" si="129"/>
        <v>#NAME?</v>
      </c>
      <c r="BD81" s="658" t="e">
        <f t="shared" si="129"/>
        <v>#NAME?</v>
      </c>
      <c r="BE81" s="658" t="e">
        <f t="shared" si="129"/>
        <v>#NAME?</v>
      </c>
      <c r="BF81" s="658" t="e">
        <f t="shared" si="129"/>
        <v>#NAME?</v>
      </c>
      <c r="BG81" s="658" t="e">
        <f t="shared" si="129"/>
        <v>#NAME?</v>
      </c>
      <c r="BH81" s="658" t="e">
        <f t="shared" si="129"/>
        <v>#NAME?</v>
      </c>
      <c r="BI81" s="660" t="e">
        <f t="shared" si="129"/>
        <v>#NAME?</v>
      </c>
      <c r="BJ81" s="662" t="e">
        <f t="shared" si="129"/>
        <v>#NAME?</v>
      </c>
      <c r="BK81" s="662" t="e">
        <f t="shared" si="129"/>
        <v>#NAME?</v>
      </c>
      <c r="BL81" s="662" t="e">
        <f t="shared" si="129"/>
        <v>#NAME?</v>
      </c>
      <c r="BM81" s="662"/>
      <c r="BN81" s="663"/>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7" t="s">
        <v>713</v>
      </c>
      <c r="T82" s="280"/>
      <c r="U82" s="8"/>
      <c r="V82" s="8"/>
      <c r="W82" s="8"/>
      <c r="X82" s="4"/>
      <c r="Y82" s="40"/>
      <c r="Z82" s="654">
        <f t="shared" si="124"/>
        <v>0</v>
      </c>
      <c r="AA82" s="655"/>
      <c r="AB82" s="655"/>
      <c r="AC82" s="657" t="e">
        <f t="shared" ref="AC82:AP82" si="130">MEDIAN(AC74:AC78)</f>
        <v>#NAME?</v>
      </c>
      <c r="AD82" s="682" t="e">
        <f t="shared" si="130"/>
        <v>#NAME?</v>
      </c>
      <c r="AE82" s="658" t="e">
        <f t="shared" si="130"/>
        <v>#NAME?</v>
      </c>
      <c r="AF82" s="658" t="e">
        <f t="shared" si="130"/>
        <v>#NAME?</v>
      </c>
      <c r="AG82" s="658" t="e">
        <f t="shared" si="130"/>
        <v>#NAME?</v>
      </c>
      <c r="AH82" s="658" t="e">
        <f t="shared" si="130"/>
        <v>#NAME?</v>
      </c>
      <c r="AI82" s="660" t="e">
        <f t="shared" si="130"/>
        <v>#NAME?</v>
      </c>
      <c r="AJ82" s="658" t="e">
        <f t="shared" si="130"/>
        <v>#NAME?</v>
      </c>
      <c r="AK82" s="662" t="e">
        <f t="shared" si="130"/>
        <v>#NAME?</v>
      </c>
      <c r="AL82" s="662" t="e">
        <f t="shared" si="130"/>
        <v>#NAME?</v>
      </c>
      <c r="AM82" s="662" t="e">
        <f t="shared" si="130"/>
        <v>#NAME?</v>
      </c>
      <c r="AN82" s="662" t="e">
        <f t="shared" si="130"/>
        <v>#NAME?</v>
      </c>
      <c r="AO82" s="662" t="e">
        <f t="shared" si="130"/>
        <v>#NAME?</v>
      </c>
      <c r="AP82" s="662" t="e">
        <f t="shared" si="130"/>
        <v>#NAME?</v>
      </c>
      <c r="AQ82" s="662"/>
      <c r="AR82" s="663"/>
      <c r="AS82" s="4"/>
      <c r="AT82" s="4"/>
      <c r="AU82" s="40"/>
      <c r="AV82" s="654">
        <f t="shared" si="126"/>
        <v>0</v>
      </c>
      <c r="AW82" s="655"/>
      <c r="AX82" s="655"/>
      <c r="AY82" s="657" t="e">
        <f t="shared" ref="AY82:BL82" si="131">MEDIAN(AY74:AY78)</f>
        <v>#NAME?</v>
      </c>
      <c r="AZ82" s="657" t="e">
        <f t="shared" si="131"/>
        <v>#NAME?</v>
      </c>
      <c r="BA82" s="658" t="e">
        <f t="shared" si="131"/>
        <v>#NAME?</v>
      </c>
      <c r="BB82" s="658" t="e">
        <f t="shared" si="131"/>
        <v>#NAME?</v>
      </c>
      <c r="BC82" s="658" t="e">
        <f t="shared" si="131"/>
        <v>#NAME?</v>
      </c>
      <c r="BD82" s="658" t="e">
        <f t="shared" si="131"/>
        <v>#NAME?</v>
      </c>
      <c r="BE82" s="658" t="e">
        <f t="shared" si="131"/>
        <v>#NAME?</v>
      </c>
      <c r="BF82" s="658" t="e">
        <f t="shared" si="131"/>
        <v>#NAME?</v>
      </c>
      <c r="BG82" s="658" t="e">
        <f t="shared" si="131"/>
        <v>#NAME?</v>
      </c>
      <c r="BH82" s="658" t="e">
        <f t="shared" si="131"/>
        <v>#NAME?</v>
      </c>
      <c r="BI82" s="660" t="e">
        <f t="shared" si="131"/>
        <v>#NAME?</v>
      </c>
      <c r="BJ82" s="662" t="e">
        <f t="shared" si="131"/>
        <v>#NAME?</v>
      </c>
      <c r="BK82" s="662" t="e">
        <f t="shared" si="131"/>
        <v>#NAME?</v>
      </c>
      <c r="BL82" s="662" t="e">
        <f t="shared" si="131"/>
        <v>#NAME?</v>
      </c>
      <c r="BM82" s="662"/>
      <c r="BN82" s="663"/>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8" t="s">
        <v>716</v>
      </c>
      <c r="T83" s="187"/>
      <c r="U83" s="8"/>
      <c r="V83" s="8"/>
      <c r="W83" s="8"/>
      <c r="X83" s="4"/>
      <c r="Y83" s="40"/>
      <c r="Z83" s="664">
        <f t="shared" si="124"/>
        <v>0</v>
      </c>
      <c r="AA83" s="665"/>
      <c r="AB83" s="665"/>
      <c r="AC83" s="666" t="e">
        <f t="shared" ref="AC83:AP83" si="132">MIN(AC74:AC78)</f>
        <v>#NAME?</v>
      </c>
      <c r="AD83" s="684" t="e">
        <f t="shared" si="132"/>
        <v>#NAME?</v>
      </c>
      <c r="AE83" s="667" t="e">
        <f t="shared" si="132"/>
        <v>#NAME?</v>
      </c>
      <c r="AF83" s="667" t="e">
        <f t="shared" si="132"/>
        <v>#NAME?</v>
      </c>
      <c r="AG83" s="667" t="e">
        <f t="shared" si="132"/>
        <v>#NAME?</v>
      </c>
      <c r="AH83" s="667" t="e">
        <f t="shared" si="132"/>
        <v>#NAME?</v>
      </c>
      <c r="AI83" s="669" t="e">
        <f t="shared" si="132"/>
        <v>#NAME?</v>
      </c>
      <c r="AJ83" s="667" t="e">
        <f t="shared" si="132"/>
        <v>#NAME?</v>
      </c>
      <c r="AK83" s="671" t="e">
        <f t="shared" si="132"/>
        <v>#NAME?</v>
      </c>
      <c r="AL83" s="671" t="e">
        <f t="shared" si="132"/>
        <v>#NAME?</v>
      </c>
      <c r="AM83" s="671" t="e">
        <f t="shared" si="132"/>
        <v>#NAME?</v>
      </c>
      <c r="AN83" s="671" t="e">
        <f t="shared" si="132"/>
        <v>#NAME?</v>
      </c>
      <c r="AO83" s="671" t="e">
        <f t="shared" si="132"/>
        <v>#NAME?</v>
      </c>
      <c r="AP83" s="671" t="e">
        <f t="shared" si="132"/>
        <v>#NAME?</v>
      </c>
      <c r="AQ83" s="671"/>
      <c r="AR83" s="672"/>
      <c r="AS83" s="4"/>
      <c r="AT83" s="4"/>
      <c r="AU83" s="40"/>
      <c r="AV83" s="664">
        <f t="shared" si="126"/>
        <v>0</v>
      </c>
      <c r="AW83" s="665"/>
      <c r="AX83" s="665"/>
      <c r="AY83" s="666" t="e">
        <f t="shared" ref="AY83:BL83" si="133">MIN(AY74:AY78)</f>
        <v>#NAME?</v>
      </c>
      <c r="AZ83" s="666" t="e">
        <f t="shared" si="133"/>
        <v>#NAME?</v>
      </c>
      <c r="BA83" s="667" t="e">
        <f t="shared" si="133"/>
        <v>#NAME?</v>
      </c>
      <c r="BB83" s="667" t="e">
        <f t="shared" si="133"/>
        <v>#NAME?</v>
      </c>
      <c r="BC83" s="667" t="e">
        <f t="shared" si="133"/>
        <v>#NAME?</v>
      </c>
      <c r="BD83" s="667" t="e">
        <f t="shared" si="133"/>
        <v>#NAME?</v>
      </c>
      <c r="BE83" s="667" t="e">
        <f t="shared" si="133"/>
        <v>#NAME?</v>
      </c>
      <c r="BF83" s="667" t="e">
        <f t="shared" si="133"/>
        <v>#NAME?</v>
      </c>
      <c r="BG83" s="667" t="e">
        <f t="shared" si="133"/>
        <v>#NAME?</v>
      </c>
      <c r="BH83" s="667" t="e">
        <f t="shared" si="133"/>
        <v>#NAME?</v>
      </c>
      <c r="BI83" s="669" t="e">
        <f t="shared" si="133"/>
        <v>#NAME?</v>
      </c>
      <c r="BJ83" s="671" t="e">
        <f t="shared" si="133"/>
        <v>#NAME?</v>
      </c>
      <c r="BK83" s="671" t="e">
        <f t="shared" si="133"/>
        <v>#NAME?</v>
      </c>
      <c r="BL83" s="671" t="e">
        <f t="shared" si="133"/>
        <v>#NAME?</v>
      </c>
      <c r="BM83" s="671"/>
      <c r="BN83" s="672"/>
    </row>
    <row r="84" ht="15.75" customHeight="1" hidden="1" spans="1:66" x14ac:dyDescent="0.25" outlineLevel="2" collapsed="1">
      <c r="A84" s="4"/>
      <c r="B84" s="40"/>
      <c r="C84" s="40"/>
      <c r="D84" s="190" t="s">
        <v>717</v>
      </c>
      <c r="E84" s="689" t="s">
        <v>718</v>
      </c>
      <c r="F84" s="8"/>
      <c r="G84" s="190" t="s">
        <v>717</v>
      </c>
      <c r="H84" s="122"/>
      <c r="I84" s="122" t="str">
        <f>$E$84</f>
        <v>IQ285359</v>
      </c>
      <c r="J84" s="690"/>
      <c r="K84" s="8"/>
      <c r="L84" s="190" t="s">
        <v>717</v>
      </c>
      <c r="M84" s="122"/>
      <c r="N84" s="122" t="str">
        <f>$E$84</f>
        <v>IQ285359</v>
      </c>
      <c r="O84" s="690"/>
      <c r="P84" s="8"/>
      <c r="Q84" s="190" t="s">
        <v>719</v>
      </c>
      <c r="R84" s="122"/>
      <c r="S84" s="691" t="s">
        <v>720</v>
      </c>
      <c r="T84" s="690"/>
      <c r="U84" s="8"/>
      <c r="V84" s="8"/>
      <c r="W84" s="8"/>
      <c r="X84" s="4"/>
      <c r="Y84" s="40"/>
      <c r="Z84" s="8"/>
      <c r="AA84" s="8"/>
      <c r="AB84" s="8"/>
      <c r="AC84" s="627"/>
      <c r="AD84" s="75"/>
      <c r="AE84" s="627"/>
      <c r="AF84" s="627"/>
      <c r="AG84" s="627"/>
      <c r="AH84" s="627"/>
      <c r="AI84" s="627"/>
      <c r="AJ84" s="585"/>
      <c r="AK84" s="627"/>
      <c r="AL84" s="585"/>
      <c r="AM84" s="583"/>
      <c r="AN84" s="585"/>
      <c r="AO84" s="8"/>
      <c r="AP84" s="627"/>
      <c r="AQ84" s="75"/>
      <c r="AR84" s="75"/>
      <c r="AS84" s="4"/>
      <c r="AT84" s="4"/>
      <c r="AU84" s="40"/>
      <c r="AV84" s="8"/>
      <c r="AW84" s="8"/>
      <c r="AX84" s="8"/>
      <c r="AY84" s="627"/>
      <c r="AZ84" s="75"/>
      <c r="BA84" s="627"/>
      <c r="BB84" s="627"/>
      <c r="BC84" s="627"/>
      <c r="BD84" s="627"/>
      <c r="BE84" s="627"/>
      <c r="BF84" s="585"/>
      <c r="BG84" s="627"/>
      <c r="BH84" s="585"/>
      <c r="BI84" s="583"/>
      <c r="BJ84" s="585"/>
      <c r="BK84" s="8"/>
      <c r="BL84" s="627"/>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2" t="s">
        <v>654</v>
      </c>
      <c r="F86" s="8"/>
      <c r="G86" s="188" t="s">
        <v>721</v>
      </c>
      <c r="H86" s="123"/>
      <c r="I86" s="687" t="s">
        <v>722</v>
      </c>
      <c r="J86" s="280"/>
      <c r="K86" s="8"/>
      <c r="L86" s="188" t="s">
        <v>721</v>
      </c>
      <c r="M86" s="123"/>
      <c r="N86" s="687"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3" t="s">
        <v>655</v>
      </c>
      <c r="F87" s="8"/>
      <c r="G87" s="186" t="s">
        <v>714</v>
      </c>
      <c r="H87" s="8"/>
      <c r="I87" s="688" t="s">
        <v>688</v>
      </c>
      <c r="J87" s="187"/>
      <c r="K87" s="8"/>
      <c r="L87" s="186" t="s">
        <v>714</v>
      </c>
      <c r="M87" s="8"/>
      <c r="N87" s="688"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9" t="s">
        <v>724</v>
      </c>
      <c r="F88" s="8"/>
      <c r="G88" s="190" t="s">
        <v>717</v>
      </c>
      <c r="H88" s="122"/>
      <c r="I88" s="691" t="s">
        <v>725</v>
      </c>
      <c r="J88" s="690"/>
      <c r="K88" s="8"/>
      <c r="L88" s="190" t="s">
        <v>717</v>
      </c>
      <c r="M88" s="122"/>
      <c r="N88" s="691" t="s">
        <v>726</v>
      </c>
      <c r="O88" s="690"/>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2" t="s">
        <v>656</v>
      </c>
      <c r="F90" s="8"/>
      <c r="G90" s="188" t="s">
        <v>721</v>
      </c>
      <c r="H90" s="123"/>
      <c r="I90" s="687" t="s">
        <v>727</v>
      </c>
      <c r="J90" s="280"/>
      <c r="K90" s="8"/>
      <c r="L90" s="188" t="s">
        <v>721</v>
      </c>
      <c r="M90" s="123"/>
      <c r="N90" s="687"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3" t="s">
        <v>657</v>
      </c>
      <c r="F91" s="8"/>
      <c r="G91" s="186" t="s">
        <v>714</v>
      </c>
      <c r="H91" s="8"/>
      <c r="I91" s="688" t="s">
        <v>693</v>
      </c>
      <c r="J91" s="187"/>
      <c r="K91" s="8"/>
      <c r="L91" s="186" t="s">
        <v>714</v>
      </c>
      <c r="M91" s="8"/>
      <c r="N91" s="688"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9" t="s">
        <v>730</v>
      </c>
      <c r="F92" s="8"/>
      <c r="G92" s="190" t="s">
        <v>717</v>
      </c>
      <c r="H92" s="122"/>
      <c r="I92" s="691" t="s">
        <v>731</v>
      </c>
      <c r="J92" s="690"/>
      <c r="K92" s="8"/>
      <c r="L92" s="190" t="s">
        <v>717</v>
      </c>
      <c r="M92" s="122"/>
      <c r="N92" s="691" t="s">
        <v>732</v>
      </c>
      <c r="O92" s="690"/>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2" t="s">
        <v>733</v>
      </c>
      <c r="F94" s="8"/>
      <c r="G94" s="188" t="s">
        <v>721</v>
      </c>
      <c r="H94" s="123"/>
      <c r="I94" s="687" t="s">
        <v>734</v>
      </c>
      <c r="J94" s="280"/>
      <c r="K94" s="8"/>
      <c r="L94" s="188" t="s">
        <v>721</v>
      </c>
      <c r="M94" s="123"/>
      <c r="N94" s="687"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3" t="s">
        <v>653</v>
      </c>
      <c r="F95" s="8"/>
      <c r="G95" s="186" t="s">
        <v>714</v>
      </c>
      <c r="H95" s="40"/>
      <c r="I95" s="688" t="s">
        <v>698</v>
      </c>
      <c r="J95" s="187"/>
      <c r="K95" s="8"/>
      <c r="L95" s="186" t="s">
        <v>714</v>
      </c>
      <c r="M95" s="40"/>
      <c r="N95" s="688"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9" t="s">
        <v>736</v>
      </c>
      <c r="F96" s="8"/>
      <c r="G96" s="190" t="s">
        <v>717</v>
      </c>
      <c r="H96" s="122"/>
      <c r="I96" s="691" t="s">
        <v>737</v>
      </c>
      <c r="J96" s="690"/>
      <c r="K96" s="8"/>
      <c r="L96" s="190" t="s">
        <v>717</v>
      </c>
      <c r="M96" s="122"/>
      <c r="N96" s="691" t="s">
        <v>738</v>
      </c>
      <c r="O96" s="690"/>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2" t="s">
        <v>739</v>
      </c>
      <c r="F98" s="8"/>
      <c r="G98" s="188" t="s">
        <v>721</v>
      </c>
      <c r="H98" s="123"/>
      <c r="I98" s="687" t="s">
        <v>740</v>
      </c>
      <c r="J98" s="280"/>
      <c r="K98" s="8"/>
      <c r="L98" s="188" t="s">
        <v>721</v>
      </c>
      <c r="M98" s="123"/>
      <c r="N98" s="687"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3" t="s">
        <v>742</v>
      </c>
      <c r="F99" s="8"/>
      <c r="G99" s="186" t="s">
        <v>714</v>
      </c>
      <c r="H99" s="8"/>
      <c r="I99" s="688" t="s">
        <v>701</v>
      </c>
      <c r="J99" s="187"/>
      <c r="K99" s="8"/>
      <c r="L99" s="186" t="s">
        <v>714</v>
      </c>
      <c r="M99" s="8"/>
      <c r="N99" s="688"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9" t="s">
        <v>743</v>
      </c>
      <c r="F100" s="8"/>
      <c r="G100" s="190" t="s">
        <v>717</v>
      </c>
      <c r="H100" s="122"/>
      <c r="I100" s="691" t="s">
        <v>744</v>
      </c>
      <c r="J100" s="690"/>
      <c r="K100" s="8"/>
      <c r="L100" s="190" t="s">
        <v>717</v>
      </c>
      <c r="M100" s="122"/>
      <c r="N100" s="691" t="s">
        <v>745</v>
      </c>
      <c r="O100" s="690"/>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2" t="s">
        <v>746</v>
      </c>
      <c r="F102" s="8"/>
      <c r="G102" s="188" t="s">
        <v>721</v>
      </c>
      <c r="H102" s="123"/>
      <c r="I102" s="687" t="s">
        <v>747</v>
      </c>
      <c r="J102" s="280"/>
      <c r="K102" s="8"/>
      <c r="L102" s="188" t="s">
        <v>721</v>
      </c>
      <c r="M102" s="123"/>
      <c r="N102" s="687"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3" t="s">
        <v>749</v>
      </c>
      <c r="F103" s="8"/>
      <c r="G103" s="186" t="s">
        <v>714</v>
      </c>
      <c r="H103" s="8"/>
      <c r="I103" s="688" t="s">
        <v>703</v>
      </c>
      <c r="J103" s="187"/>
      <c r="K103" s="8"/>
      <c r="L103" s="186" t="s">
        <v>714</v>
      </c>
      <c r="M103" s="8"/>
      <c r="N103" s="688"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9" t="s">
        <v>750</v>
      </c>
      <c r="F104" s="8"/>
      <c r="G104" s="190" t="s">
        <v>717</v>
      </c>
      <c r="H104" s="122"/>
      <c r="I104" s="691" t="s">
        <v>751</v>
      </c>
      <c r="J104" s="690"/>
      <c r="K104" s="8"/>
      <c r="L104" s="190" t="s">
        <v>717</v>
      </c>
      <c r="M104" s="122"/>
      <c r="N104" s="691" t="s">
        <v>752</v>
      </c>
      <c r="O104" s="690"/>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4"/>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4"/>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4"/>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4"/>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4"/>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5"/>
      <c r="H1" s="695"/>
      <c r="I1" s="695"/>
      <c r="J1" s="695"/>
      <c r="K1" s="695">
        <v>1</v>
      </c>
      <c r="L1" s="695"/>
      <c r="M1" s="695"/>
      <c r="N1" s="695"/>
      <c r="O1" s="695"/>
      <c r="P1" s="695"/>
      <c r="Q1" s="695"/>
      <c r="R1" s="695"/>
      <c r="S1" s="695"/>
      <c r="T1" s="8"/>
      <c r="U1" s="8"/>
      <c r="V1" s="8"/>
      <c r="W1" s="8"/>
      <c r="X1" s="8"/>
      <c r="Y1" s="8"/>
      <c r="Z1" s="8"/>
      <c r="AA1" s="8"/>
      <c r="AB1" s="696" t="str">
        <f>_xll.ciqfunctions.udf.CIQ("3304","iq_ev_over_ltm_ebitda")</f>
        <v>(Invalid Identifier)</v>
      </c>
    </row>
    <row r="2" ht="12.75" customHeight="1" spans="1:28" x14ac:dyDescent="0.25">
      <c r="A2" s="8" t="s">
        <v>754</v>
      </c>
      <c r="B2" s="8"/>
      <c r="C2" s="8"/>
      <c r="D2" s="8"/>
      <c r="E2" s="8"/>
      <c r="F2" s="8"/>
      <c r="G2" s="695"/>
      <c r="H2" s="695"/>
      <c r="I2" s="695"/>
      <c r="J2" s="695"/>
      <c r="K2" s="695">
        <f t="shared" ref="K2:K5" si="0">K1+1</f>
        <v>2</v>
      </c>
      <c r="L2" s="695"/>
      <c r="M2" s="695"/>
      <c r="N2" s="695"/>
      <c r="O2" s="695"/>
      <c r="P2" s="695"/>
      <c r="Q2" s="695"/>
      <c r="R2" s="695"/>
      <c r="S2" s="695"/>
      <c r="T2" s="8"/>
      <c r="U2" s="8"/>
      <c r="V2" s="8"/>
      <c r="W2" s="8"/>
      <c r="X2" s="8"/>
      <c r="Y2" s="8"/>
      <c r="Z2" s="8"/>
      <c r="AA2" s="8"/>
      <c r="AB2" s="8"/>
    </row>
    <row r="3" ht="12.75" customHeight="1" spans="1:28" x14ac:dyDescent="0.25">
      <c r="A3" s="8" t="s">
        <v>755</v>
      </c>
      <c r="B3" s="8"/>
      <c r="C3" s="8"/>
      <c r="D3" s="8"/>
      <c r="E3" s="8"/>
      <c r="F3" s="8"/>
      <c r="G3" s="695"/>
      <c r="H3" s="695"/>
      <c r="I3" s="695"/>
      <c r="J3" s="695"/>
      <c r="K3" s="695">
        <f t="shared" si="0"/>
        <v>3</v>
      </c>
      <c r="L3" s="695"/>
      <c r="M3" s="695"/>
      <c r="N3" s="695"/>
      <c r="O3" s="695"/>
      <c r="P3" s="695"/>
      <c r="Q3" s="695"/>
      <c r="R3" s="695"/>
      <c r="S3" s="695"/>
      <c r="T3" s="8"/>
      <c r="U3" s="8"/>
      <c r="V3" s="8"/>
      <c r="W3" s="8"/>
      <c r="X3" s="8"/>
      <c r="Y3" s="8"/>
      <c r="Z3" s="8"/>
      <c r="AA3" s="8"/>
      <c r="AB3" s="8"/>
    </row>
    <row r="4" ht="12.75" customHeight="1" spans="1:28" x14ac:dyDescent="0.25">
      <c r="A4" s="8" t="s">
        <v>756</v>
      </c>
      <c r="B4" s="8"/>
      <c r="C4" s="8"/>
      <c r="D4" s="8"/>
      <c r="E4" s="8"/>
      <c r="F4" s="8"/>
      <c r="G4" s="695"/>
      <c r="H4" s="695"/>
      <c r="I4" s="695"/>
      <c r="J4" s="695"/>
      <c r="K4" s="695">
        <f t="shared" si="0"/>
        <v>4</v>
      </c>
      <c r="L4" s="695"/>
      <c r="M4" s="695"/>
      <c r="N4" s="695"/>
      <c r="O4" s="695"/>
      <c r="P4" s="695"/>
      <c r="Q4" s="695"/>
      <c r="R4" s="695"/>
      <c r="S4" s="695"/>
      <c r="T4" s="8"/>
      <c r="U4" s="8"/>
      <c r="V4" s="8"/>
      <c r="W4" s="8"/>
      <c r="X4" s="8"/>
      <c r="Y4" s="8"/>
      <c r="Z4" s="8"/>
      <c r="AA4" s="8"/>
      <c r="AB4" s="8"/>
    </row>
    <row r="5" ht="12.75" customHeight="1" spans="1:28" x14ac:dyDescent="0.25">
      <c r="A5" s="8"/>
      <c r="B5" s="8"/>
      <c r="C5" s="8"/>
      <c r="D5" s="8"/>
      <c r="E5" s="8"/>
      <c r="F5" s="8"/>
      <c r="G5" s="695"/>
      <c r="H5" s="695"/>
      <c r="I5" s="695"/>
      <c r="J5" s="695"/>
      <c r="K5" s="695">
        <f t="shared" si="0"/>
        <v>5</v>
      </c>
      <c r="L5" s="695"/>
      <c r="M5" s="695"/>
      <c r="N5" s="695"/>
      <c r="O5" s="695"/>
      <c r="P5" s="695"/>
      <c r="Q5" s="695"/>
      <c r="R5" s="695"/>
      <c r="S5" s="695"/>
      <c r="T5" s="8"/>
      <c r="U5" s="8"/>
      <c r="V5" s="8"/>
      <c r="W5" s="8"/>
      <c r="X5" s="8"/>
      <c r="Y5" s="8"/>
      <c r="Z5" s="8"/>
      <c r="AA5" s="8"/>
      <c r="AB5" s="8"/>
    </row>
    <row r="6" ht="12.75" customHeight="1" spans="1:28" x14ac:dyDescent="0.25">
      <c r="A6" s="8" t="s">
        <v>757</v>
      </c>
      <c r="B6" s="8"/>
      <c r="C6" s="8"/>
      <c r="D6" s="8"/>
      <c r="E6" s="8"/>
      <c r="F6" s="8"/>
      <c r="G6" s="695"/>
      <c r="H6" s="695"/>
      <c r="I6" s="695"/>
      <c r="J6" s="695"/>
      <c r="K6" s="695"/>
      <c r="L6" s="695"/>
      <c r="M6" s="695"/>
      <c r="N6" s="695"/>
      <c r="O6" s="695"/>
      <c r="P6" s="695"/>
      <c r="Q6" s="695"/>
      <c r="R6" s="695"/>
      <c r="S6" s="695"/>
      <c r="T6" s="8"/>
      <c r="U6" s="8"/>
      <c r="V6" s="8"/>
      <c r="W6" s="8"/>
      <c r="X6" s="8"/>
      <c r="Y6" s="8"/>
      <c r="Z6" s="8"/>
      <c r="AA6" s="8"/>
      <c r="AB6" s="8"/>
    </row>
    <row r="7" ht="25.5" customHeight="1" spans="1:28" x14ac:dyDescent="0.25">
      <c r="A7" s="697" t="s">
        <v>758</v>
      </c>
      <c r="B7" s="57"/>
      <c r="C7" s="57"/>
      <c r="D7" s="57"/>
      <c r="E7" s="57"/>
      <c r="F7" s="57"/>
      <c r="G7" s="695"/>
      <c r="H7" s="695"/>
      <c r="I7" s="695"/>
      <c r="J7" s="695"/>
      <c r="K7" s="695"/>
      <c r="L7" s="695"/>
      <c r="M7" s="695"/>
      <c r="N7" s="695"/>
      <c r="O7" s="695"/>
      <c r="P7" s="695"/>
      <c r="Q7" s="695"/>
      <c r="R7" s="695"/>
      <c r="S7" s="695"/>
      <c r="T7" s="8"/>
      <c r="U7" s="8"/>
      <c r="V7" s="8"/>
      <c r="W7" s="8"/>
      <c r="X7" s="8"/>
      <c r="Y7" s="8"/>
      <c r="Z7" s="8"/>
      <c r="AA7" s="8"/>
      <c r="AB7" s="8"/>
    </row>
    <row r="8" ht="31.5" customHeight="1" spans="1:28" x14ac:dyDescent="0.25">
      <c r="A8" s="698" t="s">
        <v>759</v>
      </c>
      <c r="B8" s="698"/>
      <c r="C8" s="699"/>
      <c r="D8" s="699"/>
      <c r="E8" s="699"/>
      <c r="F8" s="699"/>
      <c r="G8" s="695"/>
      <c r="H8" s="695"/>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5"/>
      <c r="H9" s="695"/>
      <c r="I9" s="8"/>
      <c r="J9" s="8"/>
      <c r="K9" s="8"/>
      <c r="L9" s="8"/>
      <c r="M9" s="8"/>
      <c r="N9" s="8"/>
      <c r="O9" s="8"/>
      <c r="P9" s="8"/>
      <c r="Q9" s="8"/>
      <c r="R9" s="8"/>
      <c r="S9" s="8"/>
      <c r="T9" s="8"/>
      <c r="U9" s="8"/>
      <c r="V9" s="8"/>
      <c r="W9" s="8"/>
      <c r="X9" s="8"/>
      <c r="Y9" s="8"/>
      <c r="Z9" s="8"/>
      <c r="AA9" s="8"/>
      <c r="AB9" s="8"/>
    </row>
    <row r="10" ht="12.75" customHeight="1" spans="1:28" x14ac:dyDescent="0.25">
      <c r="A10" s="700"/>
      <c r="B10" s="700" t="s">
        <v>760</v>
      </c>
      <c r="C10" s="700" t="s">
        <v>761</v>
      </c>
      <c r="D10" s="700"/>
      <c r="E10" s="700"/>
      <c r="F10" s="700"/>
      <c r="G10" s="695"/>
      <c r="H10" s="695"/>
      <c r="I10" s="8"/>
      <c r="J10" s="8"/>
      <c r="K10" s="8"/>
      <c r="L10" s="8"/>
      <c r="M10" s="8"/>
      <c r="N10" s="8"/>
      <c r="O10" s="8"/>
      <c r="P10" s="8"/>
      <c r="Q10" s="8"/>
      <c r="R10" s="8"/>
      <c r="S10" s="8"/>
      <c r="T10" s="8"/>
      <c r="U10" s="8"/>
      <c r="V10" s="8"/>
      <c r="W10" s="8"/>
      <c r="X10" s="8"/>
      <c r="Y10" s="8"/>
      <c r="Z10" s="8"/>
      <c r="AA10" s="8"/>
      <c r="AB10" s="8"/>
    </row>
    <row r="11" ht="12.75" customHeight="1" spans="1:28" x14ac:dyDescent="0.25">
      <c r="A11" s="701" t="s">
        <v>762</v>
      </c>
      <c r="B11" s="701" t="s">
        <v>763</v>
      </c>
      <c r="C11" s="701" t="s">
        <v>764</v>
      </c>
      <c r="D11" s="701" t="s">
        <v>765</v>
      </c>
      <c r="E11" s="701" t="s">
        <v>766</v>
      </c>
      <c r="F11" s="701" t="s">
        <v>22</v>
      </c>
      <c r="G11" s="695"/>
      <c r="H11" s="695"/>
      <c r="I11" s="8"/>
      <c r="J11" s="8">
        <f t="shared" ref="J11:N11" si="1">I11+1</f>
        <v>1</v>
      </c>
      <c r="K11" s="8">
        <f t="shared" si="1"/>
        <v>2</v>
      </c>
      <c r="L11" s="8">
        <f t="shared" si="1"/>
        <v>3</v>
      </c>
      <c r="M11" s="8">
        <f t="shared" si="1"/>
        <v>4</v>
      </c>
      <c r="N11" s="8">
        <f t="shared" si="1"/>
        <v>5</v>
      </c>
      <c r="O11" s="695"/>
      <c r="P11" s="695">
        <f t="shared" ref="P11:T11" si="2">O11+1</f>
        <v>1</v>
      </c>
      <c r="Q11" s="695">
        <f t="shared" si="2"/>
        <v>2</v>
      </c>
      <c r="R11" s="695">
        <f t="shared" si="2"/>
        <v>3</v>
      </c>
      <c r="S11" s="695">
        <f t="shared" si="2"/>
        <v>4</v>
      </c>
      <c r="T11" s="695">
        <f t="shared" si="2"/>
        <v>5</v>
      </c>
      <c r="U11" s="8"/>
      <c r="V11" s="8"/>
      <c r="W11" s="8"/>
      <c r="X11" s="8"/>
      <c r="Y11" s="8"/>
      <c r="Z11" s="8"/>
      <c r="AA11" s="8"/>
      <c r="AB11" s="8"/>
    </row>
    <row r="12" ht="12.75" customHeight="1" hidden="1" spans="1:28" x14ac:dyDescent="0.25" outlineLevel="1" collapsed="1">
      <c r="A12" s="688" t="s">
        <v>767</v>
      </c>
      <c r="B12" s="529" t="e">
        <f t="shared" ref="B12:B29" si="3">IF(I12="","",IFERROR(MATCH(A12,$J12:N12,0),"NO"))</f>
        <v>#NAME?</v>
      </c>
      <c r="C12" s="688">
        <v>1</v>
      </c>
      <c r="D12" s="8" t="str">
        <f t="shared" ref="D12:D29" si="4">IF(INDEX($J12:$N12,,MATCH($C12,$J$11:$N$11,0))=0,"No Result",INDEX($J12:$N12,,MATCH($C12,$J$11:$N$11,0)))</f>
        <v>Jefferies Financial Group Inc.</v>
      </c>
      <c r="E12" s="8" t="str">
        <f t="shared" ref="E12:E29" si="5">IF(INDEX($P12:$T12,,MATCH($C12,$P$11:$T$11,0))=0,"",INDEX($P12:$T12,,MATCH($C12,$P$11:$T$11,0)))</f>
        <v>IQ285359</v>
      </c>
      <c r="F12" s="483" t="e">
        <f t="shared" ref="F12:F29" si="6">IF(OR(_xll.ciqfunctions.udf.CIQ($E12,"IQ_COMPANY_TICKER")=0,_xll.ciqfunctions.udf.CIQ($E12,"IQ_COMPANY_TICKER")="(Invalid Identifier)"),"-",_xll.ciqfunctions.udf.CIQ($E12,"IQ_COMPANY_TICKER"))</f>
        <v>#NAME?</v>
      </c>
      <c r="G12" s="695"/>
      <c r="H12" s="695"/>
      <c r="I12" s="8" t="e">
        <f t="shared" ref="I12:I29" si="7">_xll.ciqfunctions.udf.CIQRANGEA($A12,"IQ_COMPANY_NAME_QUICK_MATCH",1,5,,,,,,,"NAME")</f>
        <v>#NAME?</v>
      </c>
      <c r="J12" s="8" t="s">
        <v>21</v>
      </c>
      <c r="K12" s="8" t="s">
        <v>768</v>
      </c>
      <c r="L12" s="8" t="s">
        <v>769</v>
      </c>
      <c r="M12" s="8" t="s">
        <v>770</v>
      </c>
      <c r="N12" s="695" t="s">
        <v>771</v>
      </c>
      <c r="O12" s="695" t="e">
        <f t="shared" ref="O12:O29" si="8">_xll.ciqfunctions.udf.CIQRANGEA($A12,"IQ_COMPANY_ID_QUICK_MATCH",1,5,,,,,,,"ID")</f>
        <v>#NAME?</v>
      </c>
      <c r="P12" s="695" t="s">
        <v>718</v>
      </c>
      <c r="Q12" s="695" t="s">
        <v>772</v>
      </c>
      <c r="R12" s="695" t="s">
        <v>773</v>
      </c>
      <c r="S12" s="695" t="s">
        <v>774</v>
      </c>
      <c r="T12" s="695" t="s">
        <v>775</v>
      </c>
      <c r="U12" s="8"/>
      <c r="V12" s="8"/>
      <c r="W12" s="8"/>
      <c r="X12" s="8"/>
      <c r="Y12" s="8"/>
      <c r="Z12" s="8"/>
      <c r="AA12" s="8"/>
      <c r="AB12" s="8"/>
    </row>
    <row r="13" ht="12.75" customHeight="1" spans="1:28" x14ac:dyDescent="0.25">
      <c r="A13" s="688" t="s">
        <v>776</v>
      </c>
      <c r="B13" s="529" t="e">
        <f t="shared" si="3"/>
        <v>#NAME?</v>
      </c>
      <c r="C13" s="688">
        <v>1</v>
      </c>
      <c r="D13" s="8" t="str">
        <f t="shared" si="4"/>
        <v>Piper Sandler Companies</v>
      </c>
      <c r="E13" s="8" t="str">
        <f t="shared" si="5"/>
        <v>IQ522608</v>
      </c>
      <c r="F13" s="483" t="e">
        <f t="shared" si="6"/>
        <v>#NAME?</v>
      </c>
      <c r="G13" s="695"/>
      <c r="H13" s="695"/>
      <c r="I13" s="8" t="e">
        <f t="shared" si="7"/>
        <v>#NAME?</v>
      </c>
      <c r="J13" s="8" t="s">
        <v>649</v>
      </c>
      <c r="K13" s="8" t="s">
        <v>777</v>
      </c>
      <c r="L13" s="8" t="s">
        <v>778</v>
      </c>
      <c r="M13" s="8" t="s">
        <v>779</v>
      </c>
      <c r="N13" s="695" t="s">
        <v>780</v>
      </c>
      <c r="O13" s="695" t="e">
        <f t="shared" si="8"/>
        <v>#NAME?</v>
      </c>
      <c r="P13" s="695" t="s">
        <v>781</v>
      </c>
      <c r="Q13" s="695" t="s">
        <v>782</v>
      </c>
      <c r="R13" s="695" t="s">
        <v>783</v>
      </c>
      <c r="S13" s="695" t="s">
        <v>784</v>
      </c>
      <c r="T13" s="695" t="s">
        <v>785</v>
      </c>
      <c r="U13" s="8"/>
      <c r="V13" s="8"/>
      <c r="W13" s="8"/>
      <c r="X13" s="8"/>
      <c r="Y13" s="8"/>
      <c r="Z13" s="8"/>
      <c r="AA13" s="8"/>
      <c r="AB13" s="8"/>
    </row>
    <row r="14" ht="12.75" customHeight="1" spans="1:28" x14ac:dyDescent="0.25">
      <c r="A14" s="688" t="s">
        <v>786</v>
      </c>
      <c r="B14" s="529" t="e">
        <f t="shared" si="3"/>
        <v>#NAME?</v>
      </c>
      <c r="C14" s="688">
        <v>1</v>
      </c>
      <c r="D14" s="8" t="str">
        <f t="shared" si="4"/>
        <v>Stifel Financial Corp.</v>
      </c>
      <c r="E14" s="8" t="str">
        <f t="shared" si="5"/>
        <v>IQ305275</v>
      </c>
      <c r="F14" s="483" t="e">
        <f t="shared" si="6"/>
        <v>#NAME?</v>
      </c>
      <c r="G14" s="695"/>
      <c r="H14" s="695"/>
      <c r="I14" s="8" t="e">
        <f t="shared" si="7"/>
        <v>#NAME?</v>
      </c>
      <c r="J14" s="8" t="s">
        <v>652</v>
      </c>
      <c r="K14" s="8" t="s">
        <v>787</v>
      </c>
      <c r="L14" s="8" t="s">
        <v>788</v>
      </c>
      <c r="M14" s="8" t="s">
        <v>789</v>
      </c>
      <c r="N14" s="695" t="s">
        <v>790</v>
      </c>
      <c r="O14" s="695" t="e">
        <f t="shared" si="8"/>
        <v>#NAME?</v>
      </c>
      <c r="P14" s="695" t="s">
        <v>736</v>
      </c>
      <c r="Q14" s="695" t="s">
        <v>791</v>
      </c>
      <c r="R14" s="695" t="s">
        <v>792</v>
      </c>
      <c r="S14" s="695" t="s">
        <v>793</v>
      </c>
      <c r="T14" s="695" t="s">
        <v>794</v>
      </c>
      <c r="U14" s="8"/>
      <c r="V14" s="8"/>
      <c r="W14" s="8"/>
      <c r="X14" s="8"/>
      <c r="Y14" s="8"/>
      <c r="Z14" s="8"/>
      <c r="AA14" s="8"/>
      <c r="AB14" s="8"/>
    </row>
    <row r="15" ht="12.75" customHeight="1" spans="1:28" x14ac:dyDescent="0.25">
      <c r="A15" s="688" t="s">
        <v>795</v>
      </c>
      <c r="B15" s="529" t="e">
        <f t="shared" si="3"/>
        <v>#NAME?</v>
      </c>
      <c r="C15" s="688">
        <v>1</v>
      </c>
      <c r="D15" s="8" t="str">
        <f t="shared" si="4"/>
        <v>Raymond James Financial, Inc.</v>
      </c>
      <c r="E15" s="8" t="str">
        <f t="shared" si="5"/>
        <v>IQ22623</v>
      </c>
      <c r="F15" s="483" t="e">
        <f t="shared" si="6"/>
        <v>#NAME?</v>
      </c>
      <c r="G15" s="695"/>
      <c r="H15" s="695"/>
      <c r="I15" s="8" t="e">
        <f t="shared" si="7"/>
        <v>#NAME?</v>
      </c>
      <c r="J15" s="8" t="s">
        <v>654</v>
      </c>
      <c r="K15" s="8" t="s">
        <v>796</v>
      </c>
      <c r="L15" s="8" t="s">
        <v>797</v>
      </c>
      <c r="M15" s="8" t="s">
        <v>798</v>
      </c>
      <c r="N15" s="695" t="s">
        <v>799</v>
      </c>
      <c r="O15" s="695" t="e">
        <f t="shared" si="8"/>
        <v>#NAME?</v>
      </c>
      <c r="P15" s="695" t="s">
        <v>724</v>
      </c>
      <c r="Q15" s="695" t="s">
        <v>800</v>
      </c>
      <c r="R15" s="695" t="s">
        <v>801</v>
      </c>
      <c r="S15" s="695" t="s">
        <v>802</v>
      </c>
      <c r="T15" s="695" t="s">
        <v>803</v>
      </c>
      <c r="U15" s="8"/>
      <c r="V15" s="8"/>
      <c r="W15" s="8"/>
      <c r="X15" s="8"/>
      <c r="Y15" s="8"/>
      <c r="Z15" s="8"/>
      <c r="AA15" s="8"/>
      <c r="AB15" s="8"/>
    </row>
    <row r="16" ht="12.75" customHeight="1" spans="1:28" x14ac:dyDescent="0.25">
      <c r="A16" s="688" t="s">
        <v>804</v>
      </c>
      <c r="B16" s="529" t="e">
        <f t="shared" si="3"/>
        <v>#NAME?</v>
      </c>
      <c r="C16" s="688">
        <v>1</v>
      </c>
      <c r="D16" s="8" t="str">
        <f t="shared" si="4"/>
        <v>Houlihan Lokey, Inc.</v>
      </c>
      <c r="E16" s="8" t="str">
        <f t="shared" si="5"/>
        <v>IQ20999</v>
      </c>
      <c r="F16" s="483" t="e">
        <f t="shared" si="6"/>
        <v>#NAME?</v>
      </c>
      <c r="G16" s="695"/>
      <c r="H16" s="695"/>
      <c r="I16" s="8" t="e">
        <f t="shared" si="7"/>
        <v>#NAME?</v>
      </c>
      <c r="J16" s="8" t="s">
        <v>656</v>
      </c>
      <c r="K16" s="8" t="s">
        <v>805</v>
      </c>
      <c r="L16" s="8" t="s">
        <v>806</v>
      </c>
      <c r="M16" s="8" t="s">
        <v>807</v>
      </c>
      <c r="N16" s="695" t="s">
        <v>808</v>
      </c>
      <c r="O16" s="695" t="e">
        <f t="shared" si="8"/>
        <v>#NAME?</v>
      </c>
      <c r="P16" s="695" t="s">
        <v>730</v>
      </c>
      <c r="Q16" s="695" t="s">
        <v>809</v>
      </c>
      <c r="R16" s="695" t="s">
        <v>810</v>
      </c>
      <c r="S16" s="695" t="s">
        <v>811</v>
      </c>
      <c r="T16" s="695" t="s">
        <v>812</v>
      </c>
      <c r="U16" s="8"/>
      <c r="V16" s="8"/>
      <c r="W16" s="8"/>
      <c r="X16" s="8"/>
      <c r="Y16" s="8"/>
      <c r="Z16" s="8"/>
      <c r="AA16" s="8"/>
      <c r="AB16" s="8"/>
    </row>
    <row r="17" ht="12.75" customHeight="1" spans="1:28" x14ac:dyDescent="0.25">
      <c r="A17" s="688" t="s">
        <v>786</v>
      </c>
      <c r="B17" s="529" t="e">
        <f t="shared" si="3"/>
        <v>#NAME?</v>
      </c>
      <c r="C17" s="688">
        <v>1</v>
      </c>
      <c r="D17" s="8" t="str">
        <f t="shared" si="4"/>
        <v>Stifel Financial Corp.</v>
      </c>
      <c r="E17" s="8" t="str">
        <f t="shared" si="5"/>
        <v>IQ305275</v>
      </c>
      <c r="F17" s="483" t="e">
        <f t="shared" si="6"/>
        <v>#NAME?</v>
      </c>
      <c r="G17" s="695"/>
      <c r="H17" s="695"/>
      <c r="I17" s="8" t="e">
        <f t="shared" si="7"/>
        <v>#NAME?</v>
      </c>
      <c r="J17" s="8" t="s">
        <v>652</v>
      </c>
      <c r="K17" s="8" t="s">
        <v>787</v>
      </c>
      <c r="L17" s="8" t="s">
        <v>788</v>
      </c>
      <c r="M17" s="8" t="s">
        <v>789</v>
      </c>
      <c r="N17" s="695" t="s">
        <v>790</v>
      </c>
      <c r="O17" s="695" t="e">
        <f t="shared" si="8"/>
        <v>#NAME?</v>
      </c>
      <c r="P17" s="695" t="s">
        <v>736</v>
      </c>
      <c r="Q17" s="695" t="s">
        <v>791</v>
      </c>
      <c r="R17" s="695" t="s">
        <v>792</v>
      </c>
      <c r="S17" s="695" t="s">
        <v>793</v>
      </c>
      <c r="T17" s="695" t="s">
        <v>794</v>
      </c>
      <c r="U17" s="8"/>
      <c r="V17" s="8"/>
      <c r="W17" s="8"/>
      <c r="X17" s="8"/>
      <c r="Y17" s="8"/>
      <c r="Z17" s="8"/>
      <c r="AA17" s="8"/>
      <c r="AB17" s="8"/>
    </row>
    <row r="18" ht="12.75" customHeight="1" spans="1:28" x14ac:dyDescent="0.25">
      <c r="A18" s="688" t="s">
        <v>813</v>
      </c>
      <c r="B18" s="529" t="e">
        <f t="shared" si="3"/>
        <v>#NAME?</v>
      </c>
      <c r="C18" s="688">
        <v>1</v>
      </c>
      <c r="D18" s="8" t="str">
        <f t="shared" si="4"/>
        <v>Wells Fargo &amp; Company</v>
      </c>
      <c r="E18" s="8" t="str">
        <f t="shared" si="5"/>
        <v>IQ292891</v>
      </c>
      <c r="F18" s="483" t="e">
        <f t="shared" si="6"/>
        <v>#NAME?</v>
      </c>
      <c r="G18" s="695"/>
      <c r="H18" s="695"/>
      <c r="I18" s="8" t="e">
        <f t="shared" si="7"/>
        <v>#NAME?</v>
      </c>
      <c r="J18" s="8" t="s">
        <v>814</v>
      </c>
      <c r="K18" s="8" t="s">
        <v>815</v>
      </c>
      <c r="L18" s="8" t="s">
        <v>816</v>
      </c>
      <c r="M18" s="8" t="s">
        <v>817</v>
      </c>
      <c r="N18" s="695" t="s">
        <v>818</v>
      </c>
      <c r="O18" s="695" t="e">
        <f t="shared" si="8"/>
        <v>#NAME?</v>
      </c>
      <c r="P18" s="695" t="s">
        <v>750</v>
      </c>
      <c r="Q18" s="695" t="s">
        <v>819</v>
      </c>
      <c r="R18" s="695" t="s">
        <v>820</v>
      </c>
      <c r="S18" s="695" t="s">
        <v>821</v>
      </c>
      <c r="T18" s="695" t="s">
        <v>822</v>
      </c>
      <c r="U18" s="8"/>
      <c r="V18" s="8"/>
      <c r="W18" s="8"/>
      <c r="X18" s="8"/>
      <c r="Y18" s="8"/>
      <c r="Z18" s="8"/>
      <c r="AA18" s="8"/>
      <c r="AB18" s="8"/>
    </row>
    <row r="19" ht="12.75" customHeight="1" spans="1:28" x14ac:dyDescent="0.25">
      <c r="A19" s="688" t="s">
        <v>823</v>
      </c>
      <c r="B19" s="529" t="e">
        <f t="shared" si="3"/>
        <v>#NAME?</v>
      </c>
      <c r="C19" s="688">
        <v>1</v>
      </c>
      <c r="D19" s="8" t="str">
        <f t="shared" si="4"/>
        <v>Raymond James Financial, Inc.</v>
      </c>
      <c r="E19" s="8" t="str">
        <f t="shared" si="5"/>
        <v>IQ22623</v>
      </c>
      <c r="F19" s="483" t="e">
        <f t="shared" si="6"/>
        <v>#NAME?</v>
      </c>
      <c r="G19" s="695"/>
      <c r="H19" s="695"/>
      <c r="I19" s="8" t="e">
        <f t="shared" si="7"/>
        <v>#NAME?</v>
      </c>
      <c r="J19" s="8" t="s">
        <v>654</v>
      </c>
      <c r="K19" s="8" t="s">
        <v>824</v>
      </c>
      <c r="L19" s="8" t="s">
        <v>825</v>
      </c>
      <c r="M19" s="8" t="s">
        <v>826</v>
      </c>
      <c r="N19" s="695" t="s">
        <v>827</v>
      </c>
      <c r="O19" s="695" t="e">
        <f t="shared" si="8"/>
        <v>#NAME?</v>
      </c>
      <c r="P19" s="695" t="s">
        <v>724</v>
      </c>
      <c r="Q19" s="695" t="s">
        <v>828</v>
      </c>
      <c r="R19" s="695" t="s">
        <v>829</v>
      </c>
      <c r="S19" s="695" t="s">
        <v>830</v>
      </c>
      <c r="T19" s="695" t="s">
        <v>831</v>
      </c>
      <c r="U19" s="8"/>
      <c r="V19" s="8"/>
      <c r="W19" s="8"/>
      <c r="X19" s="8"/>
      <c r="Y19" s="8"/>
      <c r="Z19" s="8"/>
      <c r="AA19" s="8"/>
      <c r="AB19" s="8"/>
    </row>
    <row r="20" ht="12.75" customHeight="1" spans="1:28" x14ac:dyDescent="0.25">
      <c r="A20" s="688" t="s">
        <v>776</v>
      </c>
      <c r="B20" s="529" t="e">
        <f t="shared" si="3"/>
        <v>#NAME?</v>
      </c>
      <c r="C20" s="688">
        <v>1</v>
      </c>
      <c r="D20" s="8" t="str">
        <f t="shared" si="4"/>
        <v>Piper Sandler Companies</v>
      </c>
      <c r="E20" s="8" t="str">
        <f t="shared" si="5"/>
        <v>IQ522608</v>
      </c>
      <c r="F20" s="483" t="e">
        <f t="shared" si="6"/>
        <v>#NAME?</v>
      </c>
      <c r="G20" s="695"/>
      <c r="H20" s="695"/>
      <c r="I20" s="8" t="e">
        <f t="shared" si="7"/>
        <v>#NAME?</v>
      </c>
      <c r="J20" s="8" t="s">
        <v>649</v>
      </c>
      <c r="K20" s="8" t="s">
        <v>777</v>
      </c>
      <c r="L20" s="8" t="s">
        <v>778</v>
      </c>
      <c r="M20" s="8" t="s">
        <v>779</v>
      </c>
      <c r="N20" s="695" t="s">
        <v>780</v>
      </c>
      <c r="O20" s="695" t="e">
        <f t="shared" si="8"/>
        <v>#NAME?</v>
      </c>
      <c r="P20" s="695" t="s">
        <v>781</v>
      </c>
      <c r="Q20" s="695" t="s">
        <v>782</v>
      </c>
      <c r="R20" s="695" t="s">
        <v>783</v>
      </c>
      <c r="S20" s="695" t="s">
        <v>784</v>
      </c>
      <c r="T20" s="695" t="s">
        <v>785</v>
      </c>
      <c r="U20" s="8"/>
      <c r="V20" s="8"/>
      <c r="W20" s="8"/>
      <c r="X20" s="8"/>
      <c r="Y20" s="8"/>
      <c r="Z20" s="8"/>
      <c r="AA20" s="8"/>
      <c r="AB20" s="8"/>
    </row>
    <row r="21" ht="12.75" customHeight="1" spans="1:28" x14ac:dyDescent="0.25">
      <c r="A21" s="688" t="s">
        <v>832</v>
      </c>
      <c r="B21" s="529" t="e">
        <f t="shared" si="3"/>
        <v>#NAME?</v>
      </c>
      <c r="C21" s="688">
        <v>1</v>
      </c>
      <c r="D21" s="8" t="str">
        <f t="shared" si="4"/>
        <v>Jefferies Financial Group Inc.</v>
      </c>
      <c r="E21" s="8" t="str">
        <f t="shared" si="5"/>
        <v>IQ285359</v>
      </c>
      <c r="F21" s="483" t="e">
        <f t="shared" si="6"/>
        <v>#NAME?</v>
      </c>
      <c r="G21" s="695"/>
      <c r="H21" s="695"/>
      <c r="I21" s="8" t="e">
        <f t="shared" si="7"/>
        <v>#NAME?</v>
      </c>
      <c r="J21" s="8" t="s">
        <v>21</v>
      </c>
      <c r="K21" s="8" t="s">
        <v>770</v>
      </c>
      <c r="L21" s="8" t="s">
        <v>833</v>
      </c>
      <c r="M21" s="8"/>
      <c r="N21" s="695"/>
      <c r="O21" s="695" t="e">
        <f t="shared" si="8"/>
        <v>#NAME?</v>
      </c>
      <c r="P21" s="695" t="s">
        <v>718</v>
      </c>
      <c r="Q21" s="695" t="s">
        <v>774</v>
      </c>
      <c r="R21" s="695" t="s">
        <v>834</v>
      </c>
      <c r="S21" s="695"/>
      <c r="T21" s="695"/>
      <c r="U21" s="8"/>
      <c r="V21" s="8"/>
      <c r="W21" s="8"/>
      <c r="X21" s="8"/>
      <c r="Y21" s="8"/>
      <c r="Z21" s="8"/>
      <c r="AA21" s="8"/>
      <c r="AB21" s="8"/>
    </row>
    <row r="22" ht="12.75" customHeight="1" spans="1:28" x14ac:dyDescent="0.25">
      <c r="A22" s="688" t="s">
        <v>786</v>
      </c>
      <c r="B22" s="529" t="e">
        <f t="shared" si="3"/>
        <v>#NAME?</v>
      </c>
      <c r="C22" s="688">
        <v>1</v>
      </c>
      <c r="D22" s="8" t="str">
        <f t="shared" si="4"/>
        <v>Stifel Financial Corp.</v>
      </c>
      <c r="E22" s="8" t="str">
        <f t="shared" si="5"/>
        <v>IQ305275</v>
      </c>
      <c r="F22" s="483" t="e">
        <f t="shared" si="6"/>
        <v>#NAME?</v>
      </c>
      <c r="G22" s="695"/>
      <c r="H22" s="695"/>
      <c r="I22" s="8" t="e">
        <f t="shared" si="7"/>
        <v>#NAME?</v>
      </c>
      <c r="J22" s="8" t="s">
        <v>652</v>
      </c>
      <c r="K22" s="8" t="s">
        <v>787</v>
      </c>
      <c r="L22" s="8" t="s">
        <v>788</v>
      </c>
      <c r="M22" s="8" t="s">
        <v>789</v>
      </c>
      <c r="N22" s="695" t="s">
        <v>790</v>
      </c>
      <c r="O22" s="695" t="e">
        <f t="shared" si="8"/>
        <v>#NAME?</v>
      </c>
      <c r="P22" s="695" t="s">
        <v>736</v>
      </c>
      <c r="Q22" s="695" t="s">
        <v>791</v>
      </c>
      <c r="R22" s="695" t="s">
        <v>792</v>
      </c>
      <c r="S22" s="695" t="s">
        <v>793</v>
      </c>
      <c r="T22" s="695" t="s">
        <v>794</v>
      </c>
      <c r="U22" s="8"/>
      <c r="V22" s="8"/>
      <c r="W22" s="8"/>
      <c r="X22" s="8"/>
      <c r="Y22" s="8"/>
      <c r="Z22" s="8"/>
      <c r="AA22" s="8"/>
      <c r="AB22" s="8"/>
    </row>
    <row r="23" ht="12.75" customHeight="1" spans="1:28" x14ac:dyDescent="0.25">
      <c r="A23" s="688" t="s">
        <v>835</v>
      </c>
      <c r="B23" s="529" t="e">
        <f t="shared" si="3"/>
        <v>#NAME?</v>
      </c>
      <c r="C23" s="688">
        <v>1</v>
      </c>
      <c r="D23" s="8" t="str">
        <f t="shared" si="4"/>
        <v>Moelis &amp; Company</v>
      </c>
      <c r="E23" s="8" t="str">
        <f t="shared" si="5"/>
        <v>IQ260034573</v>
      </c>
      <c r="F23" s="483" t="e">
        <f t="shared" si="6"/>
        <v>#NAME?</v>
      </c>
      <c r="G23" s="695"/>
      <c r="H23" s="695"/>
      <c r="I23" s="8" t="e">
        <f t="shared" si="7"/>
        <v>#NAME?</v>
      </c>
      <c r="J23" s="8" t="s">
        <v>739</v>
      </c>
      <c r="K23" s="8" t="s">
        <v>836</v>
      </c>
      <c r="L23" s="8" t="s">
        <v>837</v>
      </c>
      <c r="M23" s="8" t="s">
        <v>838</v>
      </c>
      <c r="N23" s="695" t="s">
        <v>839</v>
      </c>
      <c r="O23" s="695" t="e">
        <f t="shared" si="8"/>
        <v>#NAME?</v>
      </c>
      <c r="P23" s="695" t="s">
        <v>840</v>
      </c>
      <c r="Q23" s="695" t="s">
        <v>841</v>
      </c>
      <c r="R23" s="695" t="s">
        <v>842</v>
      </c>
      <c r="S23" s="695" t="s">
        <v>843</v>
      </c>
      <c r="T23" s="695" t="s">
        <v>844</v>
      </c>
      <c r="U23" s="8"/>
      <c r="V23" s="8"/>
      <c r="W23" s="8"/>
      <c r="X23" s="8"/>
      <c r="Y23" s="8"/>
      <c r="Z23" s="8"/>
      <c r="AA23" s="8"/>
      <c r="AB23" s="8"/>
    </row>
    <row r="24" ht="12.75" customHeight="1" spans="1:28" x14ac:dyDescent="0.25">
      <c r="A24" s="688" t="s">
        <v>845</v>
      </c>
      <c r="B24" s="529" t="e">
        <f t="shared" si="3"/>
        <v>#NAME?</v>
      </c>
      <c r="C24" s="688">
        <v>1</v>
      </c>
      <c r="D24" s="8" t="str">
        <f t="shared" si="4"/>
        <v>Evercore Inc.</v>
      </c>
      <c r="E24" s="8" t="str">
        <f t="shared" si="5"/>
        <v>IQ524568</v>
      </c>
      <c r="F24" s="483" t="e">
        <f t="shared" si="6"/>
        <v>#NAME?</v>
      </c>
      <c r="G24" s="695"/>
      <c r="H24" s="695"/>
      <c r="I24" s="8" t="e">
        <f t="shared" si="7"/>
        <v>#NAME?</v>
      </c>
      <c r="J24" s="8" t="s">
        <v>746</v>
      </c>
      <c r="K24" s="8" t="s">
        <v>846</v>
      </c>
      <c r="L24" s="8" t="s">
        <v>847</v>
      </c>
      <c r="M24" s="8" t="s">
        <v>848</v>
      </c>
      <c r="N24" s="695" t="s">
        <v>849</v>
      </c>
      <c r="O24" s="695" t="e">
        <f t="shared" si="8"/>
        <v>#NAME?</v>
      </c>
      <c r="P24" s="695" t="s">
        <v>850</v>
      </c>
      <c r="Q24" s="695" t="s">
        <v>851</v>
      </c>
      <c r="R24" s="695" t="s">
        <v>852</v>
      </c>
      <c r="S24" s="695" t="s">
        <v>853</v>
      </c>
      <c r="T24" s="695" t="s">
        <v>854</v>
      </c>
      <c r="U24" s="8"/>
      <c r="V24" s="8"/>
      <c r="W24" s="8"/>
      <c r="X24" s="8"/>
      <c r="Y24" s="8"/>
      <c r="Z24" s="8"/>
      <c r="AA24" s="8"/>
      <c r="AB24" s="8"/>
    </row>
    <row r="25" ht="12.75" customHeight="1" spans="1:28" x14ac:dyDescent="0.25">
      <c r="A25" s="688" t="s">
        <v>855</v>
      </c>
      <c r="B25" s="529" t="e">
        <f t="shared" si="3"/>
        <v>#NAME?</v>
      </c>
      <c r="C25" s="688">
        <v>1</v>
      </c>
      <c r="D25" s="8" t="str">
        <f t="shared" si="4"/>
        <v>Harmonic Inc.</v>
      </c>
      <c r="E25" s="8" t="str">
        <f t="shared" si="5"/>
        <v>IQ29282</v>
      </c>
      <c r="F25" s="483" t="e">
        <f t="shared" si="6"/>
        <v>#NAME?</v>
      </c>
      <c r="G25" s="695"/>
      <c r="H25" s="695"/>
      <c r="I25" s="8" t="e">
        <f t="shared" si="7"/>
        <v>#NAME?</v>
      </c>
      <c r="J25" s="8" t="s">
        <v>856</v>
      </c>
      <c r="K25" s="8" t="s">
        <v>857</v>
      </c>
      <c r="L25" s="8" t="s">
        <v>858</v>
      </c>
      <c r="M25" s="8" t="s">
        <v>859</v>
      </c>
      <c r="N25" s="695" t="s">
        <v>860</v>
      </c>
      <c r="O25" s="695" t="e">
        <f t="shared" si="8"/>
        <v>#NAME?</v>
      </c>
      <c r="P25" s="695" t="s">
        <v>861</v>
      </c>
      <c r="Q25" s="695" t="s">
        <v>862</v>
      </c>
      <c r="R25" s="695" t="s">
        <v>863</v>
      </c>
      <c r="S25" s="695" t="s">
        <v>864</v>
      </c>
      <c r="T25" s="695" t="s">
        <v>865</v>
      </c>
      <c r="U25" s="8"/>
      <c r="V25" s="8"/>
      <c r="W25" s="8"/>
      <c r="X25" s="8"/>
      <c r="Y25" s="8"/>
      <c r="Z25" s="8"/>
      <c r="AA25" s="8"/>
      <c r="AB25" s="8"/>
    </row>
    <row r="26" ht="12.75" customHeight="1" spans="1:28" x14ac:dyDescent="0.25">
      <c r="A26" s="688" t="s">
        <v>866</v>
      </c>
      <c r="B26" s="529" t="e">
        <f t="shared" si="3"/>
        <v>#NAME?</v>
      </c>
      <c r="C26" s="688">
        <v>1</v>
      </c>
      <c r="D26" s="8" t="str">
        <f t="shared" si="4"/>
        <v>NetApp, Inc.</v>
      </c>
      <c r="E26" s="8" t="str">
        <f t="shared" si="5"/>
        <v>IQ32052</v>
      </c>
      <c r="F26" s="483" t="e">
        <f t="shared" si="6"/>
        <v>#NAME?</v>
      </c>
      <c r="G26" s="695"/>
      <c r="H26" s="695"/>
      <c r="I26" s="8" t="e">
        <f t="shared" si="7"/>
        <v>#NAME?</v>
      </c>
      <c r="J26" s="8" t="s">
        <v>867</v>
      </c>
      <c r="K26" s="8" t="s">
        <v>868</v>
      </c>
      <c r="L26" s="8" t="s">
        <v>869</v>
      </c>
      <c r="M26" s="8" t="s">
        <v>870</v>
      </c>
      <c r="N26" s="695" t="s">
        <v>871</v>
      </c>
      <c r="O26" s="695" t="e">
        <f t="shared" si="8"/>
        <v>#NAME?</v>
      </c>
      <c r="P26" s="695" t="s">
        <v>872</v>
      </c>
      <c r="Q26" s="695" t="s">
        <v>873</v>
      </c>
      <c r="R26" s="695" t="s">
        <v>874</v>
      </c>
      <c r="S26" s="695" t="s">
        <v>875</v>
      </c>
      <c r="T26" s="695" t="s">
        <v>876</v>
      </c>
      <c r="U26" s="8"/>
      <c r="V26" s="8"/>
      <c r="W26" s="8"/>
      <c r="X26" s="8"/>
      <c r="Y26" s="8"/>
      <c r="Z26" s="8"/>
      <c r="AA26" s="8"/>
      <c r="AB26" s="8"/>
    </row>
    <row r="27" ht="12.75" customHeight="1" spans="1:28" x14ac:dyDescent="0.25">
      <c r="A27" s="688" t="s">
        <v>877</v>
      </c>
      <c r="B27" s="529" t="e">
        <f t="shared" si="3"/>
        <v>#NAME?</v>
      </c>
      <c r="C27" s="688">
        <v>1</v>
      </c>
      <c r="D27" s="8" t="str">
        <f t="shared" si="4"/>
        <v>Inseego Corp.</v>
      </c>
      <c r="E27" s="8" t="str">
        <f t="shared" si="5"/>
        <v>IQ32261</v>
      </c>
      <c r="F27" s="483" t="e">
        <f t="shared" si="6"/>
        <v>#NAME?</v>
      </c>
      <c r="G27" s="695"/>
      <c r="H27" s="695"/>
      <c r="I27" s="8" t="e">
        <f t="shared" si="7"/>
        <v>#NAME?</v>
      </c>
      <c r="J27" s="8" t="s">
        <v>878</v>
      </c>
      <c r="K27" s="8" t="s">
        <v>879</v>
      </c>
      <c r="L27" s="8" t="s">
        <v>880</v>
      </c>
      <c r="M27" s="8" t="s">
        <v>881</v>
      </c>
      <c r="N27" s="695" t="s">
        <v>882</v>
      </c>
      <c r="O27" s="695" t="e">
        <f t="shared" si="8"/>
        <v>#NAME?</v>
      </c>
      <c r="P27" s="695" t="s">
        <v>883</v>
      </c>
      <c r="Q27" s="695" t="s">
        <v>884</v>
      </c>
      <c r="R27" s="695" t="s">
        <v>885</v>
      </c>
      <c r="S27" s="695" t="s">
        <v>886</v>
      </c>
      <c r="T27" s="695" t="s">
        <v>887</v>
      </c>
      <c r="U27" s="8"/>
      <c r="V27" s="8"/>
      <c r="W27" s="8"/>
      <c r="X27" s="8"/>
      <c r="Y27" s="8"/>
      <c r="Z27" s="8"/>
      <c r="AA27" s="8"/>
      <c r="AB27" s="8"/>
    </row>
    <row r="28" ht="12.75" customHeight="1" spans="1:28" x14ac:dyDescent="0.25">
      <c r="A28" s="688" t="s">
        <v>888</v>
      </c>
      <c r="B28" s="529" t="e">
        <f t="shared" si="3"/>
        <v>#NAME?</v>
      </c>
      <c r="C28" s="688">
        <v>1</v>
      </c>
      <c r="D28" s="8" t="str">
        <f t="shared" si="4"/>
        <v>Intouch Insight Ltd.</v>
      </c>
      <c r="E28" s="8" t="str">
        <f t="shared" si="5"/>
        <v>IQ3160034</v>
      </c>
      <c r="F28" s="483" t="e">
        <f t="shared" si="6"/>
        <v>#NAME?</v>
      </c>
      <c r="G28" s="695"/>
      <c r="H28" s="695"/>
      <c r="I28" s="8" t="e">
        <f t="shared" si="7"/>
        <v>#NAME?</v>
      </c>
      <c r="J28" s="8" t="s">
        <v>889</v>
      </c>
      <c r="K28" s="8" t="s">
        <v>890</v>
      </c>
      <c r="L28" s="8"/>
      <c r="M28" s="8"/>
      <c r="N28" s="695"/>
      <c r="O28" s="695" t="e">
        <f t="shared" si="8"/>
        <v>#NAME?</v>
      </c>
      <c r="P28" s="695" t="s">
        <v>891</v>
      </c>
      <c r="Q28" s="695" t="s">
        <v>892</v>
      </c>
      <c r="R28" s="695"/>
      <c r="S28" s="695"/>
      <c r="T28" s="695"/>
      <c r="U28" s="8"/>
      <c r="V28" s="8"/>
      <c r="W28" s="8"/>
      <c r="X28" s="8"/>
      <c r="Y28" s="8"/>
      <c r="Z28" s="8"/>
      <c r="AA28" s="8"/>
      <c r="AB28" s="8"/>
    </row>
    <row r="29" ht="12.75" customHeight="1" spans="1:28" x14ac:dyDescent="0.25">
      <c r="A29" s="688" t="s">
        <v>893</v>
      </c>
      <c r="B29" s="529" t="e">
        <f t="shared" si="3"/>
        <v>#NAME?</v>
      </c>
      <c r="C29" s="688">
        <v>1</v>
      </c>
      <c r="D29" s="8" t="str">
        <f t="shared" si="4"/>
        <v>Energy Plug Technologies Corp.</v>
      </c>
      <c r="E29" s="8" t="str">
        <f t="shared" si="5"/>
        <v>IQ282167789</v>
      </c>
      <c r="F29" s="483" t="e">
        <f t="shared" si="6"/>
        <v>#NAME?</v>
      </c>
      <c r="G29" s="695"/>
      <c r="H29" s="695"/>
      <c r="I29" s="8" t="e">
        <f t="shared" si="7"/>
        <v>#NAME?</v>
      </c>
      <c r="J29" s="8" t="s">
        <v>894</v>
      </c>
      <c r="K29" s="8"/>
      <c r="L29" s="8"/>
      <c r="M29" s="8"/>
      <c r="N29" s="695"/>
      <c r="O29" s="695" t="e">
        <f t="shared" si="8"/>
        <v>#NAME?</v>
      </c>
      <c r="P29" s="695" t="s">
        <v>895</v>
      </c>
      <c r="Q29" s="695"/>
      <c r="R29" s="695"/>
      <c r="S29" s="695"/>
      <c r="T29" s="695"/>
      <c r="U29" s="8"/>
      <c r="V29" s="8"/>
      <c r="W29" s="8"/>
      <c r="X29" s="8"/>
      <c r="Y29" s="8"/>
      <c r="Z29" s="8"/>
      <c r="AA29" s="8"/>
      <c r="AB29" s="8"/>
    </row>
    <row r="30" ht="12.75" customHeight="1" spans="1:28" x14ac:dyDescent="0.25">
      <c r="A30" s="8"/>
      <c r="B30" s="8"/>
      <c r="C30" s="8"/>
      <c r="D30" s="8"/>
      <c r="E30" s="8"/>
      <c r="F30" s="8"/>
      <c r="G30" s="695"/>
      <c r="H30" s="695"/>
      <c r="I30" s="695"/>
      <c r="J30" s="695"/>
      <c r="K30" s="695"/>
      <c r="L30" s="695"/>
      <c r="M30" s="695"/>
      <c r="N30" s="695"/>
      <c r="O30" s="695"/>
      <c r="P30" s="695"/>
      <c r="Q30" s="695"/>
      <c r="R30" s="695"/>
      <c r="S30" s="695"/>
      <c r="T30" s="8"/>
      <c r="U30" s="8"/>
      <c r="V30" s="8"/>
      <c r="W30" s="8"/>
      <c r="X30" s="8"/>
      <c r="Y30" s="8"/>
      <c r="Z30" s="8"/>
      <c r="AA30" s="8"/>
      <c r="AB30" s="8"/>
    </row>
    <row r="31" ht="12.75" customHeight="1" spans="1:28" x14ac:dyDescent="0.25">
      <c r="A31" s="8"/>
      <c r="B31" s="8"/>
      <c r="C31" s="8"/>
      <c r="D31" s="8"/>
      <c r="E31" s="8"/>
      <c r="F31" s="8"/>
      <c r="G31" s="695"/>
      <c r="H31" s="695"/>
      <c r="I31" s="695"/>
      <c r="J31" s="695"/>
      <c r="K31" s="695"/>
      <c r="L31" s="695"/>
      <c r="M31" s="695"/>
      <c r="N31" s="695"/>
      <c r="O31" s="695"/>
      <c r="P31" s="695"/>
      <c r="Q31" s="695"/>
      <c r="R31" s="695"/>
      <c r="S31" s="695"/>
      <c r="T31" s="8"/>
      <c r="U31" s="8"/>
      <c r="V31" s="8"/>
      <c r="W31" s="8"/>
      <c r="X31" s="8"/>
      <c r="Y31" s="8"/>
      <c r="Z31" s="8"/>
      <c r="AA31" s="8"/>
      <c r="AB31" s="8"/>
    </row>
    <row r="32" ht="12.75" customHeight="1" spans="1:28" x14ac:dyDescent="0.25">
      <c r="A32" s="8"/>
      <c r="B32" s="8"/>
      <c r="C32" s="8"/>
      <c r="D32" s="8"/>
      <c r="E32" s="8"/>
      <c r="F32" s="8"/>
      <c r="G32" s="695"/>
      <c r="H32" s="695"/>
      <c r="I32" s="695"/>
      <c r="J32" s="695"/>
      <c r="K32" s="695"/>
      <c r="L32" s="695"/>
      <c r="M32" s="695"/>
      <c r="N32" s="695"/>
      <c r="O32" s="695"/>
      <c r="P32" s="695"/>
      <c r="Q32" s="695"/>
      <c r="R32" s="695"/>
      <c r="S32" s="695"/>
      <c r="T32" s="8"/>
      <c r="U32" s="8"/>
      <c r="V32" s="8"/>
      <c r="W32" s="8"/>
      <c r="X32" s="8"/>
      <c r="Y32" s="8"/>
      <c r="Z32" s="8"/>
      <c r="AA32" s="8"/>
      <c r="AB32" s="8"/>
    </row>
    <row r="33" ht="12.75" customHeight="1" spans="1:28" x14ac:dyDescent="0.25">
      <c r="A33" s="8"/>
      <c r="B33" s="8"/>
      <c r="C33" s="8"/>
      <c r="D33" s="8"/>
      <c r="E33" s="8"/>
      <c r="F33" s="8"/>
      <c r="G33" s="695"/>
      <c r="H33" s="695"/>
      <c r="I33" s="695"/>
      <c r="J33" s="695"/>
      <c r="K33" s="695"/>
      <c r="L33" s="695"/>
      <c r="M33" s="695"/>
      <c r="N33" s="695"/>
      <c r="O33" s="695"/>
      <c r="P33" s="695"/>
      <c r="Q33" s="695"/>
      <c r="R33" s="695"/>
      <c r="S33" s="695"/>
      <c r="T33" s="8"/>
      <c r="U33" s="8"/>
      <c r="V33" s="8"/>
      <c r="W33" s="8"/>
      <c r="X33" s="8"/>
      <c r="Y33" s="8"/>
      <c r="Z33" s="8"/>
      <c r="AA33" s="8"/>
      <c r="AB33" s="8"/>
    </row>
    <row r="34" ht="12.75" customHeight="1" spans="1:28" x14ac:dyDescent="0.25">
      <c r="A34" s="8"/>
      <c r="B34" s="8"/>
      <c r="C34" s="8"/>
      <c r="D34" s="8"/>
      <c r="E34" s="8"/>
      <c r="F34" s="8"/>
      <c r="G34" s="695"/>
      <c r="H34" s="695"/>
      <c r="I34" s="695"/>
      <c r="J34" s="695"/>
      <c r="K34" s="695"/>
      <c r="L34" s="695"/>
      <c r="M34" s="695"/>
      <c r="N34" s="695"/>
      <c r="O34" s="695"/>
      <c r="P34" s="695"/>
      <c r="Q34" s="695"/>
      <c r="R34" s="695"/>
      <c r="S34" s="695"/>
      <c r="T34" s="8"/>
      <c r="U34" s="8"/>
      <c r="V34" s="8"/>
      <c r="W34" s="8"/>
      <c r="X34" s="8"/>
      <c r="Y34" s="8"/>
      <c r="Z34" s="8"/>
      <c r="AA34" s="8"/>
      <c r="AB34" s="8"/>
    </row>
    <row r="35" ht="12.75" customHeight="1" spans="1:28" x14ac:dyDescent="0.25">
      <c r="A35" s="8"/>
      <c r="B35" s="8"/>
      <c r="C35" s="8"/>
      <c r="D35" s="8"/>
      <c r="E35" s="8"/>
      <c r="F35" s="8"/>
      <c r="G35" s="695"/>
      <c r="H35" s="695"/>
      <c r="I35" s="695"/>
      <c r="J35" s="695"/>
      <c r="K35" s="695"/>
      <c r="L35" s="695"/>
      <c r="M35" s="695"/>
      <c r="N35" s="695"/>
      <c r="O35" s="695"/>
      <c r="P35" s="695"/>
      <c r="Q35" s="695"/>
      <c r="R35" s="695"/>
      <c r="S35" s="695"/>
      <c r="T35" s="8"/>
      <c r="U35" s="8"/>
      <c r="V35" s="8"/>
      <c r="W35" s="8"/>
      <c r="X35" s="8"/>
      <c r="Y35" s="8"/>
      <c r="Z35" s="8"/>
      <c r="AA35" s="8"/>
      <c r="AB35" s="8"/>
    </row>
    <row r="36" ht="12.75" customHeight="1" spans="1:28" x14ac:dyDescent="0.25">
      <c r="A36" s="8"/>
      <c r="B36" s="8"/>
      <c r="C36" s="8"/>
      <c r="D36" s="8"/>
      <c r="E36" s="8"/>
      <c r="F36" s="8"/>
      <c r="G36" s="695"/>
      <c r="H36" s="695"/>
      <c r="I36" s="695"/>
      <c r="J36" s="695"/>
      <c r="K36" s="695"/>
      <c r="L36" s="695"/>
      <c r="M36" s="695"/>
      <c r="N36" s="695"/>
      <c r="O36" s="695"/>
      <c r="P36" s="695"/>
      <c r="Q36" s="695"/>
      <c r="R36" s="695"/>
      <c r="S36" s="695"/>
      <c r="T36" s="8"/>
      <c r="U36" s="8"/>
      <c r="V36" s="8"/>
      <c r="W36" s="8"/>
      <c r="X36" s="8"/>
      <c r="Y36" s="8"/>
      <c r="Z36" s="8"/>
      <c r="AA36" s="8"/>
      <c r="AB36" s="8"/>
    </row>
    <row r="37" ht="12.75" customHeight="1" spans="1:28" x14ac:dyDescent="0.25">
      <c r="A37" s="8"/>
      <c r="B37" s="8"/>
      <c r="C37" s="8"/>
      <c r="D37" s="8"/>
      <c r="E37" s="8"/>
      <c r="F37" s="8"/>
      <c r="G37" s="695"/>
      <c r="H37" s="695"/>
      <c r="I37" s="695"/>
      <c r="J37" s="695"/>
      <c r="K37" s="695"/>
      <c r="L37" s="695"/>
      <c r="M37" s="695"/>
      <c r="N37" s="695"/>
      <c r="O37" s="695"/>
      <c r="P37" s="695"/>
      <c r="Q37" s="695"/>
      <c r="R37" s="695"/>
      <c r="S37" s="695"/>
      <c r="T37" s="8"/>
      <c r="U37" s="8"/>
      <c r="V37" s="8"/>
      <c r="W37" s="8"/>
      <c r="X37" s="8"/>
      <c r="Y37" s="8"/>
      <c r="Z37" s="8"/>
      <c r="AA37" s="8"/>
      <c r="AB37" s="8"/>
    </row>
    <row r="38" ht="12.75" customHeight="1" spans="1:28" x14ac:dyDescent="0.25">
      <c r="A38" s="8"/>
      <c r="B38" s="8"/>
      <c r="C38" s="8"/>
      <c r="D38" s="8"/>
      <c r="E38" s="8"/>
      <c r="F38" s="8"/>
      <c r="G38" s="695"/>
      <c r="H38" s="695"/>
      <c r="I38" s="695"/>
      <c r="J38" s="695"/>
      <c r="K38" s="695"/>
      <c r="L38" s="695"/>
      <c r="M38" s="695"/>
      <c r="N38" s="695"/>
      <c r="O38" s="695"/>
      <c r="P38" s="695"/>
      <c r="Q38" s="695"/>
      <c r="R38" s="695"/>
      <c r="S38" s="695"/>
      <c r="T38" s="8"/>
      <c r="U38" s="8"/>
      <c r="V38" s="8"/>
      <c r="W38" s="8"/>
      <c r="X38" s="8"/>
      <c r="Y38" s="8"/>
      <c r="Z38" s="8"/>
      <c r="AA38" s="8"/>
      <c r="AB38" s="8"/>
    </row>
    <row r="39" ht="12.75" customHeight="1" spans="1:28" x14ac:dyDescent="0.25">
      <c r="A39" s="8"/>
      <c r="B39" s="8"/>
      <c r="C39" s="8"/>
      <c r="D39" s="8"/>
      <c r="E39" s="8"/>
      <c r="F39" s="8"/>
      <c r="G39" s="695"/>
      <c r="H39" s="695"/>
      <c r="I39" s="695"/>
      <c r="J39" s="695"/>
      <c r="K39" s="695"/>
      <c r="L39" s="695"/>
      <c r="M39" s="695"/>
      <c r="N39" s="695"/>
      <c r="O39" s="695"/>
      <c r="P39" s="695"/>
      <c r="Q39" s="695"/>
      <c r="R39" s="695"/>
      <c r="S39" s="695"/>
      <c r="T39" s="8"/>
      <c r="U39" s="8"/>
      <c r="V39" s="8"/>
      <c r="W39" s="8"/>
      <c r="X39" s="8"/>
      <c r="Y39" s="8"/>
      <c r="Z39" s="8"/>
      <c r="AA39" s="8"/>
      <c r="AB39" s="8"/>
    </row>
    <row r="40" ht="12.75" customHeight="1" spans="1:28" x14ac:dyDescent="0.25">
      <c r="A40" s="8"/>
      <c r="B40" s="8"/>
      <c r="C40" s="8"/>
      <c r="D40" s="8"/>
      <c r="E40" s="8"/>
      <c r="F40" s="8"/>
      <c r="G40" s="695"/>
      <c r="H40" s="695"/>
      <c r="I40" s="695"/>
      <c r="J40" s="695"/>
      <c r="K40" s="695"/>
      <c r="L40" s="695"/>
      <c r="M40" s="695"/>
      <c r="N40" s="695"/>
      <c r="O40" s="695"/>
      <c r="P40" s="695"/>
      <c r="Q40" s="695"/>
      <c r="R40" s="695"/>
      <c r="S40" s="695"/>
      <c r="T40" s="8"/>
      <c r="U40" s="8"/>
      <c r="V40" s="8"/>
      <c r="W40" s="8"/>
      <c r="X40" s="8"/>
      <c r="Y40" s="8"/>
      <c r="Z40" s="8"/>
      <c r="AA40" s="8"/>
      <c r="AB40" s="8"/>
    </row>
    <row r="41" ht="12.75" customHeight="1" spans="1:28" x14ac:dyDescent="0.25">
      <c r="A41" s="8"/>
      <c r="B41" s="8"/>
      <c r="C41" s="8"/>
      <c r="D41" s="8"/>
      <c r="E41" s="8"/>
      <c r="F41" s="8"/>
      <c r="G41" s="695"/>
      <c r="H41" s="695"/>
      <c r="I41" s="695"/>
      <c r="J41" s="695"/>
      <c r="K41" s="695"/>
      <c r="L41" s="695"/>
      <c r="M41" s="695"/>
      <c r="N41" s="695"/>
      <c r="O41" s="695"/>
      <c r="P41" s="695"/>
      <c r="Q41" s="695"/>
      <c r="R41" s="695"/>
      <c r="S41" s="695"/>
      <c r="T41" s="8"/>
      <c r="U41" s="8"/>
      <c r="V41" s="8"/>
      <c r="W41" s="8"/>
      <c r="X41" s="8"/>
      <c r="Y41" s="8"/>
      <c r="Z41" s="8"/>
      <c r="AA41" s="8"/>
      <c r="AB41" s="8"/>
    </row>
    <row r="42" ht="12.75" customHeight="1" spans="1:28" x14ac:dyDescent="0.25">
      <c r="A42" s="8"/>
      <c r="B42" s="8"/>
      <c r="C42" s="8"/>
      <c r="D42" s="8"/>
      <c r="E42" s="8"/>
      <c r="F42" s="8"/>
      <c r="G42" s="695"/>
      <c r="H42" s="695"/>
      <c r="I42" s="695"/>
      <c r="J42" s="695"/>
      <c r="K42" s="695"/>
      <c r="L42" s="695"/>
      <c r="M42" s="695"/>
      <c r="N42" s="695"/>
      <c r="O42" s="695"/>
      <c r="P42" s="695"/>
      <c r="Q42" s="695"/>
      <c r="R42" s="695"/>
      <c r="S42" s="695"/>
      <c r="T42" s="8"/>
      <c r="U42" s="8"/>
      <c r="V42" s="8"/>
      <c r="W42" s="8"/>
      <c r="X42" s="8"/>
      <c r="Y42" s="8"/>
      <c r="Z42" s="8"/>
      <c r="AA42" s="8"/>
      <c r="AB42" s="8"/>
    </row>
    <row r="43" ht="12.75" customHeight="1" spans="1:28" x14ac:dyDescent="0.25">
      <c r="A43" s="8"/>
      <c r="B43" s="8"/>
      <c r="C43" s="8"/>
      <c r="D43" s="8"/>
      <c r="E43" s="8"/>
      <c r="F43" s="8"/>
      <c r="G43" s="695"/>
      <c r="H43" s="695"/>
      <c r="I43" s="695"/>
      <c r="J43" s="695"/>
      <c r="K43" s="695"/>
      <c r="L43" s="695"/>
      <c r="M43" s="695"/>
      <c r="N43" s="695"/>
      <c r="O43" s="695"/>
      <c r="P43" s="695"/>
      <c r="Q43" s="695"/>
      <c r="R43" s="695"/>
      <c r="S43" s="695"/>
      <c r="T43" s="8"/>
      <c r="U43" s="8"/>
      <c r="V43" s="8"/>
      <c r="W43" s="8"/>
      <c r="X43" s="8"/>
      <c r="Y43" s="8"/>
      <c r="Z43" s="8"/>
      <c r="AA43" s="8"/>
      <c r="AB43" s="8"/>
    </row>
    <row r="44" ht="12.75" customHeight="1" spans="1:28" x14ac:dyDescent="0.25">
      <c r="A44" s="8"/>
      <c r="B44" s="8"/>
      <c r="C44" s="8"/>
      <c r="D44" s="8"/>
      <c r="E44" s="8"/>
      <c r="F44" s="8"/>
      <c r="G44" s="695"/>
      <c r="H44" s="695"/>
      <c r="I44" s="695"/>
      <c r="J44" s="695"/>
      <c r="K44" s="695"/>
      <c r="L44" s="695"/>
      <c r="M44" s="695"/>
      <c r="N44" s="695"/>
      <c r="O44" s="695"/>
      <c r="P44" s="695"/>
      <c r="Q44" s="695"/>
      <c r="R44" s="695"/>
      <c r="S44" s="695"/>
      <c r="T44" s="8"/>
      <c r="U44" s="8"/>
      <c r="V44" s="8"/>
      <c r="W44" s="8"/>
      <c r="X44" s="8"/>
      <c r="Y44" s="8"/>
      <c r="Z44" s="8"/>
      <c r="AA44" s="8"/>
      <c r="AB44" s="8"/>
    </row>
    <row r="45" ht="12.75" customHeight="1" spans="1:28" x14ac:dyDescent="0.25">
      <c r="A45" s="8"/>
      <c r="B45" s="8"/>
      <c r="C45" s="8"/>
      <c r="D45" s="8"/>
      <c r="E45" s="8"/>
      <c r="F45" s="8"/>
      <c r="G45" s="695"/>
      <c r="H45" s="695"/>
      <c r="I45" s="695"/>
      <c r="J45" s="695"/>
      <c r="K45" s="695"/>
      <c r="L45" s="695"/>
      <c r="M45" s="695"/>
      <c r="N45" s="695"/>
      <c r="O45" s="695"/>
      <c r="P45" s="695"/>
      <c r="Q45" s="695"/>
      <c r="R45" s="695"/>
      <c r="S45" s="695"/>
      <c r="T45" s="8"/>
      <c r="U45" s="8"/>
      <c r="V45" s="8"/>
      <c r="W45" s="8"/>
      <c r="X45" s="8"/>
      <c r="Y45" s="8"/>
      <c r="Z45" s="8"/>
      <c r="AA45" s="8"/>
      <c r="AB45" s="8"/>
    </row>
    <row r="46" ht="12.75" customHeight="1" spans="1:28" x14ac:dyDescent="0.25">
      <c r="A46" s="8"/>
      <c r="B46" s="8"/>
      <c r="C46" s="8"/>
      <c r="D46" s="8"/>
      <c r="E46" s="8"/>
      <c r="F46" s="8"/>
      <c r="G46" s="695"/>
      <c r="H46" s="695"/>
      <c r="I46" s="695"/>
      <c r="J46" s="695"/>
      <c r="K46" s="695"/>
      <c r="L46" s="695"/>
      <c r="M46" s="695"/>
      <c r="N46" s="695"/>
      <c r="O46" s="695"/>
      <c r="P46" s="695"/>
      <c r="Q46" s="695"/>
      <c r="R46" s="695"/>
      <c r="S46" s="695"/>
      <c r="T46" s="8"/>
      <c r="U46" s="8"/>
      <c r="V46" s="8"/>
      <c r="W46" s="8"/>
      <c r="X46" s="8"/>
      <c r="Y46" s="8"/>
      <c r="Z46" s="8"/>
      <c r="AA46" s="8"/>
      <c r="AB46" s="8"/>
    </row>
    <row r="47" ht="12.75" customHeight="1" spans="1:28" x14ac:dyDescent="0.25">
      <c r="A47" s="8"/>
      <c r="B47" s="8"/>
      <c r="C47" s="8"/>
      <c r="D47" s="8"/>
      <c r="E47" s="8"/>
      <c r="F47" s="8"/>
      <c r="G47" s="695"/>
      <c r="H47" s="695"/>
      <c r="I47" s="695"/>
      <c r="J47" s="695"/>
      <c r="K47" s="695"/>
      <c r="L47" s="695"/>
      <c r="M47" s="695"/>
      <c r="N47" s="695"/>
      <c r="O47" s="695"/>
      <c r="P47" s="695"/>
      <c r="Q47" s="695"/>
      <c r="R47" s="695"/>
      <c r="S47" s="695"/>
      <c r="T47" s="8"/>
      <c r="U47" s="8"/>
      <c r="V47" s="8"/>
      <c r="W47" s="8"/>
      <c r="X47" s="8"/>
      <c r="Y47" s="8"/>
      <c r="Z47" s="8"/>
      <c r="AA47" s="8"/>
      <c r="AB47" s="8"/>
    </row>
    <row r="48" ht="12.75" customHeight="1" spans="1:28" x14ac:dyDescent="0.25">
      <c r="A48" s="8"/>
      <c r="B48" s="8"/>
      <c r="C48" s="8"/>
      <c r="D48" s="8"/>
      <c r="E48" s="8"/>
      <c r="F48" s="8"/>
      <c r="G48" s="695"/>
      <c r="H48" s="695"/>
      <c r="I48" s="695"/>
      <c r="J48" s="695"/>
      <c r="K48" s="695"/>
      <c r="L48" s="695"/>
      <c r="M48" s="695"/>
      <c r="N48" s="695"/>
      <c r="O48" s="695"/>
      <c r="P48" s="695"/>
      <c r="Q48" s="695"/>
      <c r="R48" s="695"/>
      <c r="S48" s="695"/>
      <c r="T48" s="8"/>
      <c r="U48" s="8"/>
      <c r="V48" s="8"/>
      <c r="W48" s="8"/>
      <c r="X48" s="8"/>
      <c r="Y48" s="8"/>
      <c r="Z48" s="8"/>
      <c r="AA48" s="8"/>
      <c r="AB48" s="8"/>
    </row>
    <row r="49" ht="12.75" customHeight="1" spans="1:28" x14ac:dyDescent="0.25">
      <c r="A49" s="8"/>
      <c r="B49" s="8"/>
      <c r="C49" s="8"/>
      <c r="D49" s="8"/>
      <c r="E49" s="8"/>
      <c r="F49" s="8"/>
      <c r="G49" s="695"/>
      <c r="H49" s="695"/>
      <c r="I49" s="695"/>
      <c r="J49" s="695"/>
      <c r="K49" s="695"/>
      <c r="L49" s="695"/>
      <c r="M49" s="695"/>
      <c r="N49" s="695"/>
      <c r="O49" s="695"/>
      <c r="P49" s="695"/>
      <c r="Q49" s="695"/>
      <c r="R49" s="695"/>
      <c r="S49" s="695"/>
      <c r="T49" s="8"/>
      <c r="U49" s="8"/>
      <c r="V49" s="8"/>
      <c r="W49" s="8"/>
      <c r="X49" s="8"/>
      <c r="Y49" s="8"/>
      <c r="Z49" s="8"/>
      <c r="AA49" s="8"/>
      <c r="AB49" s="8"/>
    </row>
    <row r="50" ht="12.75" customHeight="1" spans="1:28" x14ac:dyDescent="0.25">
      <c r="A50" s="8"/>
      <c r="B50" s="8"/>
      <c r="C50" s="8"/>
      <c r="D50" s="8"/>
      <c r="E50" s="8"/>
      <c r="F50" s="8"/>
      <c r="G50" s="695"/>
      <c r="H50" s="695"/>
      <c r="I50" s="695"/>
      <c r="J50" s="695"/>
      <c r="K50" s="695"/>
      <c r="L50" s="695"/>
      <c r="M50" s="695"/>
      <c r="N50" s="695"/>
      <c r="O50" s="695"/>
      <c r="P50" s="695"/>
      <c r="Q50" s="695"/>
      <c r="R50" s="695"/>
      <c r="S50" s="695"/>
      <c r="T50" s="8"/>
      <c r="U50" s="8"/>
      <c r="V50" s="8"/>
      <c r="W50" s="8"/>
      <c r="X50" s="8"/>
      <c r="Y50" s="8"/>
      <c r="Z50" s="8"/>
      <c r="AA50" s="8"/>
      <c r="AB50" s="8"/>
    </row>
    <row r="51" ht="12.75" customHeight="1" spans="1:28" x14ac:dyDescent="0.25">
      <c r="A51" s="8"/>
      <c r="B51" s="8"/>
      <c r="C51" s="8"/>
      <c r="D51" s="8"/>
      <c r="E51" s="8"/>
      <c r="F51" s="8"/>
      <c r="G51" s="695"/>
      <c r="H51" s="695"/>
      <c r="I51" s="695"/>
      <c r="J51" s="695"/>
      <c r="K51" s="695"/>
      <c r="L51" s="695"/>
      <c r="M51" s="695"/>
      <c r="N51" s="695"/>
      <c r="O51" s="695"/>
      <c r="P51" s="695"/>
      <c r="Q51" s="695"/>
      <c r="R51" s="695"/>
      <c r="S51" s="695"/>
      <c r="T51" s="8"/>
      <c r="U51" s="8"/>
      <c r="V51" s="8"/>
      <c r="W51" s="8"/>
      <c r="X51" s="8"/>
      <c r="Y51" s="8"/>
      <c r="Z51" s="8"/>
      <c r="AA51" s="8"/>
      <c r="AB51" s="8"/>
    </row>
    <row r="52" ht="12.75" customHeight="1" spans="1:28" x14ac:dyDescent="0.25">
      <c r="A52" s="8"/>
      <c r="B52" s="8"/>
      <c r="C52" s="8"/>
      <c r="D52" s="8"/>
      <c r="E52" s="8"/>
      <c r="F52" s="8"/>
      <c r="G52" s="695"/>
      <c r="H52" s="695"/>
      <c r="I52" s="695"/>
      <c r="J52" s="695"/>
      <c r="K52" s="695"/>
      <c r="L52" s="695"/>
      <c r="M52" s="695"/>
      <c r="N52" s="695"/>
      <c r="O52" s="695"/>
      <c r="P52" s="695"/>
      <c r="Q52" s="695"/>
      <c r="R52" s="695"/>
      <c r="S52" s="695"/>
      <c r="T52" s="8"/>
      <c r="U52" s="8"/>
      <c r="V52" s="8"/>
      <c r="W52" s="8"/>
      <c r="X52" s="8"/>
      <c r="Y52" s="8"/>
      <c r="Z52" s="8"/>
      <c r="AA52" s="8"/>
      <c r="AB52" s="8"/>
    </row>
    <row r="53" ht="12.75" customHeight="1" spans="1:28" x14ac:dyDescent="0.25">
      <c r="A53" s="8"/>
      <c r="B53" s="8"/>
      <c r="C53" s="8"/>
      <c r="D53" s="8"/>
      <c r="E53" s="8"/>
      <c r="F53" s="8"/>
      <c r="G53" s="695"/>
      <c r="H53" s="695"/>
      <c r="I53" s="695"/>
      <c r="J53" s="695"/>
      <c r="K53" s="695"/>
      <c r="L53" s="695"/>
      <c r="M53" s="695"/>
      <c r="N53" s="695"/>
      <c r="O53" s="695"/>
      <c r="P53" s="695"/>
      <c r="Q53" s="695"/>
      <c r="R53" s="695"/>
      <c r="S53" s="695"/>
      <c r="T53" s="8"/>
      <c r="U53" s="8"/>
      <c r="V53" s="8"/>
      <c r="W53" s="8"/>
      <c r="X53" s="8"/>
      <c r="Y53" s="8"/>
      <c r="Z53" s="8"/>
      <c r="AA53" s="8"/>
      <c r="AB53" s="8"/>
    </row>
    <row r="54" ht="12.75" customHeight="1" spans="1:28" x14ac:dyDescent="0.25">
      <c r="A54" s="8"/>
      <c r="B54" s="8"/>
      <c r="C54" s="8"/>
      <c r="D54" s="8"/>
      <c r="E54" s="8"/>
      <c r="F54" s="8"/>
      <c r="G54" s="695"/>
      <c r="H54" s="695"/>
      <c r="I54" s="695"/>
      <c r="J54" s="695"/>
      <c r="K54" s="695"/>
      <c r="L54" s="695"/>
      <c r="M54" s="695"/>
      <c r="N54" s="695"/>
      <c r="O54" s="695"/>
      <c r="P54" s="695"/>
      <c r="Q54" s="695"/>
      <c r="R54" s="695"/>
      <c r="S54" s="695"/>
      <c r="T54" s="8"/>
      <c r="U54" s="8"/>
      <c r="V54" s="8"/>
      <c r="W54" s="8"/>
      <c r="X54" s="8"/>
      <c r="Y54" s="8"/>
      <c r="Z54" s="8"/>
      <c r="AA54" s="8"/>
      <c r="AB54" s="8"/>
    </row>
    <row r="55" ht="12.75" customHeight="1" spans="1:28" x14ac:dyDescent="0.25">
      <c r="A55" s="8"/>
      <c r="B55" s="8"/>
      <c r="C55" s="8"/>
      <c r="D55" s="8"/>
      <c r="E55" s="8"/>
      <c r="F55" s="8"/>
      <c r="G55" s="695"/>
      <c r="H55" s="695"/>
      <c r="I55" s="695"/>
      <c r="J55" s="695"/>
      <c r="K55" s="695"/>
      <c r="L55" s="695"/>
      <c r="M55" s="695"/>
      <c r="N55" s="695"/>
      <c r="O55" s="695"/>
      <c r="P55" s="695"/>
      <c r="Q55" s="695"/>
      <c r="R55" s="695"/>
      <c r="S55" s="695"/>
      <c r="T55" s="8"/>
      <c r="U55" s="8"/>
      <c r="V55" s="8"/>
      <c r="W55" s="8"/>
      <c r="X55" s="8"/>
      <c r="Y55" s="8"/>
      <c r="Z55" s="8"/>
      <c r="AA55" s="8"/>
      <c r="AB55" s="8"/>
    </row>
    <row r="56" ht="12.75" customHeight="1" spans="1:28" x14ac:dyDescent="0.25">
      <c r="A56" s="8"/>
      <c r="B56" s="8"/>
      <c r="C56" s="8"/>
      <c r="D56" s="8"/>
      <c r="E56" s="8"/>
      <c r="F56" s="8"/>
      <c r="G56" s="695"/>
      <c r="H56" s="695"/>
      <c r="I56" s="695"/>
      <c r="J56" s="695"/>
      <c r="K56" s="695"/>
      <c r="L56" s="695"/>
      <c r="M56" s="695"/>
      <c r="N56" s="695"/>
      <c r="O56" s="695"/>
      <c r="P56" s="695"/>
      <c r="Q56" s="695"/>
      <c r="R56" s="695"/>
      <c r="S56" s="695"/>
      <c r="T56" s="8"/>
      <c r="U56" s="8"/>
      <c r="V56" s="8"/>
      <c r="W56" s="8"/>
      <c r="X56" s="8"/>
      <c r="Y56" s="8"/>
      <c r="Z56" s="8"/>
      <c r="AA56" s="8"/>
      <c r="AB56" s="8"/>
    </row>
    <row r="57" ht="12.75" customHeight="1" spans="1:28" x14ac:dyDescent="0.25">
      <c r="A57" s="8"/>
      <c r="B57" s="8"/>
      <c r="C57" s="8"/>
      <c r="D57" s="8"/>
      <c r="E57" s="8"/>
      <c r="F57" s="8"/>
      <c r="G57" s="695"/>
      <c r="H57" s="695"/>
      <c r="I57" s="695"/>
      <c r="J57" s="695"/>
      <c r="K57" s="695"/>
      <c r="L57" s="695"/>
      <c r="M57" s="695"/>
      <c r="N57" s="695"/>
      <c r="O57" s="695"/>
      <c r="P57" s="695"/>
      <c r="Q57" s="695"/>
      <c r="R57" s="695"/>
      <c r="S57" s="695"/>
      <c r="T57" s="8"/>
      <c r="U57" s="8"/>
      <c r="V57" s="8"/>
      <c r="W57" s="8"/>
      <c r="X57" s="8"/>
      <c r="Y57" s="8"/>
      <c r="Z57" s="8"/>
      <c r="AA57" s="8"/>
      <c r="AB57" s="8"/>
    </row>
    <row r="58" ht="12.75" customHeight="1" spans="1:28" x14ac:dyDescent="0.25">
      <c r="A58" s="8"/>
      <c r="B58" s="8"/>
      <c r="C58" s="8"/>
      <c r="D58" s="8"/>
      <c r="E58" s="8"/>
      <c r="F58" s="8"/>
      <c r="G58" s="695"/>
      <c r="H58" s="695"/>
      <c r="I58" s="695"/>
      <c r="J58" s="695"/>
      <c r="K58" s="695"/>
      <c r="L58" s="695"/>
      <c r="M58" s="695"/>
      <c r="N58" s="695"/>
      <c r="O58" s="695"/>
      <c r="P58" s="695"/>
      <c r="Q58" s="695"/>
      <c r="R58" s="695"/>
      <c r="S58" s="695"/>
      <c r="T58" s="8"/>
      <c r="U58" s="8"/>
      <c r="V58" s="8"/>
      <c r="W58" s="8"/>
      <c r="X58" s="8"/>
      <c r="Y58" s="8"/>
      <c r="Z58" s="8"/>
      <c r="AA58" s="8"/>
      <c r="AB58" s="8"/>
    </row>
    <row r="59" ht="12.75" customHeight="1" spans="1:28" x14ac:dyDescent="0.25">
      <c r="A59" s="8"/>
      <c r="B59" s="8"/>
      <c r="C59" s="8"/>
      <c r="D59" s="8"/>
      <c r="E59" s="8"/>
      <c r="F59" s="8"/>
      <c r="G59" s="695"/>
      <c r="H59" s="695"/>
      <c r="I59" s="695"/>
      <c r="J59" s="695"/>
      <c r="K59" s="695"/>
      <c r="L59" s="695"/>
      <c r="M59" s="695"/>
      <c r="N59" s="695"/>
      <c r="O59" s="695"/>
      <c r="P59" s="695"/>
      <c r="Q59" s="695"/>
      <c r="R59" s="695"/>
      <c r="S59" s="695"/>
      <c r="T59" s="8"/>
      <c r="U59" s="8"/>
      <c r="V59" s="8"/>
      <c r="W59" s="8"/>
      <c r="X59" s="8"/>
      <c r="Y59" s="8"/>
      <c r="Z59" s="8"/>
      <c r="AA59" s="8"/>
      <c r="AB59" s="8"/>
    </row>
    <row r="60" ht="12.75" customHeight="1" spans="1:28" x14ac:dyDescent="0.25">
      <c r="A60" s="8"/>
      <c r="B60" s="8"/>
      <c r="C60" s="8"/>
      <c r="D60" s="8"/>
      <c r="E60" s="8"/>
      <c r="F60" s="8"/>
      <c r="G60" s="695"/>
      <c r="H60" s="695"/>
      <c r="I60" s="695"/>
      <c r="J60" s="695"/>
      <c r="K60" s="695"/>
      <c r="L60" s="695"/>
      <c r="M60" s="695"/>
      <c r="N60" s="695"/>
      <c r="O60" s="695"/>
      <c r="P60" s="695"/>
      <c r="Q60" s="695"/>
      <c r="R60" s="695"/>
      <c r="S60" s="695"/>
      <c r="T60" s="8"/>
      <c r="U60" s="8"/>
      <c r="V60" s="8"/>
      <c r="W60" s="8"/>
      <c r="X60" s="8"/>
      <c r="Y60" s="8"/>
      <c r="Z60" s="8"/>
      <c r="AA60" s="8"/>
      <c r="AB60" s="8"/>
    </row>
    <row r="61" ht="12.75" customHeight="1" spans="1:28" x14ac:dyDescent="0.25">
      <c r="A61" s="8"/>
      <c r="B61" s="8"/>
      <c r="C61" s="8"/>
      <c r="D61" s="8"/>
      <c r="E61" s="8"/>
      <c r="F61" s="8"/>
      <c r="G61" s="695"/>
      <c r="H61" s="695"/>
      <c r="I61" s="695"/>
      <c r="J61" s="695"/>
      <c r="K61" s="695"/>
      <c r="L61" s="695"/>
      <c r="M61" s="695"/>
      <c r="N61" s="695"/>
      <c r="O61" s="695"/>
      <c r="P61" s="695"/>
      <c r="Q61" s="695"/>
      <c r="R61" s="695"/>
      <c r="S61" s="695"/>
      <c r="T61" s="8"/>
      <c r="U61" s="8"/>
      <c r="V61" s="8"/>
      <c r="W61" s="8"/>
      <c r="X61" s="8"/>
      <c r="Y61" s="8"/>
      <c r="Z61" s="8"/>
      <c r="AA61" s="8"/>
      <c r="AB61" s="8"/>
    </row>
    <row r="62" ht="12.75" customHeight="1" spans="1:28" x14ac:dyDescent="0.25">
      <c r="A62" s="8"/>
      <c r="B62" s="8"/>
      <c r="C62" s="8"/>
      <c r="D62" s="8"/>
      <c r="E62" s="8"/>
      <c r="F62" s="8"/>
      <c r="G62" s="695"/>
      <c r="H62" s="695"/>
      <c r="I62" s="695"/>
      <c r="J62" s="695"/>
      <c r="K62" s="695"/>
      <c r="L62" s="695"/>
      <c r="M62" s="695"/>
      <c r="N62" s="695"/>
      <c r="O62" s="695"/>
      <c r="P62" s="695"/>
      <c r="Q62" s="695"/>
      <c r="R62" s="695"/>
      <c r="S62" s="695"/>
      <c r="T62" s="8"/>
      <c r="U62" s="8"/>
      <c r="V62" s="8"/>
      <c r="W62" s="8"/>
      <c r="X62" s="8"/>
      <c r="Y62" s="8"/>
      <c r="Z62" s="8"/>
      <c r="AA62" s="8"/>
      <c r="AB62" s="8"/>
    </row>
    <row r="63" ht="12.75" customHeight="1" spans="1:28" x14ac:dyDescent="0.25">
      <c r="A63" s="8"/>
      <c r="B63" s="8"/>
      <c r="C63" s="8"/>
      <c r="D63" s="8"/>
      <c r="E63" s="8"/>
      <c r="F63" s="8"/>
      <c r="G63" s="695"/>
      <c r="H63" s="695"/>
      <c r="I63" s="695"/>
      <c r="J63" s="695"/>
      <c r="K63" s="695"/>
      <c r="L63" s="695"/>
      <c r="M63" s="695"/>
      <c r="N63" s="695"/>
      <c r="O63" s="695"/>
      <c r="P63" s="695"/>
      <c r="Q63" s="695"/>
      <c r="R63" s="695"/>
      <c r="S63" s="695"/>
      <c r="T63" s="8"/>
      <c r="U63" s="8"/>
      <c r="V63" s="8"/>
      <c r="W63" s="8"/>
      <c r="X63" s="8"/>
      <c r="Y63" s="8"/>
      <c r="Z63" s="8"/>
      <c r="AA63" s="8"/>
      <c r="AB63" s="8"/>
    </row>
    <row r="64" ht="12.75" customHeight="1" spans="1:28" x14ac:dyDescent="0.25">
      <c r="A64" s="8"/>
      <c r="B64" s="8"/>
      <c r="C64" s="8"/>
      <c r="D64" s="8"/>
      <c r="E64" s="8"/>
      <c r="F64" s="8"/>
      <c r="G64" s="695"/>
      <c r="H64" s="695"/>
      <c r="I64" s="695"/>
      <c r="J64" s="695"/>
      <c r="K64" s="695"/>
      <c r="L64" s="695"/>
      <c r="M64" s="695"/>
      <c r="N64" s="695"/>
      <c r="O64" s="695"/>
      <c r="P64" s="695"/>
      <c r="Q64" s="695"/>
      <c r="R64" s="695"/>
      <c r="S64" s="695"/>
      <c r="T64" s="8"/>
      <c r="U64" s="8"/>
      <c r="V64" s="8"/>
      <c r="W64" s="8"/>
      <c r="X64" s="8"/>
      <c r="Y64" s="8"/>
      <c r="Z64" s="8"/>
      <c r="AA64" s="8"/>
      <c r="AB64" s="8"/>
    </row>
    <row r="65" ht="12.75" customHeight="1" spans="1:28" x14ac:dyDescent="0.25">
      <c r="A65" s="8"/>
      <c r="B65" s="8"/>
      <c r="C65" s="8"/>
      <c r="D65" s="8"/>
      <c r="E65" s="8"/>
      <c r="F65" s="8"/>
      <c r="G65" s="695"/>
      <c r="H65" s="695"/>
      <c r="I65" s="695"/>
      <c r="J65" s="695"/>
      <c r="K65" s="695"/>
      <c r="L65" s="695"/>
      <c r="M65" s="695"/>
      <c r="N65" s="695"/>
      <c r="O65" s="695"/>
      <c r="P65" s="695"/>
      <c r="Q65" s="695"/>
      <c r="R65" s="695"/>
      <c r="S65" s="695"/>
      <c r="T65" s="8"/>
      <c r="U65" s="8"/>
      <c r="V65" s="8"/>
      <c r="W65" s="8"/>
      <c r="X65" s="8"/>
      <c r="Y65" s="8"/>
      <c r="Z65" s="8"/>
      <c r="AA65" s="8"/>
      <c r="AB65" s="8"/>
    </row>
    <row r="66" ht="12.75" customHeight="1" spans="1:28" x14ac:dyDescent="0.25">
      <c r="A66" s="8"/>
      <c r="B66" s="8"/>
      <c r="C66" s="8"/>
      <c r="D66" s="8"/>
      <c r="E66" s="8"/>
      <c r="F66" s="8"/>
      <c r="G66" s="695"/>
      <c r="H66" s="695"/>
      <c r="I66" s="695"/>
      <c r="J66" s="695"/>
      <c r="K66" s="695"/>
      <c r="L66" s="695"/>
      <c r="M66" s="695"/>
      <c r="N66" s="695"/>
      <c r="O66" s="695"/>
      <c r="P66" s="695"/>
      <c r="Q66" s="695"/>
      <c r="R66" s="695"/>
      <c r="S66" s="695"/>
      <c r="T66" s="8"/>
      <c r="U66" s="8"/>
      <c r="V66" s="8"/>
      <c r="W66" s="8"/>
      <c r="X66" s="8"/>
      <c r="Y66" s="8"/>
      <c r="Z66" s="8"/>
      <c r="AA66" s="8"/>
      <c r="AB66" s="8"/>
    </row>
    <row r="67" ht="12.75" customHeight="1" spans="1:28" x14ac:dyDescent="0.25">
      <c r="A67" s="8"/>
      <c r="B67" s="8"/>
      <c r="C67" s="8"/>
      <c r="D67" s="8"/>
      <c r="E67" s="8"/>
      <c r="F67" s="8"/>
      <c r="G67" s="695"/>
      <c r="H67" s="695"/>
      <c r="I67" s="695"/>
      <c r="J67" s="695"/>
      <c r="K67" s="695"/>
      <c r="L67" s="695"/>
      <c r="M67" s="695"/>
      <c r="N67" s="695"/>
      <c r="O67" s="695"/>
      <c r="P67" s="695"/>
      <c r="Q67" s="695"/>
      <c r="R67" s="695"/>
      <c r="S67" s="695"/>
      <c r="T67" s="8"/>
      <c r="U67" s="8"/>
      <c r="V67" s="8"/>
      <c r="W67" s="8"/>
      <c r="X67" s="8"/>
      <c r="Y67" s="8"/>
      <c r="Z67" s="8"/>
      <c r="AA67" s="8"/>
      <c r="AB67" s="8"/>
    </row>
    <row r="68" ht="12.75" customHeight="1" spans="1:28" x14ac:dyDescent="0.25">
      <c r="A68" s="8"/>
      <c r="B68" s="8"/>
      <c r="C68" s="8"/>
      <c r="D68" s="8"/>
      <c r="E68" s="8"/>
      <c r="F68" s="8"/>
      <c r="G68" s="695"/>
      <c r="H68" s="695"/>
      <c r="I68" s="695"/>
      <c r="J68" s="695"/>
      <c r="K68" s="695"/>
      <c r="L68" s="695"/>
      <c r="M68" s="695"/>
      <c r="N68" s="695"/>
      <c r="O68" s="695"/>
      <c r="P68" s="695"/>
      <c r="Q68" s="695"/>
      <c r="R68" s="695"/>
      <c r="S68" s="695"/>
      <c r="T68" s="8"/>
      <c r="U68" s="8"/>
      <c r="V68" s="8"/>
      <c r="W68" s="8"/>
      <c r="X68" s="8"/>
      <c r="Y68" s="8"/>
      <c r="Z68" s="8"/>
      <c r="AA68" s="8"/>
      <c r="AB68" s="8"/>
    </row>
    <row r="69" ht="12.75" customHeight="1" spans="1:28" x14ac:dyDescent="0.25">
      <c r="A69" s="8"/>
      <c r="B69" s="8"/>
      <c r="C69" s="8"/>
      <c r="D69" s="8"/>
      <c r="E69" s="8"/>
      <c r="F69" s="8"/>
      <c r="G69" s="695"/>
      <c r="H69" s="695"/>
      <c r="I69" s="695"/>
      <c r="J69" s="695"/>
      <c r="K69" s="695"/>
      <c r="L69" s="695"/>
      <c r="M69" s="695"/>
      <c r="N69" s="695"/>
      <c r="O69" s="695"/>
      <c r="P69" s="695"/>
      <c r="Q69" s="695"/>
      <c r="R69" s="695"/>
      <c r="S69" s="695"/>
      <c r="T69" s="8"/>
      <c r="U69" s="8"/>
      <c r="V69" s="8"/>
      <c r="W69" s="8"/>
      <c r="X69" s="8"/>
      <c r="Y69" s="8"/>
      <c r="Z69" s="8"/>
      <c r="AA69" s="8"/>
      <c r="AB69" s="8"/>
    </row>
    <row r="70" ht="12.75" customHeight="1" spans="1:28" x14ac:dyDescent="0.25">
      <c r="A70" s="8"/>
      <c r="B70" s="8"/>
      <c r="C70" s="8"/>
      <c r="D70" s="8"/>
      <c r="E70" s="8"/>
      <c r="F70" s="8"/>
      <c r="G70" s="695"/>
      <c r="H70" s="695"/>
      <c r="I70" s="695"/>
      <c r="J70" s="695"/>
      <c r="K70" s="695"/>
      <c r="L70" s="695"/>
      <c r="M70" s="695"/>
      <c r="N70" s="695"/>
      <c r="O70" s="695"/>
      <c r="P70" s="695"/>
      <c r="Q70" s="695"/>
      <c r="R70" s="695"/>
      <c r="S70" s="695"/>
      <c r="T70" s="8"/>
      <c r="U70" s="8"/>
      <c r="V70" s="8"/>
      <c r="W70" s="8"/>
      <c r="X70" s="8"/>
      <c r="Y70" s="8"/>
      <c r="Z70" s="8"/>
      <c r="AA70" s="8"/>
      <c r="AB70" s="8"/>
    </row>
    <row r="71" ht="12.75" customHeight="1" spans="1:28" x14ac:dyDescent="0.25">
      <c r="A71" s="8"/>
      <c r="B71" s="8"/>
      <c r="C71" s="8"/>
      <c r="D71" s="8"/>
      <c r="E71" s="8"/>
      <c r="F71" s="8"/>
      <c r="G71" s="695"/>
      <c r="H71" s="695"/>
      <c r="I71" s="695"/>
      <c r="J71" s="695"/>
      <c r="K71" s="695"/>
      <c r="L71" s="695"/>
      <c r="M71" s="695"/>
      <c r="N71" s="695"/>
      <c r="O71" s="695"/>
      <c r="P71" s="695"/>
      <c r="Q71" s="695"/>
      <c r="R71" s="695"/>
      <c r="S71" s="695"/>
      <c r="T71" s="8"/>
      <c r="U71" s="8"/>
      <c r="V71" s="8"/>
      <c r="W71" s="8"/>
      <c r="X71" s="8"/>
      <c r="Y71" s="8"/>
      <c r="Z71" s="8"/>
      <c r="AA71" s="8"/>
      <c r="AB71" s="8"/>
    </row>
    <row r="72" ht="12.75" customHeight="1" spans="1:28" x14ac:dyDescent="0.25">
      <c r="A72" s="8"/>
      <c r="B72" s="8"/>
      <c r="C72" s="8"/>
      <c r="D72" s="8"/>
      <c r="E72" s="8"/>
      <c r="F72" s="8"/>
      <c r="G72" s="695"/>
      <c r="H72" s="695"/>
      <c r="I72" s="695"/>
      <c r="J72" s="695"/>
      <c r="K72" s="695"/>
      <c r="L72" s="695"/>
      <c r="M72" s="695"/>
      <c r="N72" s="695"/>
      <c r="O72" s="695"/>
      <c r="P72" s="695"/>
      <c r="Q72" s="695"/>
      <c r="R72" s="695"/>
      <c r="S72" s="695"/>
      <c r="T72" s="8"/>
      <c r="U72" s="8"/>
      <c r="V72" s="8"/>
      <c r="W72" s="8"/>
      <c r="X72" s="8"/>
      <c r="Y72" s="8"/>
      <c r="Z72" s="8"/>
      <c r="AA72" s="8"/>
      <c r="AB72" s="8"/>
    </row>
    <row r="73" ht="12.75" customHeight="1" spans="1:28" x14ac:dyDescent="0.25">
      <c r="A73" s="8"/>
      <c r="B73" s="8"/>
      <c r="C73" s="8"/>
      <c r="D73" s="8"/>
      <c r="E73" s="8"/>
      <c r="F73" s="8"/>
      <c r="G73" s="695"/>
      <c r="H73" s="695"/>
      <c r="I73" s="695"/>
      <c r="J73" s="695"/>
      <c r="K73" s="695"/>
      <c r="L73" s="695"/>
      <c r="M73" s="695"/>
      <c r="N73" s="695"/>
      <c r="O73" s="695"/>
      <c r="P73" s="695"/>
      <c r="Q73" s="695"/>
      <c r="R73" s="695"/>
      <c r="S73" s="695"/>
      <c r="T73" s="8"/>
      <c r="U73" s="8"/>
      <c r="V73" s="8"/>
      <c r="W73" s="8"/>
      <c r="X73" s="8"/>
      <c r="Y73" s="8"/>
      <c r="Z73" s="8"/>
      <c r="AA73" s="8"/>
      <c r="AB73" s="8"/>
    </row>
    <row r="74" ht="12.75" customHeight="1" spans="1:28" x14ac:dyDescent="0.25">
      <c r="A74" s="8"/>
      <c r="B74" s="8"/>
      <c r="C74" s="8"/>
      <c r="D74" s="8"/>
      <c r="E74" s="8"/>
      <c r="F74" s="8"/>
      <c r="G74" s="695"/>
      <c r="H74" s="695"/>
      <c r="I74" s="695"/>
      <c r="J74" s="695"/>
      <c r="K74" s="695"/>
      <c r="L74" s="695"/>
      <c r="M74" s="695"/>
      <c r="N74" s="695"/>
      <c r="O74" s="695"/>
      <c r="P74" s="695"/>
      <c r="Q74" s="695"/>
      <c r="R74" s="695"/>
      <c r="S74" s="695"/>
      <c r="T74" s="8"/>
      <c r="U74" s="8"/>
      <c r="V74" s="8"/>
      <c r="W74" s="8"/>
      <c r="X74" s="8"/>
      <c r="Y74" s="8"/>
      <c r="Z74" s="8"/>
      <c r="AA74" s="8"/>
      <c r="AB74" s="8"/>
    </row>
    <row r="75" ht="12.75" customHeight="1" spans="1:28" x14ac:dyDescent="0.25">
      <c r="A75" s="8"/>
      <c r="B75" s="8"/>
      <c r="C75" s="8"/>
      <c r="D75" s="8"/>
      <c r="E75" s="8"/>
      <c r="F75" s="8"/>
      <c r="G75" s="695"/>
      <c r="H75" s="695"/>
      <c r="I75" s="695"/>
      <c r="J75" s="695"/>
      <c r="K75" s="695"/>
      <c r="L75" s="695"/>
      <c r="M75" s="695"/>
      <c r="N75" s="695"/>
      <c r="O75" s="695"/>
      <c r="P75" s="695"/>
      <c r="Q75" s="695"/>
      <c r="R75" s="695"/>
      <c r="S75" s="695"/>
      <c r="T75" s="8"/>
      <c r="U75" s="8"/>
      <c r="V75" s="8"/>
      <c r="W75" s="8"/>
      <c r="X75" s="8"/>
      <c r="Y75" s="8"/>
      <c r="Z75" s="8"/>
      <c r="AA75" s="8"/>
      <c r="AB75" s="8"/>
    </row>
    <row r="76" ht="12.75" customHeight="1" spans="1:28" x14ac:dyDescent="0.25">
      <c r="A76" s="8"/>
      <c r="B76" s="8"/>
      <c r="C76" s="8"/>
      <c r="D76" s="8"/>
      <c r="E76" s="8"/>
      <c r="F76" s="8"/>
      <c r="G76" s="695"/>
      <c r="H76" s="695"/>
      <c r="I76" s="695"/>
      <c r="J76" s="695"/>
      <c r="K76" s="695"/>
      <c r="L76" s="695"/>
      <c r="M76" s="695"/>
      <c r="N76" s="695"/>
      <c r="O76" s="695"/>
      <c r="P76" s="695"/>
      <c r="Q76" s="695"/>
      <c r="R76" s="695"/>
      <c r="S76" s="695"/>
      <c r="T76" s="8"/>
      <c r="U76" s="8"/>
      <c r="V76" s="8"/>
      <c r="W76" s="8"/>
      <c r="X76" s="8"/>
      <c r="Y76" s="8"/>
      <c r="Z76" s="8"/>
      <c r="AA76" s="8"/>
      <c r="AB76" s="8"/>
    </row>
    <row r="77" ht="12.75" customHeight="1" spans="1:28" x14ac:dyDescent="0.25">
      <c r="A77" s="8"/>
      <c r="B77" s="8"/>
      <c r="C77" s="8"/>
      <c r="D77" s="8"/>
      <c r="E77" s="8"/>
      <c r="F77" s="8"/>
      <c r="G77" s="695"/>
      <c r="H77" s="695"/>
      <c r="I77" s="695"/>
      <c r="J77" s="695"/>
      <c r="K77" s="695"/>
      <c r="L77" s="695"/>
      <c r="M77" s="695"/>
      <c r="N77" s="695"/>
      <c r="O77" s="695"/>
      <c r="P77" s="695"/>
      <c r="Q77" s="695"/>
      <c r="R77" s="695"/>
      <c r="S77" s="695"/>
      <c r="T77" s="8"/>
      <c r="U77" s="8"/>
      <c r="V77" s="8"/>
      <c r="W77" s="8"/>
      <c r="X77" s="8"/>
      <c r="Y77" s="8"/>
      <c r="Z77" s="8"/>
      <c r="AA77" s="8"/>
      <c r="AB77" s="8"/>
    </row>
    <row r="78" ht="12.75" customHeight="1" spans="1:28" x14ac:dyDescent="0.25">
      <c r="A78" s="8"/>
      <c r="B78" s="8"/>
      <c r="C78" s="8"/>
      <c r="D78" s="8"/>
      <c r="E78" s="8"/>
      <c r="F78" s="8"/>
      <c r="G78" s="695"/>
      <c r="H78" s="695"/>
      <c r="I78" s="695"/>
      <c r="J78" s="695"/>
      <c r="K78" s="695"/>
      <c r="L78" s="695"/>
      <c r="M78" s="695"/>
      <c r="N78" s="695"/>
      <c r="O78" s="695"/>
      <c r="P78" s="695"/>
      <c r="Q78" s="695"/>
      <c r="R78" s="695"/>
      <c r="S78" s="695"/>
      <c r="T78" s="8"/>
      <c r="U78" s="8"/>
      <c r="V78" s="8"/>
      <c r="W78" s="8"/>
      <c r="X78" s="8"/>
      <c r="Y78" s="8"/>
      <c r="Z78" s="8"/>
      <c r="AA78" s="8"/>
      <c r="AB78" s="8"/>
    </row>
    <row r="79" ht="12.75" customHeight="1" spans="1:28" x14ac:dyDescent="0.25">
      <c r="A79" s="8"/>
      <c r="B79" s="8"/>
      <c r="C79" s="8"/>
      <c r="D79" s="8"/>
      <c r="E79" s="8"/>
      <c r="F79" s="8"/>
      <c r="G79" s="695"/>
      <c r="H79" s="695"/>
      <c r="I79" s="695"/>
      <c r="J79" s="695"/>
      <c r="K79" s="695"/>
      <c r="L79" s="695"/>
      <c r="M79" s="695"/>
      <c r="N79" s="695"/>
      <c r="O79" s="695"/>
      <c r="P79" s="695"/>
      <c r="Q79" s="695"/>
      <c r="R79" s="695"/>
      <c r="S79" s="695"/>
      <c r="T79" s="8"/>
      <c r="U79" s="8"/>
      <c r="V79" s="8"/>
      <c r="W79" s="8"/>
      <c r="X79" s="8"/>
      <c r="Y79" s="8"/>
      <c r="Z79" s="8"/>
      <c r="AA79" s="8"/>
      <c r="AB79" s="8"/>
    </row>
    <row r="80" ht="12.75" customHeight="1" spans="1:28" x14ac:dyDescent="0.25">
      <c r="A80" s="8"/>
      <c r="B80" s="8"/>
      <c r="C80" s="8"/>
      <c r="D80" s="8"/>
      <c r="E80" s="8"/>
      <c r="F80" s="8"/>
      <c r="G80" s="695"/>
      <c r="H80" s="695"/>
      <c r="I80" s="695"/>
      <c r="J80" s="695"/>
      <c r="K80" s="695"/>
      <c r="L80" s="695"/>
      <c r="M80" s="695"/>
      <c r="N80" s="695"/>
      <c r="O80" s="695"/>
      <c r="P80" s="695"/>
      <c r="Q80" s="695"/>
      <c r="R80" s="695"/>
      <c r="S80" s="695"/>
      <c r="T80" s="8"/>
      <c r="U80" s="8"/>
      <c r="V80" s="8"/>
      <c r="W80" s="8"/>
      <c r="X80" s="8"/>
      <c r="Y80" s="8"/>
      <c r="Z80" s="8"/>
      <c r="AA80" s="8"/>
      <c r="AB80" s="8"/>
    </row>
    <row r="81" ht="12.75" customHeight="1" spans="1:28" x14ac:dyDescent="0.25">
      <c r="A81" s="8"/>
      <c r="B81" s="8"/>
      <c r="C81" s="8"/>
      <c r="D81" s="8"/>
      <c r="E81" s="8"/>
      <c r="F81" s="8"/>
      <c r="G81" s="695"/>
      <c r="H81" s="695"/>
      <c r="I81" s="695"/>
      <c r="J81" s="695"/>
      <c r="K81" s="695"/>
      <c r="L81" s="695"/>
      <c r="M81" s="695"/>
      <c r="N81" s="695"/>
      <c r="O81" s="695"/>
      <c r="P81" s="695"/>
      <c r="Q81" s="695"/>
      <c r="R81" s="695"/>
      <c r="S81" s="695"/>
      <c r="T81" s="8"/>
      <c r="U81" s="8"/>
      <c r="V81" s="8"/>
      <c r="W81" s="8"/>
      <c r="X81" s="8"/>
      <c r="Y81" s="8"/>
      <c r="Z81" s="8"/>
      <c r="AA81" s="8"/>
      <c r="AB81" s="8"/>
    </row>
    <row r="82" ht="12.75" customHeight="1" spans="1:28" x14ac:dyDescent="0.25">
      <c r="A82" s="8"/>
      <c r="B82" s="8"/>
      <c r="C82" s="8"/>
      <c r="D82" s="8"/>
      <c r="E82" s="8"/>
      <c r="F82" s="8"/>
      <c r="G82" s="695"/>
      <c r="H82" s="695"/>
      <c r="I82" s="695"/>
      <c r="J82" s="695"/>
      <c r="K82" s="695"/>
      <c r="L82" s="695"/>
      <c r="M82" s="695"/>
      <c r="N82" s="695"/>
      <c r="O82" s="695"/>
      <c r="P82" s="695"/>
      <c r="Q82" s="695"/>
      <c r="R82" s="695"/>
      <c r="S82" s="695"/>
      <c r="T82" s="8"/>
      <c r="U82" s="8"/>
      <c r="V82" s="8"/>
      <c r="W82" s="8"/>
      <c r="X82" s="8"/>
      <c r="Y82" s="8"/>
      <c r="Z82" s="8"/>
      <c r="AA82" s="8"/>
      <c r="AB82" s="8"/>
    </row>
    <row r="83" ht="12.75" customHeight="1" spans="1:28" x14ac:dyDescent="0.25">
      <c r="A83" s="8"/>
      <c r="B83" s="8"/>
      <c r="C83" s="8"/>
      <c r="D83" s="8"/>
      <c r="E83" s="8"/>
      <c r="F83" s="8"/>
      <c r="G83" s="695"/>
      <c r="H83" s="695"/>
      <c r="I83" s="695"/>
      <c r="J83" s="695"/>
      <c r="K83" s="695"/>
      <c r="L83" s="695"/>
      <c r="M83" s="695"/>
      <c r="N83" s="695"/>
      <c r="O83" s="695"/>
      <c r="P83" s="695"/>
      <c r="Q83" s="695"/>
      <c r="R83" s="695"/>
      <c r="S83" s="695"/>
      <c r="T83" s="8"/>
      <c r="U83" s="8"/>
      <c r="V83" s="8"/>
      <c r="W83" s="8"/>
      <c r="X83" s="8"/>
      <c r="Y83" s="8"/>
      <c r="Z83" s="8"/>
      <c r="AA83" s="8"/>
      <c r="AB83" s="8"/>
    </row>
    <row r="84" ht="12.75" customHeight="1" spans="1:28" x14ac:dyDescent="0.25">
      <c r="A84" s="8"/>
      <c r="B84" s="8"/>
      <c r="C84" s="8"/>
      <c r="D84" s="8"/>
      <c r="E84" s="8"/>
      <c r="F84" s="8"/>
      <c r="G84" s="695"/>
      <c r="H84" s="695"/>
      <c r="I84" s="695"/>
      <c r="J84" s="695"/>
      <c r="K84" s="695"/>
      <c r="L84" s="695"/>
      <c r="M84" s="695"/>
      <c r="N84" s="695"/>
      <c r="O84" s="695"/>
      <c r="P84" s="695"/>
      <c r="Q84" s="695"/>
      <c r="R84" s="695"/>
      <c r="S84" s="695"/>
      <c r="T84" s="8"/>
      <c r="U84" s="8"/>
      <c r="V84" s="8"/>
      <c r="W84" s="8"/>
      <c r="X84" s="8"/>
      <c r="Y84" s="8"/>
      <c r="Z84" s="8"/>
      <c r="AA84" s="8"/>
      <c r="AB84" s="8"/>
    </row>
    <row r="85" ht="12.75" customHeight="1" spans="1:28" x14ac:dyDescent="0.25">
      <c r="A85" s="8"/>
      <c r="B85" s="8"/>
      <c r="C85" s="8"/>
      <c r="D85" s="8"/>
      <c r="E85" s="8"/>
      <c r="F85" s="8"/>
      <c r="G85" s="695"/>
      <c r="H85" s="695"/>
      <c r="I85" s="695"/>
      <c r="J85" s="695"/>
      <c r="K85" s="695"/>
      <c r="L85" s="695"/>
      <c r="M85" s="695"/>
      <c r="N85" s="695"/>
      <c r="O85" s="695"/>
      <c r="P85" s="695"/>
      <c r="Q85" s="695"/>
      <c r="R85" s="695"/>
      <c r="S85" s="695"/>
      <c r="T85" s="8"/>
      <c r="U85" s="8"/>
      <c r="V85" s="8"/>
      <c r="W85" s="8"/>
      <c r="X85" s="8"/>
      <c r="Y85" s="8"/>
      <c r="Z85" s="8"/>
      <c r="AA85" s="8"/>
      <c r="AB85" s="8"/>
    </row>
    <row r="86" ht="12.75" customHeight="1" spans="1:28" x14ac:dyDescent="0.25">
      <c r="A86" s="8"/>
      <c r="B86" s="8"/>
      <c r="C86" s="8"/>
      <c r="D86" s="8"/>
      <c r="E86" s="8"/>
      <c r="F86" s="8"/>
      <c r="G86" s="695"/>
      <c r="H86" s="695"/>
      <c r="I86" s="695"/>
      <c r="J86" s="695"/>
      <c r="K86" s="695"/>
      <c r="L86" s="695"/>
      <c r="M86" s="695"/>
      <c r="N86" s="695"/>
      <c r="O86" s="695"/>
      <c r="P86" s="695"/>
      <c r="Q86" s="695"/>
      <c r="R86" s="695"/>
      <c r="S86" s="695"/>
      <c r="T86" s="8"/>
      <c r="U86" s="8"/>
      <c r="V86" s="8"/>
      <c r="W86" s="8"/>
      <c r="X86" s="8"/>
      <c r="Y86" s="8"/>
      <c r="Z86" s="8"/>
      <c r="AA86" s="8"/>
      <c r="AB86" s="8"/>
    </row>
    <row r="87" ht="12.75" customHeight="1" spans="1:28" x14ac:dyDescent="0.25">
      <c r="A87" s="8"/>
      <c r="B87" s="8"/>
      <c r="C87" s="8"/>
      <c r="D87" s="8"/>
      <c r="E87" s="8"/>
      <c r="F87" s="8"/>
      <c r="G87" s="695"/>
      <c r="H87" s="695"/>
      <c r="I87" s="695"/>
      <c r="J87" s="695"/>
      <c r="K87" s="695"/>
      <c r="L87" s="695"/>
      <c r="M87" s="695"/>
      <c r="N87" s="695"/>
      <c r="O87" s="695"/>
      <c r="P87" s="695"/>
      <c r="Q87" s="695"/>
      <c r="R87" s="695"/>
      <c r="S87" s="695"/>
      <c r="T87" s="8"/>
      <c r="U87" s="8"/>
      <c r="V87" s="8"/>
      <c r="W87" s="8"/>
      <c r="X87" s="8"/>
      <c r="Y87" s="8"/>
      <c r="Z87" s="8"/>
      <c r="AA87" s="8"/>
      <c r="AB87" s="8"/>
    </row>
    <row r="88" ht="12.75" customHeight="1" spans="1:28" x14ac:dyDescent="0.25">
      <c r="A88" s="8"/>
      <c r="B88" s="8"/>
      <c r="C88" s="8"/>
      <c r="D88" s="8"/>
      <c r="E88" s="8"/>
      <c r="F88" s="8"/>
      <c r="G88" s="695"/>
      <c r="H88" s="695"/>
      <c r="I88" s="695"/>
      <c r="J88" s="695"/>
      <c r="K88" s="695"/>
      <c r="L88" s="695"/>
      <c r="M88" s="695"/>
      <c r="N88" s="695"/>
      <c r="O88" s="695"/>
      <c r="P88" s="695"/>
      <c r="Q88" s="695"/>
      <c r="R88" s="695"/>
      <c r="S88" s="695"/>
      <c r="T88" s="8"/>
      <c r="U88" s="8"/>
      <c r="V88" s="8"/>
      <c r="W88" s="8"/>
      <c r="X88" s="8"/>
      <c r="Y88" s="8"/>
      <c r="Z88" s="8"/>
      <c r="AA88" s="8"/>
      <c r="AB88" s="8"/>
    </row>
    <row r="89" ht="12.75" customHeight="1" spans="1:28" x14ac:dyDescent="0.25">
      <c r="A89" s="8"/>
      <c r="B89" s="8"/>
      <c r="C89" s="8"/>
      <c r="D89" s="8"/>
      <c r="E89" s="8"/>
      <c r="F89" s="8"/>
      <c r="G89" s="695"/>
      <c r="H89" s="695"/>
      <c r="I89" s="695"/>
      <c r="J89" s="695"/>
      <c r="K89" s="695"/>
      <c r="L89" s="695"/>
      <c r="M89" s="695"/>
      <c r="N89" s="695"/>
      <c r="O89" s="695"/>
      <c r="P89" s="695"/>
      <c r="Q89" s="695"/>
      <c r="R89" s="695"/>
      <c r="S89" s="695"/>
      <c r="T89" s="8"/>
      <c r="U89" s="8"/>
      <c r="V89" s="8"/>
      <c r="W89" s="8"/>
      <c r="X89" s="8"/>
      <c r="Y89" s="8"/>
      <c r="Z89" s="8"/>
      <c r="AA89" s="8"/>
      <c r="AB89" s="8"/>
    </row>
    <row r="90" ht="12.75" customHeight="1" spans="1:28" x14ac:dyDescent="0.25">
      <c r="A90" s="8"/>
      <c r="B90" s="8"/>
      <c r="C90" s="8"/>
      <c r="D90" s="8"/>
      <c r="E90" s="8"/>
      <c r="F90" s="8"/>
      <c r="G90" s="695"/>
      <c r="H90" s="695"/>
      <c r="I90" s="695"/>
      <c r="J90" s="695"/>
      <c r="K90" s="695"/>
      <c r="L90" s="695"/>
      <c r="M90" s="695"/>
      <c r="N90" s="695"/>
      <c r="O90" s="695"/>
      <c r="P90" s="695"/>
      <c r="Q90" s="695"/>
      <c r="R90" s="695"/>
      <c r="S90" s="695"/>
      <c r="T90" s="8"/>
      <c r="U90" s="8"/>
      <c r="V90" s="8"/>
      <c r="W90" s="8"/>
      <c r="X90" s="8"/>
      <c r="Y90" s="8"/>
      <c r="Z90" s="8"/>
      <c r="AA90" s="8"/>
      <c r="AB90" s="8"/>
    </row>
    <row r="91" ht="12.75" customHeight="1" spans="1:28" x14ac:dyDescent="0.25">
      <c r="A91" s="8"/>
      <c r="B91" s="8"/>
      <c r="C91" s="8"/>
      <c r="D91" s="8"/>
      <c r="E91" s="8"/>
      <c r="F91" s="8"/>
      <c r="G91" s="695"/>
      <c r="H91" s="695"/>
      <c r="I91" s="695"/>
      <c r="J91" s="695"/>
      <c r="K91" s="695"/>
      <c r="L91" s="695"/>
      <c r="M91" s="695"/>
      <c r="N91" s="695"/>
      <c r="O91" s="695"/>
      <c r="P91" s="695"/>
      <c r="Q91" s="695"/>
      <c r="R91" s="695"/>
      <c r="S91" s="695"/>
      <c r="T91" s="8"/>
      <c r="U91" s="8"/>
      <c r="V91" s="8"/>
      <c r="W91" s="8"/>
      <c r="X91" s="8"/>
      <c r="Y91" s="8"/>
      <c r="Z91" s="8"/>
      <c r="AA91" s="8"/>
      <c r="AB91" s="8"/>
    </row>
    <row r="92" ht="12.75" customHeight="1" spans="1:28" x14ac:dyDescent="0.25">
      <c r="A92" s="8"/>
      <c r="B92" s="8"/>
      <c r="C92" s="8"/>
      <c r="D92" s="8"/>
      <c r="E92" s="8"/>
      <c r="F92" s="8"/>
      <c r="G92" s="695"/>
      <c r="H92" s="695"/>
      <c r="I92" s="695"/>
      <c r="J92" s="695"/>
      <c r="K92" s="695"/>
      <c r="L92" s="695"/>
      <c r="M92" s="695"/>
      <c r="N92" s="695"/>
      <c r="O92" s="695"/>
      <c r="P92" s="695"/>
      <c r="Q92" s="695"/>
      <c r="R92" s="695"/>
      <c r="S92" s="695"/>
      <c r="T92" s="8"/>
      <c r="U92" s="8"/>
      <c r="V92" s="8"/>
      <c r="W92" s="8"/>
      <c r="X92" s="8"/>
      <c r="Y92" s="8"/>
      <c r="Z92" s="8"/>
      <c r="AA92" s="8"/>
      <c r="AB92" s="8"/>
    </row>
    <row r="93" ht="12.75" customHeight="1" spans="1:28" x14ac:dyDescent="0.25">
      <c r="A93" s="8"/>
      <c r="B93" s="8"/>
      <c r="C93" s="8"/>
      <c r="D93" s="8"/>
      <c r="E93" s="8"/>
      <c r="F93" s="8"/>
      <c r="G93" s="695"/>
      <c r="H93" s="695"/>
      <c r="I93" s="695"/>
      <c r="J93" s="695"/>
      <c r="K93" s="695"/>
      <c r="L93" s="695"/>
      <c r="M93" s="695"/>
      <c r="N93" s="695"/>
      <c r="O93" s="695"/>
      <c r="P93" s="695"/>
      <c r="Q93" s="695"/>
      <c r="R93" s="695"/>
      <c r="S93" s="695"/>
      <c r="T93" s="8"/>
      <c r="U93" s="8"/>
      <c r="V93" s="8"/>
      <c r="W93" s="8"/>
      <c r="X93" s="8"/>
      <c r="Y93" s="8"/>
      <c r="Z93" s="8"/>
      <c r="AA93" s="8"/>
      <c r="AB93" s="8"/>
    </row>
    <row r="94" ht="12.75" customHeight="1" spans="1:28" x14ac:dyDescent="0.25">
      <c r="A94" s="8"/>
      <c r="B94" s="8"/>
      <c r="C94" s="8"/>
      <c r="D94" s="8"/>
      <c r="E94" s="8"/>
      <c r="F94" s="8"/>
      <c r="G94" s="695"/>
      <c r="H94" s="695"/>
      <c r="I94" s="695"/>
      <c r="J94" s="695"/>
      <c r="K94" s="695"/>
      <c r="L94" s="695"/>
      <c r="M94" s="695"/>
      <c r="N94" s="695"/>
      <c r="O94" s="695"/>
      <c r="P94" s="695"/>
      <c r="Q94" s="695"/>
      <c r="R94" s="695"/>
      <c r="S94" s="695"/>
      <c r="T94" s="8"/>
      <c r="U94" s="8"/>
      <c r="V94" s="8"/>
      <c r="W94" s="8"/>
      <c r="X94" s="8"/>
      <c r="Y94" s="8"/>
      <c r="Z94" s="8"/>
      <c r="AA94" s="8"/>
      <c r="AB94" s="8"/>
    </row>
    <row r="95" ht="12.75" customHeight="1" spans="1:28" x14ac:dyDescent="0.25">
      <c r="A95" s="8"/>
      <c r="B95" s="8"/>
      <c r="C95" s="8"/>
      <c r="D95" s="8"/>
      <c r="E95" s="8"/>
      <c r="F95" s="8"/>
      <c r="G95" s="695"/>
      <c r="H95" s="695"/>
      <c r="I95" s="695"/>
      <c r="J95" s="695"/>
      <c r="K95" s="695"/>
      <c r="L95" s="695"/>
      <c r="M95" s="695"/>
      <c r="N95" s="695"/>
      <c r="O95" s="695"/>
      <c r="P95" s="695"/>
      <c r="Q95" s="695"/>
      <c r="R95" s="695"/>
      <c r="S95" s="695"/>
      <c r="T95" s="8"/>
      <c r="U95" s="8"/>
      <c r="V95" s="8"/>
      <c r="W95" s="8"/>
      <c r="X95" s="8"/>
      <c r="Y95" s="8"/>
      <c r="Z95" s="8"/>
      <c r="AA95" s="8"/>
      <c r="AB95" s="8"/>
    </row>
    <row r="96" ht="12.75" customHeight="1" spans="1:28" x14ac:dyDescent="0.25">
      <c r="A96" s="8"/>
      <c r="B96" s="8"/>
      <c r="C96" s="8"/>
      <c r="D96" s="8"/>
      <c r="E96" s="8"/>
      <c r="F96" s="8"/>
      <c r="G96" s="695"/>
      <c r="H96" s="695"/>
      <c r="I96" s="695"/>
      <c r="J96" s="695"/>
      <c r="K96" s="695"/>
      <c r="L96" s="695"/>
      <c r="M96" s="695"/>
      <c r="N96" s="695"/>
      <c r="O96" s="695"/>
      <c r="P96" s="695"/>
      <c r="Q96" s="695"/>
      <c r="R96" s="695"/>
      <c r="S96" s="695"/>
      <c r="T96" s="8"/>
      <c r="U96" s="8"/>
      <c r="V96" s="8"/>
      <c r="W96" s="8"/>
      <c r="X96" s="8"/>
      <c r="Y96" s="8"/>
      <c r="Z96" s="8"/>
      <c r="AA96" s="8"/>
      <c r="AB96" s="8"/>
    </row>
    <row r="97" ht="12.75" customHeight="1" spans="1:28" x14ac:dyDescent="0.25">
      <c r="A97" s="8"/>
      <c r="B97" s="8"/>
      <c r="C97" s="8"/>
      <c r="D97" s="8"/>
      <c r="E97" s="8"/>
      <c r="F97" s="8"/>
      <c r="G97" s="695"/>
      <c r="H97" s="695"/>
      <c r="I97" s="695"/>
      <c r="J97" s="695"/>
      <c r="K97" s="695"/>
      <c r="L97" s="695"/>
      <c r="M97" s="695"/>
      <c r="N97" s="695"/>
      <c r="O97" s="695"/>
      <c r="P97" s="695"/>
      <c r="Q97" s="695"/>
      <c r="R97" s="695"/>
      <c r="S97" s="695"/>
      <c r="T97" s="8"/>
      <c r="U97" s="8"/>
      <c r="V97" s="8"/>
      <c r="W97" s="8"/>
      <c r="X97" s="8"/>
      <c r="Y97" s="8"/>
      <c r="Z97" s="8"/>
      <c r="AA97" s="8"/>
      <c r="AB97" s="8"/>
    </row>
    <row r="98" ht="12.75" customHeight="1" spans="1:28" x14ac:dyDescent="0.25">
      <c r="A98" s="8"/>
      <c r="B98" s="8"/>
      <c r="C98" s="8"/>
      <c r="D98" s="8"/>
      <c r="E98" s="8"/>
      <c r="F98" s="8"/>
      <c r="G98" s="695"/>
      <c r="H98" s="695"/>
      <c r="I98" s="695"/>
      <c r="J98" s="695"/>
      <c r="K98" s="695"/>
      <c r="L98" s="695"/>
      <c r="M98" s="695"/>
      <c r="N98" s="695"/>
      <c r="O98" s="695"/>
      <c r="P98" s="695"/>
      <c r="Q98" s="695"/>
      <c r="R98" s="695"/>
      <c r="S98" s="695"/>
      <c r="T98" s="8"/>
      <c r="U98" s="8"/>
      <c r="V98" s="8"/>
      <c r="W98" s="8"/>
      <c r="X98" s="8"/>
      <c r="Y98" s="8"/>
      <c r="Z98" s="8"/>
      <c r="AA98" s="8"/>
      <c r="AB98" s="8"/>
    </row>
    <row r="99" ht="12.75" customHeight="1" spans="1:28" x14ac:dyDescent="0.25">
      <c r="A99" s="8"/>
      <c r="B99" s="8"/>
      <c r="C99" s="8"/>
      <c r="D99" s="8"/>
      <c r="E99" s="8"/>
      <c r="F99" s="8"/>
      <c r="G99" s="695"/>
      <c r="H99" s="695"/>
      <c r="I99" s="695"/>
      <c r="J99" s="695"/>
      <c r="K99" s="695"/>
      <c r="L99" s="695"/>
      <c r="M99" s="695"/>
      <c r="N99" s="695"/>
      <c r="O99" s="695"/>
      <c r="P99" s="695"/>
      <c r="Q99" s="695"/>
      <c r="R99" s="695"/>
      <c r="S99" s="695"/>
      <c r="T99" s="8"/>
      <c r="U99" s="8"/>
      <c r="V99" s="8"/>
      <c r="W99" s="8"/>
      <c r="X99" s="8"/>
      <c r="Y99" s="8"/>
      <c r="Z99" s="8"/>
      <c r="AA99" s="8"/>
      <c r="AB99" s="8"/>
    </row>
    <row r="100" ht="12.75" customHeight="1" spans="1:28" x14ac:dyDescent="0.25">
      <c r="A100" s="8"/>
      <c r="B100" s="8"/>
      <c r="C100" s="8"/>
      <c r="D100" s="8"/>
      <c r="E100" s="8"/>
      <c r="F100" s="8"/>
      <c r="G100" s="695"/>
      <c r="H100" s="695"/>
      <c r="I100" s="695"/>
      <c r="J100" s="695"/>
      <c r="K100" s="695"/>
      <c r="L100" s="695"/>
      <c r="M100" s="695"/>
      <c r="N100" s="695"/>
      <c r="O100" s="695"/>
      <c r="P100" s="695"/>
      <c r="Q100" s="695"/>
      <c r="R100" s="695"/>
      <c r="S100" s="695"/>
      <c r="T100" s="8"/>
      <c r="U100" s="8"/>
      <c r="V100" s="8"/>
      <c r="W100" s="8"/>
      <c r="X100" s="8"/>
      <c r="Y100" s="8"/>
      <c r="Z100" s="8"/>
      <c r="AA100" s="8"/>
      <c r="AB100" s="8"/>
    </row>
    <row r="101" ht="12.75" customHeight="1" spans="1:28" x14ac:dyDescent="0.25">
      <c r="A101" s="8"/>
      <c r="B101" s="8"/>
      <c r="C101" s="8"/>
      <c r="D101" s="8"/>
      <c r="E101" s="8"/>
      <c r="F101" s="8"/>
      <c r="G101" s="695"/>
      <c r="H101" s="695"/>
      <c r="I101" s="695"/>
      <c r="J101" s="695"/>
      <c r="K101" s="695"/>
      <c r="L101" s="695"/>
      <c r="M101" s="695"/>
      <c r="N101" s="695"/>
      <c r="O101" s="695"/>
      <c r="P101" s="695"/>
      <c r="Q101" s="695"/>
      <c r="R101" s="695"/>
      <c r="S101" s="695"/>
      <c r="T101" s="8"/>
      <c r="U101" s="8"/>
      <c r="V101" s="8"/>
      <c r="W101" s="8"/>
      <c r="X101" s="8"/>
      <c r="Y101" s="8"/>
      <c r="Z101" s="8"/>
      <c r="AA101" s="8"/>
      <c r="AB101" s="8"/>
    </row>
    <row r="102" ht="12.75" customHeight="1" spans="1:28" x14ac:dyDescent="0.25">
      <c r="A102" s="8"/>
      <c r="B102" s="8"/>
      <c r="C102" s="8"/>
      <c r="D102" s="8"/>
      <c r="E102" s="8"/>
      <c r="F102" s="8"/>
      <c r="G102" s="695"/>
      <c r="H102" s="695"/>
      <c r="I102" s="695"/>
      <c r="J102" s="695"/>
      <c r="K102" s="695"/>
      <c r="L102" s="695"/>
      <c r="M102" s="695"/>
      <c r="N102" s="695"/>
      <c r="O102" s="695"/>
      <c r="P102" s="695"/>
      <c r="Q102" s="695"/>
      <c r="R102" s="695"/>
      <c r="S102" s="695"/>
      <c r="T102" s="8"/>
      <c r="U102" s="8"/>
      <c r="V102" s="8"/>
      <c r="W102" s="8"/>
      <c r="X102" s="8"/>
      <c r="Y102" s="8"/>
      <c r="Z102" s="8"/>
      <c r="AA102" s="8"/>
      <c r="AB102" s="8"/>
    </row>
    <row r="103" ht="12.75" customHeight="1" spans="1:28" x14ac:dyDescent="0.25">
      <c r="A103" s="8"/>
      <c r="B103" s="8"/>
      <c r="C103" s="8"/>
      <c r="D103" s="8"/>
      <c r="E103" s="8"/>
      <c r="F103" s="8"/>
      <c r="G103" s="695"/>
      <c r="H103" s="695"/>
      <c r="I103" s="695"/>
      <c r="J103" s="695"/>
      <c r="K103" s="695"/>
      <c r="L103" s="695"/>
      <c r="M103" s="695"/>
      <c r="N103" s="695"/>
      <c r="O103" s="695"/>
      <c r="P103" s="695"/>
      <c r="Q103" s="695"/>
      <c r="R103" s="695"/>
      <c r="S103" s="695"/>
      <c r="T103" s="8"/>
      <c r="U103" s="8"/>
      <c r="V103" s="8"/>
      <c r="W103" s="8"/>
      <c r="X103" s="8"/>
      <c r="Y103" s="8"/>
      <c r="Z103" s="8"/>
      <c r="AA103" s="8"/>
      <c r="AB103" s="8"/>
    </row>
    <row r="104" ht="12.75" customHeight="1" spans="1:28" x14ac:dyDescent="0.25">
      <c r="A104" s="8"/>
      <c r="B104" s="8"/>
      <c r="C104" s="8"/>
      <c r="D104" s="8"/>
      <c r="E104" s="8"/>
      <c r="F104" s="8"/>
      <c r="G104" s="695"/>
      <c r="H104" s="695"/>
      <c r="I104" s="695"/>
      <c r="J104" s="695"/>
      <c r="K104" s="695"/>
      <c r="L104" s="695"/>
      <c r="M104" s="695"/>
      <c r="N104" s="695"/>
      <c r="O104" s="695"/>
      <c r="P104" s="695"/>
      <c r="Q104" s="695"/>
      <c r="R104" s="695"/>
      <c r="S104" s="695"/>
      <c r="T104" s="8"/>
      <c r="U104" s="8"/>
      <c r="V104" s="8"/>
      <c r="W104" s="8"/>
      <c r="X104" s="8"/>
      <c r="Y104" s="8"/>
      <c r="Z104" s="8"/>
      <c r="AA104" s="8"/>
      <c r="AB104" s="8"/>
    </row>
    <row r="105" ht="12.75" customHeight="1" spans="1:28" x14ac:dyDescent="0.25">
      <c r="A105" s="8"/>
      <c r="B105" s="8"/>
      <c r="C105" s="8"/>
      <c r="D105" s="8"/>
      <c r="E105" s="8"/>
      <c r="F105" s="8"/>
      <c r="G105" s="695"/>
      <c r="H105" s="695"/>
      <c r="I105" s="695"/>
      <c r="J105" s="695"/>
      <c r="K105" s="695"/>
      <c r="L105" s="695"/>
      <c r="M105" s="695"/>
      <c r="N105" s="695"/>
      <c r="O105" s="695"/>
      <c r="P105" s="695"/>
      <c r="Q105" s="695"/>
      <c r="R105" s="695"/>
      <c r="S105" s="695"/>
      <c r="T105" s="8"/>
      <c r="U105" s="8"/>
      <c r="V105" s="8"/>
      <c r="W105" s="8"/>
      <c r="X105" s="8"/>
      <c r="Y105" s="8"/>
      <c r="Z105" s="8"/>
      <c r="AA105" s="8"/>
      <c r="AB105" s="8"/>
    </row>
    <row r="106" ht="12.75" customHeight="1" spans="1:28" x14ac:dyDescent="0.25">
      <c r="A106" s="8"/>
      <c r="B106" s="8"/>
      <c r="C106" s="8"/>
      <c r="D106" s="8"/>
      <c r="E106" s="8"/>
      <c r="F106" s="8"/>
      <c r="G106" s="695"/>
      <c r="H106" s="695"/>
      <c r="I106" s="695"/>
      <c r="J106" s="695"/>
      <c r="K106" s="695"/>
      <c r="L106" s="695"/>
      <c r="M106" s="695"/>
      <c r="N106" s="695"/>
      <c r="O106" s="695"/>
      <c r="P106" s="695"/>
      <c r="Q106" s="695"/>
      <c r="R106" s="695"/>
      <c r="S106" s="695"/>
      <c r="T106" s="8"/>
      <c r="U106" s="8"/>
      <c r="V106" s="8"/>
      <c r="W106" s="8"/>
      <c r="X106" s="8"/>
      <c r="Y106" s="8"/>
      <c r="Z106" s="8"/>
      <c r="AA106" s="8"/>
      <c r="AB106" s="8"/>
    </row>
    <row r="107" ht="12.75" customHeight="1" spans="1:28" x14ac:dyDescent="0.25">
      <c r="A107" s="8"/>
      <c r="B107" s="8"/>
      <c r="C107" s="8"/>
      <c r="D107" s="8"/>
      <c r="E107" s="8"/>
      <c r="F107" s="8"/>
      <c r="G107" s="695"/>
      <c r="H107" s="695"/>
      <c r="I107" s="695"/>
      <c r="J107" s="695"/>
      <c r="K107" s="695"/>
      <c r="L107" s="695"/>
      <c r="M107" s="695"/>
      <c r="N107" s="695"/>
      <c r="O107" s="695"/>
      <c r="P107" s="695"/>
      <c r="Q107" s="695"/>
      <c r="R107" s="695"/>
      <c r="S107" s="695"/>
      <c r="T107" s="8"/>
      <c r="U107" s="8"/>
      <c r="V107" s="8"/>
      <c r="W107" s="8"/>
      <c r="X107" s="8"/>
      <c r="Y107" s="8"/>
      <c r="Z107" s="8"/>
      <c r="AA107" s="8"/>
      <c r="AB107" s="8"/>
    </row>
    <row r="108" ht="12.75" customHeight="1" spans="1:28" x14ac:dyDescent="0.25">
      <c r="A108" s="8"/>
      <c r="B108" s="8"/>
      <c r="C108" s="8"/>
      <c r="D108" s="8"/>
      <c r="E108" s="8"/>
      <c r="F108" s="8"/>
      <c r="G108" s="695"/>
      <c r="H108" s="695"/>
      <c r="I108" s="695"/>
      <c r="J108" s="695"/>
      <c r="K108" s="695"/>
      <c r="L108" s="695"/>
      <c r="M108" s="695"/>
      <c r="N108" s="695"/>
      <c r="O108" s="695"/>
      <c r="P108" s="695"/>
      <c r="Q108" s="695"/>
      <c r="R108" s="695"/>
      <c r="S108" s="695"/>
      <c r="T108" s="8"/>
      <c r="U108" s="8"/>
      <c r="V108" s="8"/>
      <c r="W108" s="8"/>
      <c r="X108" s="8"/>
      <c r="Y108" s="8"/>
      <c r="Z108" s="8"/>
      <c r="AA108" s="8"/>
      <c r="AB108" s="8"/>
    </row>
    <row r="109" ht="12.75" customHeight="1" spans="1:28" x14ac:dyDescent="0.25">
      <c r="A109" s="8"/>
      <c r="B109" s="8"/>
      <c r="C109" s="8"/>
      <c r="D109" s="8"/>
      <c r="E109" s="8"/>
      <c r="F109" s="8"/>
      <c r="G109" s="695"/>
      <c r="H109" s="695"/>
      <c r="I109" s="695"/>
      <c r="J109" s="695"/>
      <c r="K109" s="695"/>
      <c r="L109" s="695"/>
      <c r="M109" s="695"/>
      <c r="N109" s="695"/>
      <c r="O109" s="695"/>
      <c r="P109" s="695"/>
      <c r="Q109" s="695"/>
      <c r="R109" s="695"/>
      <c r="S109" s="695"/>
      <c r="T109" s="8"/>
      <c r="U109" s="8"/>
      <c r="V109" s="8"/>
      <c r="W109" s="8"/>
      <c r="X109" s="8"/>
      <c r="Y109" s="8"/>
      <c r="Z109" s="8"/>
      <c r="AA109" s="8"/>
      <c r="AB109" s="8"/>
    </row>
    <row r="110" ht="12.75" customHeight="1" spans="1:28" x14ac:dyDescent="0.25">
      <c r="A110" s="8"/>
      <c r="B110" s="8"/>
      <c r="C110" s="8"/>
      <c r="D110" s="8"/>
      <c r="E110" s="8"/>
      <c r="F110" s="8"/>
      <c r="G110" s="695"/>
      <c r="H110" s="695"/>
      <c r="I110" s="695"/>
      <c r="J110" s="695"/>
      <c r="K110" s="695"/>
      <c r="L110" s="695"/>
      <c r="M110" s="695"/>
      <c r="N110" s="695"/>
      <c r="O110" s="695"/>
      <c r="P110" s="695"/>
      <c r="Q110" s="695"/>
      <c r="R110" s="695"/>
      <c r="S110" s="695"/>
      <c r="T110" s="8"/>
      <c r="U110" s="8"/>
      <c r="V110" s="8"/>
      <c r="W110" s="8"/>
      <c r="X110" s="8"/>
      <c r="Y110" s="8"/>
      <c r="Z110" s="8"/>
      <c r="AA110" s="8"/>
      <c r="AB110" s="8"/>
    </row>
    <row r="111" ht="12.75" customHeight="1" spans="1:28" x14ac:dyDescent="0.25">
      <c r="A111" s="8"/>
      <c r="B111" s="8"/>
      <c r="C111" s="8"/>
      <c r="D111" s="8"/>
      <c r="E111" s="8"/>
      <c r="F111" s="8"/>
      <c r="G111" s="695"/>
      <c r="H111" s="695"/>
      <c r="I111" s="695"/>
      <c r="J111" s="695"/>
      <c r="K111" s="695"/>
      <c r="L111" s="695"/>
      <c r="M111" s="695"/>
      <c r="N111" s="695"/>
      <c r="O111" s="695"/>
      <c r="P111" s="695"/>
      <c r="Q111" s="695"/>
      <c r="R111" s="695"/>
      <c r="S111" s="695"/>
      <c r="T111" s="8"/>
      <c r="U111" s="8"/>
      <c r="V111" s="8"/>
      <c r="W111" s="8"/>
      <c r="X111" s="8"/>
      <c r="Y111" s="8"/>
      <c r="Z111" s="8"/>
      <c r="AA111" s="8"/>
      <c r="AB111" s="8"/>
    </row>
    <row r="112" ht="12.75" customHeight="1" spans="1:28" x14ac:dyDescent="0.25">
      <c r="A112" s="8"/>
      <c r="B112" s="8"/>
      <c r="C112" s="8"/>
      <c r="D112" s="8"/>
      <c r="E112" s="8"/>
      <c r="F112" s="8"/>
      <c r="G112" s="695"/>
      <c r="H112" s="695"/>
      <c r="I112" s="695"/>
      <c r="J112" s="695"/>
      <c r="K112" s="695"/>
      <c r="L112" s="695"/>
      <c r="M112" s="695"/>
      <c r="N112" s="695"/>
      <c r="O112" s="695"/>
      <c r="P112" s="695"/>
      <c r="Q112" s="695"/>
      <c r="R112" s="695"/>
      <c r="S112" s="695"/>
      <c r="T112" s="8"/>
      <c r="U112" s="8"/>
      <c r="V112" s="8"/>
      <c r="W112" s="8"/>
      <c r="X112" s="8"/>
      <c r="Y112" s="8"/>
      <c r="Z112" s="8"/>
      <c r="AA112" s="8"/>
      <c r="AB112" s="8"/>
    </row>
    <row r="113" ht="12.75" customHeight="1" spans="1:28" x14ac:dyDescent="0.25">
      <c r="A113" s="8"/>
      <c r="B113" s="8"/>
      <c r="C113" s="8"/>
      <c r="D113" s="8"/>
      <c r="E113" s="8"/>
      <c r="F113" s="8"/>
      <c r="G113" s="695"/>
      <c r="H113" s="695"/>
      <c r="I113" s="695"/>
      <c r="J113" s="695"/>
      <c r="K113" s="695"/>
      <c r="L113" s="695"/>
      <c r="M113" s="695"/>
      <c r="N113" s="695"/>
      <c r="O113" s="695"/>
      <c r="P113" s="695"/>
      <c r="Q113" s="695"/>
      <c r="R113" s="695"/>
      <c r="S113" s="695"/>
      <c r="T113" s="8"/>
      <c r="U113" s="8"/>
      <c r="V113" s="8"/>
      <c r="W113" s="8"/>
      <c r="X113" s="8"/>
      <c r="Y113" s="8"/>
      <c r="Z113" s="8"/>
      <c r="AA113" s="8"/>
      <c r="AB113" s="8"/>
    </row>
    <row r="114" ht="12.75" customHeight="1" spans="1:28" x14ac:dyDescent="0.25">
      <c r="A114" s="8"/>
      <c r="B114" s="8"/>
      <c r="C114" s="8"/>
      <c r="D114" s="8"/>
      <c r="E114" s="8"/>
      <c r="F114" s="8"/>
      <c r="G114" s="695"/>
      <c r="H114" s="695"/>
      <c r="I114" s="695"/>
      <c r="J114" s="695"/>
      <c r="K114" s="695"/>
      <c r="L114" s="695"/>
      <c r="M114" s="695"/>
      <c r="N114" s="695"/>
      <c r="O114" s="695"/>
      <c r="P114" s="695"/>
      <c r="Q114" s="695"/>
      <c r="R114" s="695"/>
      <c r="S114" s="695"/>
      <c r="T114" s="8"/>
      <c r="U114" s="8"/>
      <c r="V114" s="8"/>
      <c r="W114" s="8"/>
      <c r="X114" s="8"/>
      <c r="Y114" s="8"/>
      <c r="Z114" s="8"/>
      <c r="AA114" s="8"/>
      <c r="AB114" s="8"/>
    </row>
    <row r="115" ht="12.75" customHeight="1" spans="1:28" x14ac:dyDescent="0.25">
      <c r="A115" s="8"/>
      <c r="B115" s="8"/>
      <c r="C115" s="8"/>
      <c r="D115" s="8"/>
      <c r="E115" s="8"/>
      <c r="F115" s="8"/>
      <c r="G115" s="695"/>
      <c r="H115" s="695"/>
      <c r="I115" s="695"/>
      <c r="J115" s="695"/>
      <c r="K115" s="695"/>
      <c r="L115" s="695"/>
      <c r="M115" s="695"/>
      <c r="N115" s="695"/>
      <c r="O115" s="695"/>
      <c r="P115" s="695"/>
      <c r="Q115" s="695"/>
      <c r="R115" s="695"/>
      <c r="S115" s="695"/>
      <c r="T115" s="8"/>
      <c r="U115" s="8"/>
      <c r="V115" s="8"/>
      <c r="W115" s="8"/>
      <c r="X115" s="8"/>
      <c r="Y115" s="8"/>
      <c r="Z115" s="8"/>
      <c r="AA115" s="8"/>
      <c r="AB115" s="8"/>
    </row>
    <row r="116" ht="12.75" customHeight="1" spans="1:28" x14ac:dyDescent="0.25">
      <c r="A116" s="8"/>
      <c r="B116" s="8"/>
      <c r="C116" s="8"/>
      <c r="D116" s="8"/>
      <c r="E116" s="8"/>
      <c r="F116" s="8"/>
      <c r="G116" s="695"/>
      <c r="H116" s="695"/>
      <c r="I116" s="695"/>
      <c r="J116" s="695"/>
      <c r="K116" s="695"/>
      <c r="L116" s="695"/>
      <c r="M116" s="695"/>
      <c r="N116" s="695"/>
      <c r="O116" s="695"/>
      <c r="P116" s="695"/>
      <c r="Q116" s="695"/>
      <c r="R116" s="695"/>
      <c r="S116" s="695"/>
      <c r="T116" s="8"/>
      <c r="U116" s="8"/>
      <c r="V116" s="8"/>
      <c r="W116" s="8"/>
      <c r="X116" s="8"/>
      <c r="Y116" s="8"/>
      <c r="Z116" s="8"/>
      <c r="AA116" s="8"/>
      <c r="AB116" s="8"/>
    </row>
    <row r="117" ht="12.75" customHeight="1" spans="1:28" x14ac:dyDescent="0.25">
      <c r="A117" s="8"/>
      <c r="B117" s="8"/>
      <c r="C117" s="8"/>
      <c r="D117" s="8"/>
      <c r="E117" s="8"/>
      <c r="F117" s="8"/>
      <c r="G117" s="695"/>
      <c r="H117" s="695"/>
      <c r="I117" s="695"/>
      <c r="J117" s="695"/>
      <c r="K117" s="695"/>
      <c r="L117" s="695"/>
      <c r="M117" s="695"/>
      <c r="N117" s="695"/>
      <c r="O117" s="695"/>
      <c r="P117" s="695"/>
      <c r="Q117" s="695"/>
      <c r="R117" s="695"/>
      <c r="S117" s="695"/>
      <c r="T117" s="8"/>
      <c r="U117" s="8"/>
      <c r="V117" s="8"/>
      <c r="W117" s="8"/>
      <c r="X117" s="8"/>
      <c r="Y117" s="8"/>
      <c r="Z117" s="8"/>
      <c r="AA117" s="8"/>
      <c r="AB117" s="8"/>
    </row>
    <row r="118" ht="12.75" customHeight="1" spans="1:28" x14ac:dyDescent="0.25">
      <c r="A118" s="8"/>
      <c r="B118" s="8"/>
      <c r="C118" s="8"/>
      <c r="D118" s="8"/>
      <c r="E118" s="8"/>
      <c r="F118" s="8"/>
      <c r="G118" s="695"/>
      <c r="H118" s="695"/>
      <c r="I118" s="695"/>
      <c r="J118" s="695"/>
      <c r="K118" s="695"/>
      <c r="L118" s="695"/>
      <c r="M118" s="695"/>
      <c r="N118" s="695"/>
      <c r="O118" s="695"/>
      <c r="P118" s="695"/>
      <c r="Q118" s="695"/>
      <c r="R118" s="695"/>
      <c r="S118" s="695"/>
      <c r="T118" s="8"/>
      <c r="U118" s="8"/>
      <c r="V118" s="8"/>
      <c r="W118" s="8"/>
      <c r="X118" s="8"/>
      <c r="Y118" s="8"/>
      <c r="Z118" s="8"/>
      <c r="AA118" s="8"/>
      <c r="AB118" s="8"/>
    </row>
    <row r="119" ht="12.75" customHeight="1" spans="1:28" x14ac:dyDescent="0.25">
      <c r="A119" s="8"/>
      <c r="B119" s="8"/>
      <c r="C119" s="8"/>
      <c r="D119" s="8"/>
      <c r="E119" s="8"/>
      <c r="F119" s="8"/>
      <c r="G119" s="695"/>
      <c r="H119" s="695"/>
      <c r="I119" s="695"/>
      <c r="J119" s="695"/>
      <c r="K119" s="695"/>
      <c r="L119" s="695"/>
      <c r="M119" s="695"/>
      <c r="N119" s="695"/>
      <c r="O119" s="695"/>
      <c r="P119" s="695"/>
      <c r="Q119" s="695"/>
      <c r="R119" s="695"/>
      <c r="S119" s="695"/>
      <c r="T119" s="8"/>
      <c r="U119" s="8"/>
      <c r="V119" s="8"/>
      <c r="W119" s="8"/>
      <c r="X119" s="8"/>
      <c r="Y119" s="8"/>
      <c r="Z119" s="8"/>
      <c r="AA119" s="8"/>
      <c r="AB119" s="8"/>
    </row>
    <row r="120" ht="12.75" customHeight="1" spans="1:28" x14ac:dyDescent="0.25">
      <c r="A120" s="8"/>
      <c r="B120" s="8"/>
      <c r="C120" s="8"/>
      <c r="D120" s="8"/>
      <c r="E120" s="8"/>
      <c r="F120" s="8"/>
      <c r="G120" s="695"/>
      <c r="H120" s="695"/>
      <c r="I120" s="695"/>
      <c r="J120" s="695"/>
      <c r="K120" s="695"/>
      <c r="L120" s="695"/>
      <c r="M120" s="695"/>
      <c r="N120" s="695"/>
      <c r="O120" s="695"/>
      <c r="P120" s="695"/>
      <c r="Q120" s="695"/>
      <c r="R120" s="695"/>
      <c r="S120" s="695"/>
      <c r="T120" s="8"/>
      <c r="U120" s="8"/>
      <c r="V120" s="8"/>
      <c r="W120" s="8"/>
      <c r="X120" s="8"/>
      <c r="Y120" s="8"/>
      <c r="Z120" s="8"/>
      <c r="AA120" s="8"/>
      <c r="AB120" s="8"/>
    </row>
    <row r="121" ht="12.75" customHeight="1" spans="1:28" x14ac:dyDescent="0.25">
      <c r="A121" s="8"/>
      <c r="B121" s="8"/>
      <c r="C121" s="8"/>
      <c r="D121" s="8"/>
      <c r="E121" s="8"/>
      <c r="F121" s="145">
        <v>0</v>
      </c>
      <c r="G121" s="695"/>
      <c r="H121" s="695"/>
      <c r="I121" s="695"/>
      <c r="J121" s="695"/>
      <c r="K121" s="695"/>
      <c r="L121" s="695"/>
      <c r="M121" s="695"/>
      <c r="N121" s="695"/>
      <c r="O121" s="695"/>
      <c r="P121" s="695"/>
      <c r="Q121" s="695"/>
      <c r="R121" s="695"/>
      <c r="S121" s="695"/>
      <c r="T121" s="8"/>
      <c r="U121" s="8"/>
      <c r="V121" s="8"/>
      <c r="W121" s="8"/>
      <c r="X121" s="8"/>
      <c r="Y121" s="8"/>
      <c r="Z121" s="8"/>
      <c r="AA121" s="8"/>
      <c r="AB121" s="8"/>
    </row>
    <row r="122" ht="12.75" customHeight="1" spans="1:28" x14ac:dyDescent="0.25">
      <c r="A122" s="8"/>
      <c r="B122" s="8"/>
      <c r="C122" s="8"/>
      <c r="D122" s="8"/>
      <c r="E122" s="8"/>
      <c r="F122" s="8"/>
      <c r="G122" s="695"/>
      <c r="H122" s="695"/>
      <c r="I122" s="695"/>
      <c r="J122" s="695"/>
      <c r="K122" s="695"/>
      <c r="L122" s="695"/>
      <c r="M122" s="695"/>
      <c r="N122" s="695"/>
      <c r="O122" s="695"/>
      <c r="P122" s="695"/>
      <c r="Q122" s="695"/>
      <c r="R122" s="695"/>
      <c r="S122" s="695"/>
      <c r="T122" s="8"/>
      <c r="U122" s="8"/>
      <c r="V122" s="8"/>
      <c r="W122" s="8"/>
      <c r="X122" s="8"/>
      <c r="Y122" s="8"/>
      <c r="Z122" s="8"/>
      <c r="AA122" s="8"/>
      <c r="AB122" s="8"/>
    </row>
    <row r="123" ht="12.75" customHeight="1" spans="1:28" x14ac:dyDescent="0.25">
      <c r="A123" s="8"/>
      <c r="B123" s="8"/>
      <c r="C123" s="8"/>
      <c r="D123" s="8"/>
      <c r="E123" s="8"/>
      <c r="F123" s="8"/>
      <c r="G123" s="695"/>
      <c r="H123" s="695"/>
      <c r="I123" s="695"/>
      <c r="J123" s="695"/>
      <c r="K123" s="695"/>
      <c r="L123" s="695"/>
      <c r="M123" s="695"/>
      <c r="N123" s="695"/>
      <c r="O123" s="695"/>
      <c r="P123" s="695"/>
      <c r="Q123" s="695"/>
      <c r="R123" s="695"/>
      <c r="S123" s="695"/>
      <c r="T123" s="8"/>
      <c r="U123" s="8"/>
      <c r="V123" s="8"/>
      <c r="W123" s="8"/>
      <c r="X123" s="8"/>
      <c r="Y123" s="8"/>
      <c r="Z123" s="8"/>
      <c r="AA123" s="8"/>
      <c r="AB123" s="8"/>
    </row>
    <row r="124" ht="12.75" customHeight="1" spans="1:28" x14ac:dyDescent="0.25">
      <c r="A124" s="8"/>
      <c r="B124" s="8"/>
      <c r="C124" s="8"/>
      <c r="D124" s="8"/>
      <c r="E124" s="8"/>
      <c r="F124" s="8"/>
      <c r="G124" s="695"/>
      <c r="H124" s="695"/>
      <c r="I124" s="695"/>
      <c r="J124" s="695"/>
      <c r="K124" s="695"/>
      <c r="L124" s="695"/>
      <c r="M124" s="695"/>
      <c r="N124" s="695"/>
      <c r="O124" s="695"/>
      <c r="P124" s="695"/>
      <c r="Q124" s="695"/>
      <c r="R124" s="695"/>
      <c r="S124" s="695"/>
      <c r="T124" s="8"/>
      <c r="U124" s="8"/>
      <c r="V124" s="8"/>
      <c r="W124" s="8"/>
      <c r="X124" s="8"/>
      <c r="Y124" s="8"/>
      <c r="Z124" s="8"/>
      <c r="AA124" s="8"/>
      <c r="AB124" s="8"/>
    </row>
    <row r="125" ht="12.75" customHeight="1" spans="1:28" x14ac:dyDescent="0.25">
      <c r="A125" s="8"/>
      <c r="B125" s="8"/>
      <c r="C125" s="8"/>
      <c r="D125" s="8"/>
      <c r="E125" s="8"/>
      <c r="F125" s="8"/>
      <c r="G125" s="695"/>
      <c r="H125" s="695"/>
      <c r="I125" s="695"/>
      <c r="J125" s="695"/>
      <c r="K125" s="695"/>
      <c r="L125" s="695"/>
      <c r="M125" s="695"/>
      <c r="N125" s="695"/>
      <c r="O125" s="695"/>
      <c r="P125" s="695"/>
      <c r="Q125" s="695"/>
      <c r="R125" s="695"/>
      <c r="S125" s="695"/>
      <c r="T125" s="8"/>
      <c r="U125" s="8"/>
      <c r="V125" s="8"/>
      <c r="W125" s="8"/>
      <c r="X125" s="8"/>
      <c r="Y125" s="8"/>
      <c r="Z125" s="8"/>
      <c r="AA125" s="8"/>
      <c r="AB125" s="8"/>
    </row>
    <row r="126" ht="12.75" customHeight="1" spans="1:28" x14ac:dyDescent="0.25">
      <c r="A126" s="8"/>
      <c r="B126" s="8"/>
      <c r="C126" s="8"/>
      <c r="D126" s="8"/>
      <c r="E126" s="8"/>
      <c r="F126" s="8"/>
      <c r="G126" s="695"/>
      <c r="H126" s="695"/>
      <c r="I126" s="695"/>
      <c r="J126" s="695"/>
      <c r="K126" s="695"/>
      <c r="L126" s="695"/>
      <c r="M126" s="695"/>
      <c r="N126" s="695"/>
      <c r="O126" s="695"/>
      <c r="P126" s="695"/>
      <c r="Q126" s="695"/>
      <c r="R126" s="695"/>
      <c r="S126" s="695"/>
      <c r="T126" s="8"/>
      <c r="U126" s="8"/>
      <c r="V126" s="8"/>
      <c r="W126" s="8"/>
      <c r="X126" s="8"/>
      <c r="Y126" s="8"/>
      <c r="Z126" s="8"/>
      <c r="AA126" s="8"/>
      <c r="AB126" s="8"/>
    </row>
    <row r="127" ht="12.75" customHeight="1" spans="1:28" x14ac:dyDescent="0.25">
      <c r="A127" s="8"/>
      <c r="B127" s="8"/>
      <c r="C127" s="8"/>
      <c r="D127" s="8"/>
      <c r="E127" s="8"/>
      <c r="F127" s="8"/>
      <c r="G127" s="695"/>
      <c r="H127" s="695"/>
      <c r="I127" s="695"/>
      <c r="J127" s="695"/>
      <c r="K127" s="695"/>
      <c r="L127" s="695"/>
      <c r="M127" s="695"/>
      <c r="N127" s="695"/>
      <c r="O127" s="695"/>
      <c r="P127" s="695"/>
      <c r="Q127" s="695"/>
      <c r="R127" s="695"/>
      <c r="S127" s="695"/>
      <c r="T127" s="8"/>
      <c r="U127" s="8"/>
      <c r="V127" s="8"/>
      <c r="W127" s="8"/>
      <c r="X127" s="8"/>
      <c r="Y127" s="8"/>
      <c r="Z127" s="8"/>
      <c r="AA127" s="8"/>
      <c r="AB127" s="8"/>
    </row>
    <row r="128" ht="12.75" customHeight="1" spans="1:28" x14ac:dyDescent="0.25">
      <c r="A128" s="8"/>
      <c r="B128" s="8"/>
      <c r="C128" s="8"/>
      <c r="D128" s="8"/>
      <c r="E128" s="8"/>
      <c r="F128" s="8"/>
      <c r="G128" s="695"/>
      <c r="H128" s="695"/>
      <c r="I128" s="695"/>
      <c r="J128" s="695"/>
      <c r="K128" s="695"/>
      <c r="L128" s="695"/>
      <c r="M128" s="695"/>
      <c r="N128" s="695"/>
      <c r="O128" s="695"/>
      <c r="P128" s="695"/>
      <c r="Q128" s="695"/>
      <c r="R128" s="695"/>
      <c r="S128" s="695"/>
      <c r="T128" s="8"/>
      <c r="U128" s="8"/>
      <c r="V128" s="8"/>
      <c r="W128" s="8"/>
      <c r="X128" s="8"/>
      <c r="Y128" s="8"/>
      <c r="Z128" s="8"/>
      <c r="AA128" s="8"/>
      <c r="AB128" s="8"/>
    </row>
    <row r="129" ht="12.75" customHeight="1" spans="1:28" x14ac:dyDescent="0.25">
      <c r="A129" s="8"/>
      <c r="B129" s="8"/>
      <c r="C129" s="8"/>
      <c r="D129" s="8"/>
      <c r="E129" s="8"/>
      <c r="F129" s="8"/>
      <c r="G129" s="695"/>
      <c r="H129" s="695"/>
      <c r="I129" s="695"/>
      <c r="J129" s="695"/>
      <c r="K129" s="695"/>
      <c r="L129" s="695"/>
      <c r="M129" s="695"/>
      <c r="N129" s="695"/>
      <c r="O129" s="695"/>
      <c r="P129" s="695"/>
      <c r="Q129" s="695"/>
      <c r="R129" s="695"/>
      <c r="S129" s="695"/>
      <c r="T129" s="8"/>
      <c r="U129" s="8"/>
      <c r="V129" s="8"/>
      <c r="W129" s="8"/>
      <c r="X129" s="8"/>
      <c r="Y129" s="8"/>
      <c r="Z129" s="8"/>
      <c r="AA129" s="8"/>
      <c r="AB129" s="8"/>
    </row>
    <row r="130" ht="12.75" customHeight="1" spans="1:28" x14ac:dyDescent="0.25">
      <c r="A130" s="8"/>
      <c r="B130" s="8"/>
      <c r="C130" s="8"/>
      <c r="D130" s="8"/>
      <c r="E130" s="8"/>
      <c r="F130" s="8"/>
      <c r="G130" s="695"/>
      <c r="H130" s="695"/>
      <c r="I130" s="695"/>
      <c r="J130" s="695"/>
      <c r="K130" s="695"/>
      <c r="L130" s="695"/>
      <c r="M130" s="695"/>
      <c r="N130" s="695"/>
      <c r="O130" s="695"/>
      <c r="P130" s="695"/>
      <c r="Q130" s="695"/>
      <c r="R130" s="695"/>
      <c r="S130" s="695"/>
      <c r="T130" s="8"/>
      <c r="U130" s="8"/>
      <c r="V130" s="8"/>
      <c r="W130" s="8"/>
      <c r="X130" s="8"/>
      <c r="Y130" s="8"/>
      <c r="Z130" s="8"/>
      <c r="AA130" s="8"/>
      <c r="AB130" s="8"/>
    </row>
    <row r="131" ht="12.75" customHeight="1" spans="1:28" x14ac:dyDescent="0.25">
      <c r="A131" s="8"/>
      <c r="B131" s="8"/>
      <c r="C131" s="8"/>
      <c r="D131" s="8"/>
      <c r="E131" s="8"/>
      <c r="F131" s="8"/>
      <c r="G131" s="695"/>
      <c r="H131" s="695"/>
      <c r="I131" s="695"/>
      <c r="J131" s="695"/>
      <c r="K131" s="695"/>
      <c r="L131" s="695"/>
      <c r="M131" s="695"/>
      <c r="N131" s="695"/>
      <c r="O131" s="695"/>
      <c r="P131" s="695"/>
      <c r="Q131" s="695"/>
      <c r="R131" s="695"/>
      <c r="S131" s="695"/>
      <c r="T131" s="8"/>
      <c r="U131" s="8"/>
      <c r="V131" s="8"/>
      <c r="W131" s="8"/>
      <c r="X131" s="8"/>
      <c r="Y131" s="8"/>
      <c r="Z131" s="8"/>
      <c r="AA131" s="8"/>
      <c r="AB131" s="8"/>
    </row>
    <row r="132" ht="12.75" customHeight="1" spans="1:28" x14ac:dyDescent="0.25">
      <c r="A132" s="8"/>
      <c r="B132" s="8"/>
      <c r="C132" s="8"/>
      <c r="D132" s="8"/>
      <c r="E132" s="8"/>
      <c r="F132" s="8"/>
      <c r="G132" s="695"/>
      <c r="H132" s="695"/>
      <c r="I132" s="695"/>
      <c r="J132" s="695"/>
      <c r="K132" s="695"/>
      <c r="L132" s="695"/>
      <c r="M132" s="695"/>
      <c r="N132" s="695"/>
      <c r="O132" s="695"/>
      <c r="P132" s="695"/>
      <c r="Q132" s="695"/>
      <c r="R132" s="695"/>
      <c r="S132" s="695"/>
      <c r="T132" s="8"/>
      <c r="U132" s="8"/>
      <c r="V132" s="8"/>
      <c r="W132" s="8"/>
      <c r="X132" s="8"/>
      <c r="Y132" s="8"/>
      <c r="Z132" s="8"/>
      <c r="AA132" s="8"/>
      <c r="AB132" s="8"/>
    </row>
    <row r="133" ht="12.75" customHeight="1" spans="1:28" x14ac:dyDescent="0.25">
      <c r="A133" s="8"/>
      <c r="B133" s="8"/>
      <c r="C133" s="8"/>
      <c r="D133" s="8"/>
      <c r="E133" s="8"/>
      <c r="F133" s="8"/>
      <c r="G133" s="695"/>
      <c r="H133" s="695"/>
      <c r="I133" s="695"/>
      <c r="J133" s="695"/>
      <c r="K133" s="695"/>
      <c r="L133" s="695"/>
      <c r="M133" s="695"/>
      <c r="N133" s="695"/>
      <c r="O133" s="695"/>
      <c r="P133" s="695"/>
      <c r="Q133" s="695"/>
      <c r="R133" s="695"/>
      <c r="S133" s="695"/>
      <c r="T133" s="8"/>
      <c r="U133" s="8"/>
      <c r="V133" s="8"/>
      <c r="W133" s="8"/>
      <c r="X133" s="8"/>
      <c r="Y133" s="8"/>
      <c r="Z133" s="8"/>
      <c r="AA133" s="8"/>
      <c r="AB133" s="8"/>
    </row>
    <row r="134" ht="12.75" customHeight="1" spans="1:28" x14ac:dyDescent="0.25">
      <c r="A134" s="8"/>
      <c r="B134" s="8"/>
      <c r="C134" s="8"/>
      <c r="D134" s="8"/>
      <c r="E134" s="8"/>
      <c r="F134" s="8"/>
      <c r="G134" s="695"/>
      <c r="H134" s="695"/>
      <c r="I134" s="695"/>
      <c r="J134" s="695"/>
      <c r="K134" s="695"/>
      <c r="L134" s="695"/>
      <c r="M134" s="695"/>
      <c r="N134" s="695"/>
      <c r="O134" s="695"/>
      <c r="P134" s="695"/>
      <c r="Q134" s="695"/>
      <c r="R134" s="695"/>
      <c r="S134" s="695"/>
      <c r="T134" s="8"/>
      <c r="U134" s="8"/>
      <c r="V134" s="8"/>
      <c r="W134" s="8"/>
      <c r="X134" s="8"/>
      <c r="Y134" s="8"/>
      <c r="Z134" s="8"/>
      <c r="AA134" s="8"/>
      <c r="AB134" s="8"/>
    </row>
    <row r="135" ht="12.75" customHeight="1" spans="1:28" x14ac:dyDescent="0.25">
      <c r="A135" s="8"/>
      <c r="B135" s="8"/>
      <c r="C135" s="8"/>
      <c r="D135" s="8"/>
      <c r="E135" s="8"/>
      <c r="F135" s="8"/>
      <c r="G135" s="695"/>
      <c r="H135" s="695"/>
      <c r="I135" s="695"/>
      <c r="J135" s="695"/>
      <c r="K135" s="695"/>
      <c r="L135" s="695"/>
      <c r="M135" s="695"/>
      <c r="N135" s="695"/>
      <c r="O135" s="695"/>
      <c r="P135" s="695"/>
      <c r="Q135" s="695"/>
      <c r="R135" s="695"/>
      <c r="S135" s="695"/>
      <c r="T135" s="8"/>
      <c r="U135" s="8"/>
      <c r="V135" s="8"/>
      <c r="W135" s="8"/>
      <c r="X135" s="8"/>
      <c r="Y135" s="8"/>
      <c r="Z135" s="8"/>
      <c r="AA135" s="8"/>
      <c r="AB135" s="8"/>
    </row>
    <row r="136" ht="12.75" customHeight="1" spans="1:28" x14ac:dyDescent="0.25">
      <c r="A136" s="8"/>
      <c r="B136" s="8"/>
      <c r="C136" s="8"/>
      <c r="D136" s="8"/>
      <c r="E136" s="8"/>
      <c r="F136" s="8"/>
      <c r="G136" s="695"/>
      <c r="H136" s="695"/>
      <c r="I136" s="695"/>
      <c r="J136" s="695"/>
      <c r="K136" s="695"/>
      <c r="L136" s="695"/>
      <c r="M136" s="695"/>
      <c r="N136" s="695"/>
      <c r="O136" s="695"/>
      <c r="P136" s="695"/>
      <c r="Q136" s="695"/>
      <c r="R136" s="695"/>
      <c r="S136" s="695"/>
      <c r="T136" s="8"/>
      <c r="U136" s="8"/>
      <c r="V136" s="8"/>
      <c r="W136" s="8"/>
      <c r="X136" s="8"/>
      <c r="Y136" s="8"/>
      <c r="Z136" s="8"/>
      <c r="AA136" s="8"/>
      <c r="AB136" s="8"/>
    </row>
    <row r="137" ht="12.75" customHeight="1" spans="1:28" x14ac:dyDescent="0.25">
      <c r="A137" s="8"/>
      <c r="B137" s="8"/>
      <c r="C137" s="8"/>
      <c r="D137" s="8"/>
      <c r="E137" s="8"/>
      <c r="F137" s="8"/>
      <c r="G137" s="695"/>
      <c r="H137" s="695"/>
      <c r="I137" s="695"/>
      <c r="J137" s="695"/>
      <c r="K137" s="695"/>
      <c r="L137" s="695"/>
      <c r="M137" s="695"/>
      <c r="N137" s="695"/>
      <c r="O137" s="695"/>
      <c r="P137" s="695"/>
      <c r="Q137" s="695"/>
      <c r="R137" s="695"/>
      <c r="S137" s="695"/>
      <c r="T137" s="8"/>
      <c r="U137" s="8"/>
      <c r="V137" s="8"/>
      <c r="W137" s="8"/>
      <c r="X137" s="8"/>
      <c r="Y137" s="8"/>
      <c r="Z137" s="8"/>
      <c r="AA137" s="8"/>
      <c r="AB137" s="8"/>
    </row>
    <row r="138" ht="12.75" customHeight="1" spans="1:28" x14ac:dyDescent="0.25">
      <c r="A138" s="8"/>
      <c r="B138" s="8"/>
      <c r="C138" s="8"/>
      <c r="D138" s="8"/>
      <c r="E138" s="8"/>
      <c r="F138" s="8"/>
      <c r="G138" s="695"/>
      <c r="H138" s="695"/>
      <c r="I138" s="695"/>
      <c r="J138" s="695"/>
      <c r="K138" s="695"/>
      <c r="L138" s="695"/>
      <c r="M138" s="695"/>
      <c r="N138" s="695"/>
      <c r="O138" s="695"/>
      <c r="P138" s="695"/>
      <c r="Q138" s="695"/>
      <c r="R138" s="695"/>
      <c r="S138" s="695"/>
      <c r="T138" s="8"/>
      <c r="U138" s="8"/>
      <c r="V138" s="8"/>
      <c r="W138" s="8"/>
      <c r="X138" s="8"/>
      <c r="Y138" s="8"/>
      <c r="Z138" s="8"/>
      <c r="AA138" s="8"/>
      <c r="AB138" s="8"/>
    </row>
    <row r="139" ht="12.75" customHeight="1" spans="1:28" x14ac:dyDescent="0.25">
      <c r="A139" s="8"/>
      <c r="B139" s="8"/>
      <c r="C139" s="8"/>
      <c r="D139" s="8"/>
      <c r="E139" s="8"/>
      <c r="F139" s="8"/>
      <c r="G139" s="695"/>
      <c r="H139" s="695"/>
      <c r="I139" s="695"/>
      <c r="J139" s="695"/>
      <c r="K139" s="695"/>
      <c r="L139" s="695"/>
      <c r="M139" s="695"/>
      <c r="N139" s="695"/>
      <c r="O139" s="695"/>
      <c r="P139" s="695"/>
      <c r="Q139" s="695"/>
      <c r="R139" s="695"/>
      <c r="S139" s="695"/>
      <c r="T139" s="8"/>
      <c r="U139" s="8"/>
      <c r="V139" s="8"/>
      <c r="W139" s="8"/>
      <c r="X139" s="8"/>
      <c r="Y139" s="8"/>
      <c r="Z139" s="8"/>
      <c r="AA139" s="8"/>
      <c r="AB139" s="8"/>
    </row>
    <row r="140" ht="12.75" customHeight="1" spans="1:28" x14ac:dyDescent="0.25">
      <c r="A140" s="8"/>
      <c r="B140" s="8"/>
      <c r="C140" s="8"/>
      <c r="D140" s="8"/>
      <c r="E140" s="8"/>
      <c r="F140" s="8"/>
      <c r="G140" s="695"/>
      <c r="H140" s="695"/>
      <c r="I140" s="695"/>
      <c r="J140" s="695"/>
      <c r="K140" s="695"/>
      <c r="L140" s="695"/>
      <c r="M140" s="695"/>
      <c r="N140" s="695"/>
      <c r="O140" s="695"/>
      <c r="P140" s="695"/>
      <c r="Q140" s="695"/>
      <c r="R140" s="695"/>
      <c r="S140" s="695"/>
      <c r="T140" s="8"/>
      <c r="U140" s="8"/>
      <c r="V140" s="8"/>
      <c r="W140" s="8"/>
      <c r="X140" s="8"/>
      <c r="Y140" s="8"/>
      <c r="Z140" s="8"/>
      <c r="AA140" s="8"/>
      <c r="AB140" s="8"/>
    </row>
    <row r="141" ht="12.75" customHeight="1" spans="1:28" x14ac:dyDescent="0.25">
      <c r="A141" s="8"/>
      <c r="B141" s="8"/>
      <c r="C141" s="8"/>
      <c r="D141" s="8"/>
      <c r="E141" s="8"/>
      <c r="F141" s="8"/>
      <c r="G141" s="695"/>
      <c r="H141" s="695"/>
      <c r="I141" s="695"/>
      <c r="J141" s="695"/>
      <c r="K141" s="695"/>
      <c r="L141" s="695"/>
      <c r="M141" s="695"/>
      <c r="N141" s="695"/>
      <c r="O141" s="695"/>
      <c r="P141" s="695"/>
      <c r="Q141" s="695"/>
      <c r="R141" s="695"/>
      <c r="S141" s="695"/>
      <c r="T141" s="8"/>
      <c r="U141" s="8"/>
      <c r="V141" s="8"/>
      <c r="W141" s="8"/>
      <c r="X141" s="8"/>
      <c r="Y141" s="8"/>
      <c r="Z141" s="8"/>
      <c r="AA141" s="8"/>
      <c r="AB141" s="8"/>
    </row>
    <row r="142" ht="12.75" customHeight="1" spans="1:28" x14ac:dyDescent="0.25">
      <c r="A142" s="8"/>
      <c r="B142" s="8"/>
      <c r="C142" s="8"/>
      <c r="D142" s="8"/>
      <c r="E142" s="8"/>
      <c r="F142" s="8"/>
      <c r="G142" s="695"/>
      <c r="H142" s="695"/>
      <c r="I142" s="695"/>
      <c r="J142" s="695"/>
      <c r="K142" s="695"/>
      <c r="L142" s="695"/>
      <c r="M142" s="695"/>
      <c r="N142" s="695"/>
      <c r="O142" s="695"/>
      <c r="P142" s="695"/>
      <c r="Q142" s="695"/>
      <c r="R142" s="695"/>
      <c r="S142" s="695"/>
      <c r="T142" s="8"/>
      <c r="U142" s="8"/>
      <c r="V142" s="8"/>
      <c r="W142" s="8"/>
      <c r="X142" s="8"/>
      <c r="Y142" s="8"/>
      <c r="Z142" s="8"/>
      <c r="AA142" s="8"/>
      <c r="AB142" s="8"/>
    </row>
    <row r="143" ht="12.75" customHeight="1" spans="1:28" x14ac:dyDescent="0.25">
      <c r="A143" s="8"/>
      <c r="B143" s="8"/>
      <c r="C143" s="8"/>
      <c r="D143" s="8"/>
      <c r="E143" s="8"/>
      <c r="F143" s="8"/>
      <c r="G143" s="695"/>
      <c r="H143" s="695"/>
      <c r="I143" s="695"/>
      <c r="J143" s="695"/>
      <c r="K143" s="695"/>
      <c r="L143" s="695"/>
      <c r="M143" s="695"/>
      <c r="N143" s="695"/>
      <c r="O143" s="695"/>
      <c r="P143" s="695"/>
      <c r="Q143" s="695"/>
      <c r="R143" s="695"/>
      <c r="S143" s="695"/>
      <c r="T143" s="8"/>
      <c r="U143" s="8"/>
      <c r="V143" s="8"/>
      <c r="W143" s="8"/>
      <c r="X143" s="8"/>
      <c r="Y143" s="8"/>
      <c r="Z143" s="8"/>
      <c r="AA143" s="8"/>
      <c r="AB143" s="8"/>
    </row>
    <row r="144" ht="12.75" customHeight="1" spans="1:28" x14ac:dyDescent="0.25">
      <c r="A144" s="8"/>
      <c r="B144" s="8"/>
      <c r="C144" s="8"/>
      <c r="D144" s="8"/>
      <c r="E144" s="8"/>
      <c r="F144" s="8"/>
      <c r="G144" s="695"/>
      <c r="H144" s="695"/>
      <c r="I144" s="695"/>
      <c r="J144" s="695"/>
      <c r="K144" s="695"/>
      <c r="L144" s="695"/>
      <c r="M144" s="695"/>
      <c r="N144" s="695"/>
      <c r="O144" s="695"/>
      <c r="P144" s="695"/>
      <c r="Q144" s="695"/>
      <c r="R144" s="695"/>
      <c r="S144" s="695"/>
      <c r="T144" s="8"/>
      <c r="U144" s="8"/>
      <c r="V144" s="8"/>
      <c r="W144" s="8"/>
      <c r="X144" s="8"/>
      <c r="Y144" s="8"/>
      <c r="Z144" s="8"/>
      <c r="AA144" s="8"/>
      <c r="AB144" s="8"/>
    </row>
    <row r="145" ht="12.75" customHeight="1" spans="1:28" x14ac:dyDescent="0.25">
      <c r="A145" s="8"/>
      <c r="B145" s="8"/>
      <c r="C145" s="8"/>
      <c r="D145" s="8"/>
      <c r="E145" s="8"/>
      <c r="F145" s="8"/>
      <c r="G145" s="695"/>
      <c r="H145" s="695"/>
      <c r="I145" s="695"/>
      <c r="J145" s="695"/>
      <c r="K145" s="695"/>
      <c r="L145" s="695"/>
      <c r="M145" s="695"/>
      <c r="N145" s="695"/>
      <c r="O145" s="695"/>
      <c r="P145" s="695"/>
      <c r="Q145" s="695"/>
      <c r="R145" s="695"/>
      <c r="S145" s="695"/>
      <c r="T145" s="8"/>
      <c r="U145" s="8"/>
      <c r="V145" s="8"/>
      <c r="W145" s="8"/>
      <c r="X145" s="8"/>
      <c r="Y145" s="8"/>
      <c r="Z145" s="8"/>
      <c r="AA145" s="8"/>
      <c r="AB145" s="8"/>
    </row>
    <row r="146" ht="12.75" customHeight="1" spans="1:28" x14ac:dyDescent="0.25">
      <c r="A146" s="8"/>
      <c r="B146" s="8"/>
      <c r="C146" s="8"/>
      <c r="D146" s="8"/>
      <c r="E146" s="8"/>
      <c r="F146" s="8"/>
      <c r="G146" s="695"/>
      <c r="H146" s="695"/>
      <c r="I146" s="695"/>
      <c r="J146" s="695"/>
      <c r="K146" s="695"/>
      <c r="L146" s="695"/>
      <c r="M146" s="695"/>
      <c r="N146" s="695"/>
      <c r="O146" s="695"/>
      <c r="P146" s="695"/>
      <c r="Q146" s="695"/>
      <c r="R146" s="695"/>
      <c r="S146" s="695"/>
      <c r="T146" s="8"/>
      <c r="U146" s="8"/>
      <c r="V146" s="8"/>
      <c r="W146" s="8"/>
      <c r="X146" s="8"/>
      <c r="Y146" s="8"/>
      <c r="Z146" s="8"/>
      <c r="AA146" s="8"/>
      <c r="AB146" s="8"/>
    </row>
    <row r="147" ht="12.75" customHeight="1" spans="1:28" x14ac:dyDescent="0.25">
      <c r="A147" s="8"/>
      <c r="B147" s="8"/>
      <c r="C147" s="8"/>
      <c r="D147" s="8"/>
      <c r="E147" s="8"/>
      <c r="F147" s="8"/>
      <c r="G147" s="695"/>
      <c r="H147" s="695"/>
      <c r="I147" s="695"/>
      <c r="J147" s="695"/>
      <c r="K147" s="695"/>
      <c r="L147" s="695"/>
      <c r="M147" s="695"/>
      <c r="N147" s="695"/>
      <c r="O147" s="695"/>
      <c r="P147" s="695"/>
      <c r="Q147" s="695"/>
      <c r="R147" s="695"/>
      <c r="S147" s="695"/>
      <c r="T147" s="8"/>
      <c r="U147" s="8"/>
      <c r="V147" s="8"/>
      <c r="W147" s="8"/>
      <c r="X147" s="8"/>
      <c r="Y147" s="8"/>
      <c r="Z147" s="8"/>
      <c r="AA147" s="8"/>
      <c r="AB147" s="8"/>
    </row>
    <row r="148" ht="12.75" customHeight="1" spans="1:28" x14ac:dyDescent="0.25">
      <c r="A148" s="8"/>
      <c r="B148" s="8"/>
      <c r="C148" s="8"/>
      <c r="D148" s="8"/>
      <c r="E148" s="8"/>
      <c r="F148" s="8"/>
      <c r="G148" s="695"/>
      <c r="H148" s="695"/>
      <c r="I148" s="695"/>
      <c r="J148" s="695"/>
      <c r="K148" s="695"/>
      <c r="L148" s="695"/>
      <c r="M148" s="695"/>
      <c r="N148" s="695"/>
      <c r="O148" s="695"/>
      <c r="P148" s="695"/>
      <c r="Q148" s="695"/>
      <c r="R148" s="695"/>
      <c r="S148" s="695"/>
      <c r="T148" s="8"/>
      <c r="U148" s="8"/>
      <c r="V148" s="8"/>
      <c r="W148" s="8"/>
      <c r="X148" s="8"/>
      <c r="Y148" s="8"/>
      <c r="Z148" s="8"/>
      <c r="AA148" s="8"/>
      <c r="AB148" s="8"/>
    </row>
    <row r="149" ht="12.75" customHeight="1" spans="1:28" x14ac:dyDescent="0.25">
      <c r="A149" s="8"/>
      <c r="B149" s="8"/>
      <c r="C149" s="8"/>
      <c r="D149" s="8"/>
      <c r="E149" s="8"/>
      <c r="F149" s="8"/>
      <c r="G149" s="695"/>
      <c r="H149" s="695"/>
      <c r="I149" s="695"/>
      <c r="J149" s="695"/>
      <c r="K149" s="695"/>
      <c r="L149" s="695"/>
      <c r="M149" s="695"/>
      <c r="N149" s="695"/>
      <c r="O149" s="695"/>
      <c r="P149" s="695"/>
      <c r="Q149" s="695"/>
      <c r="R149" s="695"/>
      <c r="S149" s="695"/>
      <c r="T149" s="8"/>
      <c r="U149" s="8"/>
      <c r="V149" s="8"/>
      <c r="W149" s="8"/>
      <c r="X149" s="8"/>
      <c r="Y149" s="8"/>
      <c r="Z149" s="8"/>
      <c r="AA149" s="8"/>
      <c r="AB149" s="8"/>
    </row>
    <row r="150" ht="12.75" customHeight="1" spans="1:28" x14ac:dyDescent="0.25">
      <c r="A150" s="8"/>
      <c r="B150" s="8"/>
      <c r="C150" s="8"/>
      <c r="D150" s="8"/>
      <c r="E150" s="8"/>
      <c r="F150" s="8"/>
      <c r="G150" s="695"/>
      <c r="H150" s="695"/>
      <c r="I150" s="695"/>
      <c r="J150" s="695"/>
      <c r="K150" s="695"/>
      <c r="L150" s="695"/>
      <c r="M150" s="695"/>
      <c r="N150" s="695"/>
      <c r="O150" s="695"/>
      <c r="P150" s="695"/>
      <c r="Q150" s="695"/>
      <c r="R150" s="695"/>
      <c r="S150" s="695"/>
      <c r="T150" s="8"/>
      <c r="U150" s="8"/>
      <c r="V150" s="8"/>
      <c r="W150" s="8"/>
      <c r="X150" s="8"/>
      <c r="Y150" s="8"/>
      <c r="Z150" s="8"/>
      <c r="AA150" s="8"/>
      <c r="AB150" s="8"/>
    </row>
    <row r="151" ht="12.75" customHeight="1" spans="1:28" x14ac:dyDescent="0.25">
      <c r="A151" s="8"/>
      <c r="B151" s="8"/>
      <c r="C151" s="8"/>
      <c r="D151" s="8"/>
      <c r="E151" s="8"/>
      <c r="F151" s="8"/>
      <c r="G151" s="695"/>
      <c r="H151" s="695"/>
      <c r="I151" s="695"/>
      <c r="J151" s="695"/>
      <c r="K151" s="695"/>
      <c r="L151" s="695"/>
      <c r="M151" s="695"/>
      <c r="N151" s="695"/>
      <c r="O151" s="695"/>
      <c r="P151" s="695"/>
      <c r="Q151" s="695"/>
      <c r="R151" s="695"/>
      <c r="S151" s="695"/>
      <c r="T151" s="8"/>
      <c r="U151" s="8"/>
      <c r="V151" s="8"/>
      <c r="W151" s="8"/>
      <c r="X151" s="8"/>
      <c r="Y151" s="8"/>
      <c r="Z151" s="8"/>
      <c r="AA151" s="8"/>
      <c r="AB151" s="8"/>
    </row>
    <row r="152" ht="12.75" customHeight="1" spans="1:28" x14ac:dyDescent="0.25">
      <c r="A152" s="8"/>
      <c r="B152" s="8"/>
      <c r="C152" s="8"/>
      <c r="D152" s="8"/>
      <c r="E152" s="8"/>
      <c r="F152" s="8"/>
      <c r="G152" s="695"/>
      <c r="H152" s="695"/>
      <c r="I152" s="695"/>
      <c r="J152" s="695"/>
      <c r="K152" s="695"/>
      <c r="L152" s="695"/>
      <c r="M152" s="695"/>
      <c r="N152" s="695"/>
      <c r="O152" s="695"/>
      <c r="P152" s="695"/>
      <c r="Q152" s="695"/>
      <c r="R152" s="695"/>
      <c r="S152" s="695"/>
      <c r="T152" s="8"/>
      <c r="U152" s="8"/>
      <c r="V152" s="8"/>
      <c r="W152" s="8"/>
      <c r="X152" s="8"/>
      <c r="Y152" s="8"/>
      <c r="Z152" s="8"/>
      <c r="AA152" s="8"/>
      <c r="AB152" s="8"/>
    </row>
    <row r="153" ht="12.75" customHeight="1" spans="1:28" x14ac:dyDescent="0.25">
      <c r="A153" s="8"/>
      <c r="B153" s="8"/>
      <c r="C153" s="8"/>
      <c r="D153" s="8"/>
      <c r="E153" s="8"/>
      <c r="F153" s="8"/>
      <c r="G153" s="695"/>
      <c r="H153" s="695"/>
      <c r="I153" s="695"/>
      <c r="J153" s="695"/>
      <c r="K153" s="695"/>
      <c r="L153" s="695"/>
      <c r="M153" s="695"/>
      <c r="N153" s="695"/>
      <c r="O153" s="695"/>
      <c r="P153" s="695"/>
      <c r="Q153" s="695"/>
      <c r="R153" s="695"/>
      <c r="S153" s="695"/>
      <c r="T153" s="8"/>
      <c r="U153" s="8"/>
      <c r="V153" s="8"/>
      <c r="W153" s="8"/>
      <c r="X153" s="8"/>
      <c r="Y153" s="8"/>
      <c r="Z153" s="8"/>
      <c r="AA153" s="8"/>
      <c r="AB153" s="8"/>
    </row>
    <row r="154" ht="12.75" customHeight="1" spans="1:28" x14ac:dyDescent="0.25">
      <c r="A154" s="8"/>
      <c r="B154" s="8"/>
      <c r="C154" s="8"/>
      <c r="D154" s="8"/>
      <c r="E154" s="8"/>
      <c r="F154" s="8"/>
      <c r="G154" s="695"/>
      <c r="H154" s="695"/>
      <c r="I154" s="695"/>
      <c r="J154" s="695"/>
      <c r="K154" s="695"/>
      <c r="L154" s="695"/>
      <c r="M154" s="695"/>
      <c r="N154" s="695"/>
      <c r="O154" s="695"/>
      <c r="P154" s="695"/>
      <c r="Q154" s="695"/>
      <c r="R154" s="695"/>
      <c r="S154" s="695"/>
      <c r="T154" s="8"/>
      <c r="U154" s="8"/>
      <c r="V154" s="8"/>
      <c r="W154" s="8"/>
      <c r="X154" s="8"/>
      <c r="Y154" s="8"/>
      <c r="Z154" s="8"/>
      <c r="AA154" s="8"/>
      <c r="AB154" s="8"/>
    </row>
    <row r="155" ht="12.75" customHeight="1" spans="1:28" x14ac:dyDescent="0.25">
      <c r="A155" s="8"/>
      <c r="B155" s="8"/>
      <c r="C155" s="8"/>
      <c r="D155" s="8"/>
      <c r="E155" s="8"/>
      <c r="F155" s="8"/>
      <c r="G155" s="695"/>
      <c r="H155" s="695"/>
      <c r="I155" s="695"/>
      <c r="J155" s="695"/>
      <c r="K155" s="695"/>
      <c r="L155" s="695"/>
      <c r="M155" s="695"/>
      <c r="N155" s="695"/>
      <c r="O155" s="695"/>
      <c r="P155" s="695"/>
      <c r="Q155" s="695"/>
      <c r="R155" s="695"/>
      <c r="S155" s="695"/>
      <c r="T155" s="8"/>
      <c r="U155" s="8"/>
      <c r="V155" s="8"/>
      <c r="W155" s="8"/>
      <c r="X155" s="8"/>
      <c r="Y155" s="8"/>
      <c r="Z155" s="8"/>
      <c r="AA155" s="8"/>
      <c r="AB155" s="8"/>
    </row>
    <row r="156" ht="12.75" customHeight="1" spans="1:28" x14ac:dyDescent="0.25">
      <c r="A156" s="8"/>
      <c r="B156" s="8"/>
      <c r="C156" s="8"/>
      <c r="D156" s="8"/>
      <c r="E156" s="8"/>
      <c r="F156" s="8"/>
      <c r="G156" s="695"/>
      <c r="H156" s="695"/>
      <c r="I156" s="695"/>
      <c r="J156" s="695"/>
      <c r="K156" s="695"/>
      <c r="L156" s="695"/>
      <c r="M156" s="695"/>
      <c r="N156" s="695"/>
      <c r="O156" s="695"/>
      <c r="P156" s="695"/>
      <c r="Q156" s="695"/>
      <c r="R156" s="695"/>
      <c r="S156" s="695"/>
      <c r="T156" s="8"/>
      <c r="U156" s="8"/>
      <c r="V156" s="8"/>
      <c r="W156" s="8"/>
      <c r="X156" s="8"/>
      <c r="Y156" s="8"/>
      <c r="Z156" s="8"/>
      <c r="AA156" s="8"/>
      <c r="AB156" s="8"/>
    </row>
    <row r="157" ht="12.75" customHeight="1" spans="1:28" x14ac:dyDescent="0.25">
      <c r="A157" s="8"/>
      <c r="B157" s="8"/>
      <c r="C157" s="8"/>
      <c r="D157" s="8"/>
      <c r="E157" s="8"/>
      <c r="F157" s="8"/>
      <c r="G157" s="695"/>
      <c r="H157" s="695"/>
      <c r="I157" s="695"/>
      <c r="J157" s="695"/>
      <c r="K157" s="695"/>
      <c r="L157" s="695"/>
      <c r="M157" s="695"/>
      <c r="N157" s="695"/>
      <c r="O157" s="695"/>
      <c r="P157" s="695"/>
      <c r="Q157" s="695"/>
      <c r="R157" s="695"/>
      <c r="S157" s="695"/>
      <c r="T157" s="8"/>
      <c r="U157" s="8"/>
      <c r="V157" s="8"/>
      <c r="W157" s="8"/>
      <c r="X157" s="8"/>
      <c r="Y157" s="8"/>
      <c r="Z157" s="8"/>
      <c r="AA157" s="8"/>
      <c r="AB157" s="8"/>
    </row>
    <row r="158" ht="12.75" customHeight="1" spans="1:28" x14ac:dyDescent="0.25">
      <c r="A158" s="8"/>
      <c r="B158" s="8"/>
      <c r="C158" s="8"/>
      <c r="D158" s="8"/>
      <c r="E158" s="8"/>
      <c r="F158" s="8"/>
      <c r="G158" s="695"/>
      <c r="H158" s="695"/>
      <c r="I158" s="695"/>
      <c r="J158" s="695"/>
      <c r="K158" s="695"/>
      <c r="L158" s="695"/>
      <c r="M158" s="695"/>
      <c r="N158" s="695"/>
      <c r="O158" s="695"/>
      <c r="P158" s="695"/>
      <c r="Q158" s="695"/>
      <c r="R158" s="695"/>
      <c r="S158" s="695"/>
      <c r="T158" s="8"/>
      <c r="U158" s="8"/>
      <c r="V158" s="8"/>
      <c r="W158" s="8"/>
      <c r="X158" s="8"/>
      <c r="Y158" s="8"/>
      <c r="Z158" s="8"/>
      <c r="AA158" s="8"/>
      <c r="AB158" s="8"/>
    </row>
    <row r="159" ht="12.75" customHeight="1" spans="1:28" x14ac:dyDescent="0.25">
      <c r="A159" s="8"/>
      <c r="B159" s="8"/>
      <c r="C159" s="8"/>
      <c r="D159" s="8"/>
      <c r="E159" s="8"/>
      <c r="F159" s="8"/>
      <c r="G159" s="695"/>
      <c r="H159" s="695"/>
      <c r="I159" s="695"/>
      <c r="J159" s="695"/>
      <c r="K159" s="695"/>
      <c r="L159" s="695"/>
      <c r="M159" s="695"/>
      <c r="N159" s="695"/>
      <c r="O159" s="695"/>
      <c r="P159" s="695"/>
      <c r="Q159" s="695"/>
      <c r="R159" s="695"/>
      <c r="S159" s="695"/>
      <c r="T159" s="8"/>
      <c r="U159" s="8"/>
      <c r="V159" s="8"/>
      <c r="W159" s="8"/>
      <c r="X159" s="8"/>
      <c r="Y159" s="8"/>
      <c r="Z159" s="8"/>
      <c r="AA159" s="8"/>
      <c r="AB159" s="8"/>
    </row>
    <row r="160" ht="12.75" customHeight="1" spans="1:28" x14ac:dyDescent="0.25">
      <c r="A160" s="8"/>
      <c r="B160" s="8"/>
      <c r="C160" s="8"/>
      <c r="D160" s="8"/>
      <c r="E160" s="8"/>
      <c r="F160" s="8"/>
      <c r="G160" s="695"/>
      <c r="H160" s="695"/>
      <c r="I160" s="695"/>
      <c r="J160" s="695"/>
      <c r="K160" s="695"/>
      <c r="L160" s="695"/>
      <c r="M160" s="695"/>
      <c r="N160" s="695"/>
      <c r="O160" s="695"/>
      <c r="P160" s="695"/>
      <c r="Q160" s="695"/>
      <c r="R160" s="695"/>
      <c r="S160" s="695"/>
      <c r="T160" s="8"/>
      <c r="U160" s="8"/>
      <c r="V160" s="8"/>
      <c r="W160" s="8"/>
      <c r="X160" s="8"/>
      <c r="Y160" s="8"/>
      <c r="Z160" s="8"/>
      <c r="AA160" s="8"/>
      <c r="AB160" s="8"/>
    </row>
    <row r="161" ht="12.75" customHeight="1" spans="1:28" x14ac:dyDescent="0.25">
      <c r="A161" s="8"/>
      <c r="B161" s="8"/>
      <c r="C161" s="8"/>
      <c r="D161" s="8"/>
      <c r="E161" s="8"/>
      <c r="F161" s="8"/>
      <c r="G161" s="695"/>
      <c r="H161" s="695"/>
      <c r="I161" s="695"/>
      <c r="J161" s="695"/>
      <c r="K161" s="695"/>
      <c r="L161" s="695"/>
      <c r="M161" s="695"/>
      <c r="N161" s="695"/>
      <c r="O161" s="695"/>
      <c r="P161" s="695"/>
      <c r="Q161" s="695"/>
      <c r="R161" s="695"/>
      <c r="S161" s="695"/>
      <c r="T161" s="8"/>
      <c r="U161" s="8"/>
      <c r="V161" s="8"/>
      <c r="W161" s="8"/>
      <c r="X161" s="8"/>
      <c r="Y161" s="8"/>
      <c r="Z161" s="8"/>
      <c r="AA161" s="8"/>
      <c r="AB161" s="8"/>
    </row>
    <row r="162" ht="12.75" customHeight="1" spans="1:28" x14ac:dyDescent="0.25">
      <c r="A162" s="8"/>
      <c r="B162" s="8"/>
      <c r="C162" s="8"/>
      <c r="D162" s="8"/>
      <c r="E162" s="8"/>
      <c r="F162" s="8"/>
      <c r="G162" s="695"/>
      <c r="H162" s="695"/>
      <c r="I162" s="695"/>
      <c r="J162" s="695"/>
      <c r="K162" s="695"/>
      <c r="L162" s="695"/>
      <c r="M162" s="695"/>
      <c r="N162" s="695"/>
      <c r="O162" s="695"/>
      <c r="P162" s="695"/>
      <c r="Q162" s="695"/>
      <c r="R162" s="695"/>
      <c r="S162" s="695"/>
      <c r="T162" s="8"/>
      <c r="U162" s="8"/>
      <c r="V162" s="8"/>
      <c r="W162" s="8"/>
      <c r="X162" s="8"/>
      <c r="Y162" s="8"/>
      <c r="Z162" s="8"/>
      <c r="AA162" s="8"/>
      <c r="AB162" s="8"/>
    </row>
    <row r="163" ht="12.75" customHeight="1" spans="1:28" x14ac:dyDescent="0.25">
      <c r="A163" s="8"/>
      <c r="B163" s="8"/>
      <c r="C163" s="8"/>
      <c r="D163" s="8"/>
      <c r="E163" s="8"/>
      <c r="F163" s="8"/>
      <c r="G163" s="695"/>
      <c r="H163" s="695"/>
      <c r="I163" s="695"/>
      <c r="J163" s="695"/>
      <c r="K163" s="695"/>
      <c r="L163" s="695"/>
      <c r="M163" s="695"/>
      <c r="N163" s="695"/>
      <c r="O163" s="695"/>
      <c r="P163" s="695"/>
      <c r="Q163" s="695"/>
      <c r="R163" s="695"/>
      <c r="S163" s="695"/>
      <c r="T163" s="8"/>
      <c r="U163" s="8"/>
      <c r="V163" s="8"/>
      <c r="W163" s="8"/>
      <c r="X163" s="8"/>
      <c r="Y163" s="8"/>
      <c r="Z163" s="8"/>
      <c r="AA163" s="8"/>
      <c r="AB163" s="8"/>
    </row>
    <row r="164" ht="12.75" customHeight="1" spans="1:28" x14ac:dyDescent="0.25">
      <c r="A164" s="8"/>
      <c r="B164" s="8"/>
      <c r="C164" s="8"/>
      <c r="D164" s="8"/>
      <c r="E164" s="8"/>
      <c r="F164" s="8"/>
      <c r="G164" s="695"/>
      <c r="H164" s="695"/>
      <c r="I164" s="695"/>
      <c r="J164" s="695"/>
      <c r="K164" s="695"/>
      <c r="L164" s="695"/>
      <c r="M164" s="695"/>
      <c r="N164" s="695"/>
      <c r="O164" s="695"/>
      <c r="P164" s="695"/>
      <c r="Q164" s="695"/>
      <c r="R164" s="695"/>
      <c r="S164" s="695"/>
      <c r="T164" s="8"/>
      <c r="U164" s="8"/>
      <c r="V164" s="8"/>
      <c r="W164" s="8"/>
      <c r="X164" s="8"/>
      <c r="Y164" s="8"/>
      <c r="Z164" s="8"/>
      <c r="AA164" s="8"/>
      <c r="AB164" s="8"/>
    </row>
    <row r="165" ht="12.75" customHeight="1" spans="1:28" x14ac:dyDescent="0.25">
      <c r="A165" s="8"/>
      <c r="B165" s="8"/>
      <c r="C165" s="8"/>
      <c r="D165" s="8"/>
      <c r="E165" s="8"/>
      <c r="F165" s="8"/>
      <c r="G165" s="695"/>
      <c r="H165" s="695"/>
      <c r="I165" s="695"/>
      <c r="J165" s="695"/>
      <c r="K165" s="695"/>
      <c r="L165" s="695"/>
      <c r="M165" s="695"/>
      <c r="N165" s="695"/>
      <c r="O165" s="695"/>
      <c r="P165" s="695"/>
      <c r="Q165" s="695"/>
      <c r="R165" s="695"/>
      <c r="S165" s="695"/>
      <c r="T165" s="8"/>
      <c r="U165" s="8"/>
      <c r="V165" s="8"/>
      <c r="W165" s="8"/>
      <c r="X165" s="8"/>
      <c r="Y165" s="8"/>
      <c r="Z165" s="8"/>
      <c r="AA165" s="8"/>
      <c r="AB165" s="8"/>
    </row>
    <row r="166" ht="12.75" customHeight="1" spans="1:28" x14ac:dyDescent="0.25">
      <c r="A166" s="8"/>
      <c r="B166" s="8"/>
      <c r="C166" s="8"/>
      <c r="D166" s="8"/>
      <c r="E166" s="8"/>
      <c r="F166" s="8"/>
      <c r="G166" s="695"/>
      <c r="H166" s="695"/>
      <c r="I166" s="695"/>
      <c r="J166" s="695"/>
      <c r="K166" s="695"/>
      <c r="L166" s="695"/>
      <c r="M166" s="695"/>
      <c r="N166" s="695"/>
      <c r="O166" s="695"/>
      <c r="P166" s="695"/>
      <c r="Q166" s="695"/>
      <c r="R166" s="695"/>
      <c r="S166" s="695"/>
      <c r="T166" s="8"/>
      <c r="U166" s="8"/>
      <c r="V166" s="8"/>
      <c r="W166" s="8"/>
      <c r="X166" s="8"/>
      <c r="Y166" s="8"/>
      <c r="Z166" s="8"/>
      <c r="AA166" s="8"/>
      <c r="AB166" s="8"/>
    </row>
    <row r="167" ht="12.75" customHeight="1" spans="1:28" x14ac:dyDescent="0.25">
      <c r="A167" s="8"/>
      <c r="B167" s="8"/>
      <c r="C167" s="8"/>
      <c r="D167" s="8"/>
      <c r="E167" s="8"/>
      <c r="F167" s="8"/>
      <c r="G167" s="695"/>
      <c r="H167" s="695"/>
      <c r="I167" s="695"/>
      <c r="J167" s="695"/>
      <c r="K167" s="695"/>
      <c r="L167" s="695"/>
      <c r="M167" s="695"/>
      <c r="N167" s="695"/>
      <c r="O167" s="695"/>
      <c r="P167" s="695"/>
      <c r="Q167" s="695"/>
      <c r="R167" s="695"/>
      <c r="S167" s="695"/>
      <c r="T167" s="8"/>
      <c r="U167" s="8"/>
      <c r="V167" s="8"/>
      <c r="W167" s="8"/>
      <c r="X167" s="8"/>
      <c r="Y167" s="8"/>
      <c r="Z167" s="8"/>
      <c r="AA167" s="8"/>
      <c r="AB167" s="8"/>
    </row>
    <row r="168" ht="12.75" customHeight="1" spans="1:28" x14ac:dyDescent="0.25">
      <c r="A168" s="8"/>
      <c r="B168" s="8"/>
      <c r="C168" s="8"/>
      <c r="D168" s="8"/>
      <c r="E168" s="8"/>
      <c r="F168" s="8"/>
      <c r="G168" s="695"/>
      <c r="H168" s="695"/>
      <c r="I168" s="695"/>
      <c r="J168" s="695"/>
      <c r="K168" s="695"/>
      <c r="L168" s="695"/>
      <c r="M168" s="695"/>
      <c r="N168" s="695"/>
      <c r="O168" s="695"/>
      <c r="P168" s="695"/>
      <c r="Q168" s="695"/>
      <c r="R168" s="695"/>
      <c r="S168" s="695"/>
      <c r="T168" s="8"/>
      <c r="U168" s="8"/>
      <c r="V168" s="8"/>
      <c r="W168" s="8"/>
      <c r="X168" s="8"/>
      <c r="Y168" s="8"/>
      <c r="Z168" s="8"/>
      <c r="AA168" s="8"/>
      <c r="AB168" s="8"/>
    </row>
    <row r="169" ht="12.75" customHeight="1" spans="1:28" x14ac:dyDescent="0.25">
      <c r="A169" s="8"/>
      <c r="B169" s="8"/>
      <c r="C169" s="8"/>
      <c r="D169" s="8"/>
      <c r="E169" s="8"/>
      <c r="F169" s="8"/>
      <c r="G169" s="695"/>
      <c r="H169" s="695"/>
      <c r="I169" s="695"/>
      <c r="J169" s="695"/>
      <c r="K169" s="695"/>
      <c r="L169" s="695"/>
      <c r="M169" s="695"/>
      <c r="N169" s="695"/>
      <c r="O169" s="695"/>
      <c r="P169" s="695"/>
      <c r="Q169" s="695"/>
      <c r="R169" s="695"/>
      <c r="S169" s="695"/>
      <c r="T169" s="8"/>
      <c r="U169" s="8"/>
      <c r="V169" s="8"/>
      <c r="W169" s="8"/>
      <c r="X169" s="8"/>
      <c r="Y169" s="8"/>
      <c r="Z169" s="8"/>
      <c r="AA169" s="8"/>
      <c r="AB169" s="8"/>
    </row>
    <row r="170" ht="12.75" customHeight="1" spans="1:28" x14ac:dyDescent="0.25">
      <c r="A170" s="8"/>
      <c r="B170" s="8"/>
      <c r="C170" s="8"/>
      <c r="D170" s="8"/>
      <c r="E170" s="8"/>
      <c r="F170" s="8"/>
      <c r="G170" s="695"/>
      <c r="H170" s="695"/>
      <c r="I170" s="695"/>
      <c r="J170" s="695"/>
      <c r="K170" s="695"/>
      <c r="L170" s="695"/>
      <c r="M170" s="695"/>
      <c r="N170" s="695"/>
      <c r="O170" s="695"/>
      <c r="P170" s="695"/>
      <c r="Q170" s="695"/>
      <c r="R170" s="695"/>
      <c r="S170" s="695"/>
      <c r="T170" s="8"/>
      <c r="U170" s="8"/>
      <c r="V170" s="8"/>
      <c r="W170" s="8"/>
      <c r="X170" s="8"/>
      <c r="Y170" s="8"/>
      <c r="Z170" s="8"/>
      <c r="AA170" s="8"/>
      <c r="AB170" s="8"/>
    </row>
    <row r="171" ht="12.75" customHeight="1" spans="1:28" x14ac:dyDescent="0.25">
      <c r="A171" s="8"/>
      <c r="B171" s="8"/>
      <c r="C171" s="8"/>
      <c r="D171" s="8"/>
      <c r="E171" s="8"/>
      <c r="F171" s="8"/>
      <c r="G171" s="695"/>
      <c r="H171" s="695"/>
      <c r="I171" s="695"/>
      <c r="J171" s="695"/>
      <c r="K171" s="695"/>
      <c r="L171" s="695"/>
      <c r="M171" s="695"/>
      <c r="N171" s="695"/>
      <c r="O171" s="695"/>
      <c r="P171" s="695"/>
      <c r="Q171" s="695"/>
      <c r="R171" s="695"/>
      <c r="S171" s="695"/>
      <c r="T171" s="8"/>
      <c r="U171" s="8"/>
      <c r="V171" s="8"/>
      <c r="W171" s="8"/>
      <c r="X171" s="8"/>
      <c r="Y171" s="8"/>
      <c r="Z171" s="8"/>
      <c r="AA171" s="8"/>
      <c r="AB171" s="8"/>
    </row>
    <row r="172" ht="12.75" customHeight="1" spans="1:28" x14ac:dyDescent="0.25">
      <c r="A172" s="8"/>
      <c r="B172" s="8"/>
      <c r="C172" s="8"/>
      <c r="D172" s="8"/>
      <c r="E172" s="8"/>
      <c r="F172" s="8"/>
      <c r="G172" s="695"/>
      <c r="H172" s="695"/>
      <c r="I172" s="695"/>
      <c r="J172" s="695"/>
      <c r="K172" s="695"/>
      <c r="L172" s="695"/>
      <c r="M172" s="695"/>
      <c r="N172" s="695"/>
      <c r="O172" s="695"/>
      <c r="P172" s="695"/>
      <c r="Q172" s="695"/>
      <c r="R172" s="695"/>
      <c r="S172" s="695"/>
      <c r="T172" s="8"/>
      <c r="U172" s="8"/>
      <c r="V172" s="8"/>
      <c r="W172" s="8"/>
      <c r="X172" s="8"/>
      <c r="Y172" s="8"/>
      <c r="Z172" s="8"/>
      <c r="AA172" s="8"/>
      <c r="AB172" s="8"/>
    </row>
    <row r="173" ht="12.75" customHeight="1" spans="1:28" x14ac:dyDescent="0.25">
      <c r="A173" s="8"/>
      <c r="B173" s="8"/>
      <c r="C173" s="8"/>
      <c r="D173" s="8"/>
      <c r="E173" s="8"/>
      <c r="F173" s="8"/>
      <c r="G173" s="695"/>
      <c r="H173" s="695"/>
      <c r="I173" s="695"/>
      <c r="J173" s="695"/>
      <c r="K173" s="695"/>
      <c r="L173" s="695"/>
      <c r="M173" s="695"/>
      <c r="N173" s="695"/>
      <c r="O173" s="695"/>
      <c r="P173" s="695"/>
      <c r="Q173" s="695"/>
      <c r="R173" s="695"/>
      <c r="S173" s="695"/>
      <c r="T173" s="8"/>
      <c r="U173" s="8"/>
      <c r="V173" s="8"/>
      <c r="W173" s="8"/>
      <c r="X173" s="8"/>
      <c r="Y173" s="8"/>
      <c r="Z173" s="8"/>
      <c r="AA173" s="8"/>
      <c r="AB173" s="8"/>
    </row>
    <row r="174" ht="12.75" customHeight="1" spans="1:28" x14ac:dyDescent="0.25">
      <c r="A174" s="8"/>
      <c r="B174" s="8"/>
      <c r="C174" s="8"/>
      <c r="D174" s="8"/>
      <c r="E174" s="8"/>
      <c r="F174" s="8"/>
      <c r="G174" s="695"/>
      <c r="H174" s="695"/>
      <c r="I174" s="695"/>
      <c r="J174" s="695"/>
      <c r="K174" s="695"/>
      <c r="L174" s="695"/>
      <c r="M174" s="695"/>
      <c r="N174" s="695"/>
      <c r="O174" s="695"/>
      <c r="P174" s="695"/>
      <c r="Q174" s="695"/>
      <c r="R174" s="695"/>
      <c r="S174" s="695"/>
      <c r="T174" s="8"/>
      <c r="U174" s="8"/>
      <c r="V174" s="8"/>
      <c r="W174" s="8"/>
      <c r="X174" s="8"/>
      <c r="Y174" s="8"/>
      <c r="Z174" s="8"/>
      <c r="AA174" s="8"/>
      <c r="AB174" s="8"/>
    </row>
    <row r="175" ht="12.75" customHeight="1" spans="1:28" x14ac:dyDescent="0.25">
      <c r="A175" s="8"/>
      <c r="B175" s="8"/>
      <c r="C175" s="8"/>
      <c r="D175" s="8"/>
      <c r="E175" s="8"/>
      <c r="F175" s="8"/>
      <c r="G175" s="695"/>
      <c r="H175" s="695"/>
      <c r="I175" s="695"/>
      <c r="J175" s="695"/>
      <c r="K175" s="695"/>
      <c r="L175" s="695"/>
      <c r="M175" s="695"/>
      <c r="N175" s="695"/>
      <c r="O175" s="695"/>
      <c r="P175" s="695"/>
      <c r="Q175" s="695"/>
      <c r="R175" s="695"/>
      <c r="S175" s="695"/>
      <c r="T175" s="8"/>
      <c r="U175" s="8"/>
      <c r="V175" s="8"/>
      <c r="W175" s="8"/>
      <c r="X175" s="8"/>
      <c r="Y175" s="8"/>
      <c r="Z175" s="8"/>
      <c r="AA175" s="8"/>
      <c r="AB175" s="8"/>
    </row>
    <row r="176" ht="12.75" customHeight="1" spans="1:28" x14ac:dyDescent="0.25">
      <c r="A176" s="8"/>
      <c r="B176" s="8"/>
      <c r="C176" s="8"/>
      <c r="D176" s="8"/>
      <c r="E176" s="8"/>
      <c r="F176" s="8"/>
      <c r="G176" s="695"/>
      <c r="H176" s="695"/>
      <c r="I176" s="695"/>
      <c r="J176" s="695"/>
      <c r="K176" s="695"/>
      <c r="L176" s="695"/>
      <c r="M176" s="695"/>
      <c r="N176" s="695"/>
      <c r="O176" s="695"/>
      <c r="P176" s="695"/>
      <c r="Q176" s="695"/>
      <c r="R176" s="695"/>
      <c r="S176" s="695"/>
      <c r="T176" s="8"/>
      <c r="U176" s="8"/>
      <c r="V176" s="8"/>
      <c r="W176" s="8"/>
      <c r="X176" s="8"/>
      <c r="Y176" s="8"/>
      <c r="Z176" s="8"/>
      <c r="AA176" s="8"/>
      <c r="AB176" s="8"/>
    </row>
    <row r="177" ht="12.75" customHeight="1" spans="1:28" x14ac:dyDescent="0.25">
      <c r="A177" s="8"/>
      <c r="B177" s="8"/>
      <c r="C177" s="8"/>
      <c r="D177" s="8"/>
      <c r="E177" s="8"/>
      <c r="F177" s="8"/>
      <c r="G177" s="695"/>
      <c r="H177" s="695"/>
      <c r="I177" s="695"/>
      <c r="J177" s="695"/>
      <c r="K177" s="695"/>
      <c r="L177" s="695"/>
      <c r="M177" s="695"/>
      <c r="N177" s="695"/>
      <c r="O177" s="695"/>
      <c r="P177" s="695"/>
      <c r="Q177" s="695"/>
      <c r="R177" s="695"/>
      <c r="S177" s="695"/>
      <c r="T177" s="8"/>
      <c r="U177" s="8"/>
      <c r="V177" s="8"/>
      <c r="W177" s="8"/>
      <c r="X177" s="8"/>
      <c r="Y177" s="8"/>
      <c r="Z177" s="8"/>
      <c r="AA177" s="8"/>
      <c r="AB177" s="8"/>
    </row>
    <row r="178" ht="12.75" customHeight="1" spans="1:28" x14ac:dyDescent="0.25">
      <c r="A178" s="8"/>
      <c r="B178" s="8"/>
      <c r="C178" s="8"/>
      <c r="D178" s="8"/>
      <c r="E178" s="8"/>
      <c r="F178" s="8"/>
      <c r="G178" s="695"/>
      <c r="H178" s="695"/>
      <c r="I178" s="695"/>
      <c r="J178" s="695"/>
      <c r="K178" s="695"/>
      <c r="L178" s="695"/>
      <c r="M178" s="695"/>
      <c r="N178" s="695"/>
      <c r="O178" s="695"/>
      <c r="P178" s="695"/>
      <c r="Q178" s="695"/>
      <c r="R178" s="695"/>
      <c r="S178" s="695"/>
      <c r="T178" s="8"/>
      <c r="U178" s="8"/>
      <c r="V178" s="8"/>
      <c r="W178" s="8"/>
      <c r="X178" s="8"/>
      <c r="Y178" s="8"/>
      <c r="Z178" s="8"/>
      <c r="AA178" s="8"/>
      <c r="AB178" s="8"/>
    </row>
    <row r="179" ht="12.75" customHeight="1" spans="1:28" x14ac:dyDescent="0.25">
      <c r="A179" s="8"/>
      <c r="B179" s="8"/>
      <c r="C179" s="8"/>
      <c r="D179" s="8"/>
      <c r="E179" s="8"/>
      <c r="F179" s="8"/>
      <c r="G179" s="695"/>
      <c r="H179" s="695"/>
      <c r="I179" s="695"/>
      <c r="J179" s="695"/>
      <c r="K179" s="695"/>
      <c r="L179" s="695"/>
      <c r="M179" s="695"/>
      <c r="N179" s="695"/>
      <c r="O179" s="695"/>
      <c r="P179" s="695"/>
      <c r="Q179" s="695"/>
      <c r="R179" s="695"/>
      <c r="S179" s="695"/>
      <c r="T179" s="8"/>
      <c r="U179" s="8"/>
      <c r="V179" s="8"/>
      <c r="W179" s="8"/>
      <c r="X179" s="8"/>
      <c r="Y179" s="8"/>
      <c r="Z179" s="8"/>
      <c r="AA179" s="8"/>
      <c r="AB179" s="8"/>
    </row>
    <row r="180" ht="12.75" customHeight="1" spans="1:28" x14ac:dyDescent="0.25">
      <c r="A180" s="8"/>
      <c r="B180" s="8"/>
      <c r="C180" s="8"/>
      <c r="D180" s="8"/>
      <c r="E180" s="8"/>
      <c r="F180" s="8"/>
      <c r="G180" s="695"/>
      <c r="H180" s="695"/>
      <c r="I180" s="695"/>
      <c r="J180" s="695"/>
      <c r="K180" s="695"/>
      <c r="L180" s="695"/>
      <c r="M180" s="695"/>
      <c r="N180" s="695"/>
      <c r="O180" s="695"/>
      <c r="P180" s="695"/>
      <c r="Q180" s="695"/>
      <c r="R180" s="695"/>
      <c r="S180" s="695"/>
      <c r="T180" s="8"/>
      <c r="U180" s="8"/>
      <c r="V180" s="8"/>
      <c r="W180" s="8"/>
      <c r="X180" s="8"/>
      <c r="Y180" s="8"/>
      <c r="Z180" s="8"/>
      <c r="AA180" s="8"/>
      <c r="AB180" s="8"/>
    </row>
    <row r="181" ht="12.75" customHeight="1" spans="1:28" x14ac:dyDescent="0.25">
      <c r="A181" s="8"/>
      <c r="B181" s="8"/>
      <c r="C181" s="8"/>
      <c r="D181" s="8"/>
      <c r="E181" s="8"/>
      <c r="F181" s="8"/>
      <c r="G181" s="695"/>
      <c r="H181" s="695"/>
      <c r="I181" s="695"/>
      <c r="J181" s="695"/>
      <c r="K181" s="695"/>
      <c r="L181" s="695"/>
      <c r="M181" s="695"/>
      <c r="N181" s="695"/>
      <c r="O181" s="695"/>
      <c r="P181" s="695"/>
      <c r="Q181" s="695"/>
      <c r="R181" s="695"/>
      <c r="S181" s="695"/>
      <c r="T181" s="8"/>
      <c r="U181" s="8"/>
      <c r="V181" s="8"/>
      <c r="W181" s="8"/>
      <c r="X181" s="8"/>
      <c r="Y181" s="8"/>
      <c r="Z181" s="8"/>
      <c r="AA181" s="8"/>
      <c r="AB181" s="8"/>
    </row>
    <row r="182" ht="12.75" customHeight="1" spans="1:28" x14ac:dyDescent="0.25">
      <c r="A182" s="8"/>
      <c r="B182" s="8"/>
      <c r="C182" s="8"/>
      <c r="D182" s="8"/>
      <c r="E182" s="8"/>
      <c r="F182" s="8"/>
      <c r="G182" s="695"/>
      <c r="H182" s="695"/>
      <c r="I182" s="695"/>
      <c r="J182" s="695"/>
      <c r="K182" s="695"/>
      <c r="L182" s="695"/>
      <c r="M182" s="695"/>
      <c r="N182" s="695"/>
      <c r="O182" s="695"/>
      <c r="P182" s="695"/>
      <c r="Q182" s="695"/>
      <c r="R182" s="695"/>
      <c r="S182" s="695"/>
      <c r="T182" s="8"/>
      <c r="U182" s="8"/>
      <c r="V182" s="8"/>
      <c r="W182" s="8"/>
      <c r="X182" s="8"/>
      <c r="Y182" s="8"/>
      <c r="Z182" s="8"/>
      <c r="AA182" s="8"/>
      <c r="AB182" s="8"/>
    </row>
    <row r="183" ht="12.75" customHeight="1" spans="1:28" x14ac:dyDescent="0.25">
      <c r="A183" s="8"/>
      <c r="B183" s="8"/>
      <c r="C183" s="8"/>
      <c r="D183" s="8"/>
      <c r="E183" s="8"/>
      <c r="F183" s="8"/>
      <c r="G183" s="695"/>
      <c r="H183" s="695"/>
      <c r="I183" s="695"/>
      <c r="J183" s="695"/>
      <c r="K183" s="695"/>
      <c r="L183" s="695"/>
      <c r="M183" s="695"/>
      <c r="N183" s="695"/>
      <c r="O183" s="695"/>
      <c r="P183" s="695"/>
      <c r="Q183" s="695"/>
      <c r="R183" s="695"/>
      <c r="S183" s="695"/>
      <c r="T183" s="8"/>
      <c r="U183" s="8"/>
      <c r="V183" s="8"/>
      <c r="W183" s="8"/>
      <c r="X183" s="8"/>
      <c r="Y183" s="8"/>
      <c r="Z183" s="8"/>
      <c r="AA183" s="8"/>
      <c r="AB183" s="8"/>
    </row>
    <row r="184" ht="12.75" customHeight="1" spans="1:28" x14ac:dyDescent="0.25">
      <c r="A184" s="8"/>
      <c r="B184" s="8"/>
      <c r="C184" s="8"/>
      <c r="D184" s="8"/>
      <c r="E184" s="8"/>
      <c r="F184" s="8"/>
      <c r="G184" s="695"/>
      <c r="H184" s="695"/>
      <c r="I184" s="695"/>
      <c r="J184" s="695"/>
      <c r="K184" s="695"/>
      <c r="L184" s="695"/>
      <c r="M184" s="695"/>
      <c r="N184" s="695"/>
      <c r="O184" s="695"/>
      <c r="P184" s="695"/>
      <c r="Q184" s="695"/>
      <c r="R184" s="695"/>
      <c r="S184" s="695"/>
      <c r="T184" s="8"/>
      <c r="U184" s="8"/>
      <c r="V184" s="8"/>
      <c r="W184" s="8"/>
      <c r="X184" s="8"/>
      <c r="Y184" s="8"/>
      <c r="Z184" s="8"/>
      <c r="AA184" s="8"/>
      <c r="AB184" s="8"/>
    </row>
    <row r="185" ht="12.75" customHeight="1" spans="1:28" x14ac:dyDescent="0.25">
      <c r="A185" s="8"/>
      <c r="B185" s="8"/>
      <c r="C185" s="8"/>
      <c r="D185" s="8"/>
      <c r="E185" s="8"/>
      <c r="F185" s="8"/>
      <c r="G185" s="695"/>
      <c r="H185" s="695"/>
      <c r="I185" s="695"/>
      <c r="J185" s="695"/>
      <c r="K185" s="695"/>
      <c r="L185" s="695"/>
      <c r="M185" s="695"/>
      <c r="N185" s="695"/>
      <c r="O185" s="695"/>
      <c r="P185" s="695"/>
      <c r="Q185" s="695"/>
      <c r="R185" s="695"/>
      <c r="S185" s="695"/>
      <c r="T185" s="8"/>
      <c r="U185" s="8"/>
      <c r="V185" s="8"/>
      <c r="W185" s="8"/>
      <c r="X185" s="8"/>
      <c r="Y185" s="8"/>
      <c r="Z185" s="8"/>
      <c r="AA185" s="8"/>
      <c r="AB185" s="8"/>
    </row>
    <row r="186" ht="12.75" customHeight="1" spans="1:28" x14ac:dyDescent="0.25">
      <c r="A186" s="8"/>
      <c r="B186" s="8"/>
      <c r="C186" s="8"/>
      <c r="D186" s="8"/>
      <c r="E186" s="8"/>
      <c r="F186" s="8"/>
      <c r="G186" s="695"/>
      <c r="H186" s="695"/>
      <c r="I186" s="695"/>
      <c r="J186" s="695"/>
      <c r="K186" s="695"/>
      <c r="L186" s="695"/>
      <c r="M186" s="695"/>
      <c r="N186" s="695"/>
      <c r="O186" s="695"/>
      <c r="P186" s="695"/>
      <c r="Q186" s="695"/>
      <c r="R186" s="695"/>
      <c r="S186" s="695"/>
      <c r="T186" s="8"/>
      <c r="U186" s="8"/>
      <c r="V186" s="8"/>
      <c r="W186" s="8"/>
      <c r="X186" s="8"/>
      <c r="Y186" s="8"/>
      <c r="Z186" s="8"/>
      <c r="AA186" s="8"/>
      <c r="AB186" s="8"/>
    </row>
    <row r="187" ht="12.75" customHeight="1" spans="1:28" x14ac:dyDescent="0.25">
      <c r="A187" s="8"/>
      <c r="B187" s="8"/>
      <c r="C187" s="8"/>
      <c r="D187" s="8"/>
      <c r="E187" s="8"/>
      <c r="F187" s="8"/>
      <c r="G187" s="695"/>
      <c r="H187" s="695"/>
      <c r="I187" s="695"/>
      <c r="J187" s="695"/>
      <c r="K187" s="695"/>
      <c r="L187" s="695"/>
      <c r="M187" s="695"/>
      <c r="N187" s="695"/>
      <c r="O187" s="695"/>
      <c r="P187" s="695"/>
      <c r="Q187" s="695"/>
      <c r="R187" s="695"/>
      <c r="S187" s="695"/>
      <c r="T187" s="8"/>
      <c r="U187" s="8"/>
      <c r="V187" s="8"/>
      <c r="W187" s="8"/>
      <c r="X187" s="8"/>
      <c r="Y187" s="8"/>
      <c r="Z187" s="8"/>
      <c r="AA187" s="8"/>
      <c r="AB187" s="8"/>
    </row>
    <row r="188" ht="12.75" customHeight="1" spans="1:28" x14ac:dyDescent="0.25">
      <c r="A188" s="8"/>
      <c r="B188" s="8"/>
      <c r="C188" s="8"/>
      <c r="D188" s="8"/>
      <c r="E188" s="8"/>
      <c r="F188" s="8"/>
      <c r="G188" s="695"/>
      <c r="H188" s="695"/>
      <c r="I188" s="695"/>
      <c r="J188" s="695"/>
      <c r="K188" s="695"/>
      <c r="L188" s="695"/>
      <c r="M188" s="695"/>
      <c r="N188" s="695"/>
      <c r="O188" s="695"/>
      <c r="P188" s="695"/>
      <c r="Q188" s="695"/>
      <c r="R188" s="695"/>
      <c r="S188" s="695"/>
      <c r="T188" s="8"/>
      <c r="U188" s="8"/>
      <c r="V188" s="8"/>
      <c r="W188" s="8"/>
      <c r="X188" s="8"/>
      <c r="Y188" s="8"/>
      <c r="Z188" s="8"/>
      <c r="AA188" s="8"/>
      <c r="AB188" s="8"/>
    </row>
    <row r="189" ht="12.75" customHeight="1" spans="1:28" x14ac:dyDescent="0.25">
      <c r="A189" s="8"/>
      <c r="B189" s="8"/>
      <c r="C189" s="8"/>
      <c r="D189" s="8"/>
      <c r="E189" s="8"/>
      <c r="F189" s="8"/>
      <c r="G189" s="695"/>
      <c r="H189" s="695"/>
      <c r="I189" s="695"/>
      <c r="J189" s="695"/>
      <c r="K189" s="695"/>
      <c r="L189" s="695"/>
      <c r="M189" s="695"/>
      <c r="N189" s="695"/>
      <c r="O189" s="695"/>
      <c r="P189" s="695"/>
      <c r="Q189" s="695"/>
      <c r="R189" s="695"/>
      <c r="S189" s="695"/>
      <c r="T189" s="8"/>
      <c r="U189" s="8"/>
      <c r="V189" s="8"/>
      <c r="W189" s="8"/>
      <c r="X189" s="8"/>
      <c r="Y189" s="8"/>
      <c r="Z189" s="8"/>
      <c r="AA189" s="8"/>
      <c r="AB189" s="8"/>
    </row>
    <row r="190" ht="12.75" customHeight="1" spans="1:28" x14ac:dyDescent="0.25">
      <c r="A190" s="8"/>
      <c r="B190" s="8"/>
      <c r="C190" s="8"/>
      <c r="D190" s="8"/>
      <c r="E190" s="8"/>
      <c r="F190" s="8"/>
      <c r="G190" s="695"/>
      <c r="H190" s="695"/>
      <c r="I190" s="695"/>
      <c r="J190" s="695"/>
      <c r="K190" s="695"/>
      <c r="L190" s="695"/>
      <c r="M190" s="695"/>
      <c r="N190" s="695"/>
      <c r="O190" s="695"/>
      <c r="P190" s="695"/>
      <c r="Q190" s="695"/>
      <c r="R190" s="695"/>
      <c r="S190" s="695"/>
      <c r="T190" s="8"/>
      <c r="U190" s="8"/>
      <c r="V190" s="8"/>
      <c r="W190" s="8"/>
      <c r="X190" s="8"/>
      <c r="Y190" s="8"/>
      <c r="Z190" s="8"/>
      <c r="AA190" s="8"/>
      <c r="AB190" s="8"/>
    </row>
    <row r="191" ht="12.75" customHeight="1" spans="1:28" x14ac:dyDescent="0.25">
      <c r="A191" s="8"/>
      <c r="B191" s="8"/>
      <c r="C191" s="8"/>
      <c r="D191" s="8"/>
      <c r="E191" s="8"/>
      <c r="F191" s="8"/>
      <c r="G191" s="695"/>
      <c r="H191" s="695"/>
      <c r="I191" s="695"/>
      <c r="J191" s="695"/>
      <c r="K191" s="695"/>
      <c r="L191" s="695"/>
      <c r="M191" s="695"/>
      <c r="N191" s="695"/>
      <c r="O191" s="695"/>
      <c r="P191" s="695"/>
      <c r="Q191" s="695"/>
      <c r="R191" s="695"/>
      <c r="S191" s="695"/>
      <c r="T191" s="8"/>
      <c r="U191" s="8"/>
      <c r="V191" s="8"/>
      <c r="W191" s="8"/>
      <c r="X191" s="8"/>
      <c r="Y191" s="8"/>
      <c r="Z191" s="8"/>
      <c r="AA191" s="8"/>
      <c r="AB191" s="8"/>
    </row>
    <row r="192" ht="12.75" customHeight="1" spans="1:28" x14ac:dyDescent="0.25">
      <c r="A192" s="8"/>
      <c r="B192" s="8"/>
      <c r="C192" s="8"/>
      <c r="D192" s="8"/>
      <c r="E192" s="8"/>
      <c r="F192" s="8"/>
      <c r="G192" s="695"/>
      <c r="H192" s="695"/>
      <c r="I192" s="695"/>
      <c r="J192" s="695"/>
      <c r="K192" s="695"/>
      <c r="L192" s="695"/>
      <c r="M192" s="695"/>
      <c r="N192" s="695"/>
      <c r="O192" s="695"/>
      <c r="P192" s="695"/>
      <c r="Q192" s="695"/>
      <c r="R192" s="695"/>
      <c r="S192" s="695"/>
      <c r="T192" s="8"/>
      <c r="U192" s="8"/>
      <c r="V192" s="8"/>
      <c r="W192" s="8"/>
      <c r="X192" s="8"/>
      <c r="Y192" s="8"/>
      <c r="Z192" s="8"/>
      <c r="AA192" s="8"/>
      <c r="AB192" s="8"/>
    </row>
    <row r="193" ht="12.75" customHeight="1" spans="1:28" x14ac:dyDescent="0.25">
      <c r="A193" s="8"/>
      <c r="B193" s="8"/>
      <c r="C193" s="8"/>
      <c r="D193" s="8"/>
      <c r="E193" s="8"/>
      <c r="F193" s="8"/>
      <c r="G193" s="695"/>
      <c r="H193" s="695"/>
      <c r="I193" s="695"/>
      <c r="J193" s="695"/>
      <c r="K193" s="695"/>
      <c r="L193" s="695"/>
      <c r="M193" s="695"/>
      <c r="N193" s="695"/>
      <c r="O193" s="695"/>
      <c r="P193" s="695"/>
      <c r="Q193" s="695"/>
      <c r="R193" s="695"/>
      <c r="S193" s="695"/>
      <c r="T193" s="8"/>
      <c r="U193" s="8"/>
      <c r="V193" s="8"/>
      <c r="W193" s="8"/>
      <c r="X193" s="8"/>
      <c r="Y193" s="8"/>
      <c r="Z193" s="8"/>
      <c r="AA193" s="8"/>
      <c r="AB193" s="8"/>
    </row>
    <row r="194" ht="12.75" customHeight="1" spans="1:28" x14ac:dyDescent="0.25">
      <c r="A194" s="8"/>
      <c r="B194" s="8"/>
      <c r="C194" s="8"/>
      <c r="D194" s="8"/>
      <c r="E194" s="8"/>
      <c r="F194" s="8"/>
      <c r="G194" s="695"/>
      <c r="H194" s="695"/>
      <c r="I194" s="695"/>
      <c r="J194" s="695"/>
      <c r="K194" s="695"/>
      <c r="L194" s="695"/>
      <c r="M194" s="695"/>
      <c r="N194" s="695"/>
      <c r="O194" s="695"/>
      <c r="P194" s="695"/>
      <c r="Q194" s="695"/>
      <c r="R194" s="695"/>
      <c r="S194" s="695"/>
      <c r="T194" s="8"/>
      <c r="U194" s="8"/>
      <c r="V194" s="8"/>
      <c r="W194" s="8"/>
      <c r="X194" s="8"/>
      <c r="Y194" s="8"/>
      <c r="Z194" s="8"/>
      <c r="AA194" s="8"/>
      <c r="AB194" s="8"/>
    </row>
    <row r="195" ht="12.75" customHeight="1" spans="1:28" x14ac:dyDescent="0.25">
      <c r="A195" s="8"/>
      <c r="B195" s="8"/>
      <c r="C195" s="8"/>
      <c r="D195" s="8"/>
      <c r="E195" s="8"/>
      <c r="F195" s="8"/>
      <c r="G195" s="695"/>
      <c r="H195" s="695"/>
      <c r="I195" s="695"/>
      <c r="J195" s="695"/>
      <c r="K195" s="695"/>
      <c r="L195" s="695"/>
      <c r="M195" s="695"/>
      <c r="N195" s="695"/>
      <c r="O195" s="695"/>
      <c r="P195" s="695"/>
      <c r="Q195" s="695"/>
      <c r="R195" s="695"/>
      <c r="S195" s="695"/>
      <c r="T195" s="8"/>
      <c r="U195" s="8"/>
      <c r="V195" s="8"/>
      <c r="W195" s="8"/>
      <c r="X195" s="8"/>
      <c r="Y195" s="8"/>
      <c r="Z195" s="8"/>
      <c r="AA195" s="8"/>
      <c r="AB195" s="8"/>
    </row>
    <row r="196" ht="12.75" customHeight="1" spans="1:28" x14ac:dyDescent="0.25">
      <c r="A196" s="8"/>
      <c r="B196" s="8"/>
      <c r="C196" s="8"/>
      <c r="D196" s="8"/>
      <c r="E196" s="8"/>
      <c r="F196" s="8"/>
      <c r="G196" s="695"/>
      <c r="H196" s="695"/>
      <c r="I196" s="695"/>
      <c r="J196" s="695"/>
      <c r="K196" s="695"/>
      <c r="L196" s="695"/>
      <c r="M196" s="695"/>
      <c r="N196" s="695"/>
      <c r="O196" s="695"/>
      <c r="P196" s="695"/>
      <c r="Q196" s="695"/>
      <c r="R196" s="695"/>
      <c r="S196" s="695"/>
      <c r="T196" s="8"/>
      <c r="U196" s="8"/>
      <c r="V196" s="8"/>
      <c r="W196" s="8"/>
      <c r="X196" s="8"/>
      <c r="Y196" s="8"/>
      <c r="Z196" s="8"/>
      <c r="AA196" s="8"/>
      <c r="AB196" s="8"/>
    </row>
    <row r="197" ht="12.75" customHeight="1" spans="1:28" x14ac:dyDescent="0.25">
      <c r="A197" s="8"/>
      <c r="B197" s="8"/>
      <c r="C197" s="8"/>
      <c r="D197" s="8"/>
      <c r="E197" s="8"/>
      <c r="F197" s="8"/>
      <c r="G197" s="695"/>
      <c r="H197" s="695"/>
      <c r="I197" s="695"/>
      <c r="J197" s="695"/>
      <c r="K197" s="695"/>
      <c r="L197" s="695"/>
      <c r="M197" s="695"/>
      <c r="N197" s="695"/>
      <c r="O197" s="695"/>
      <c r="P197" s="695"/>
      <c r="Q197" s="695"/>
      <c r="R197" s="695"/>
      <c r="S197" s="695"/>
      <c r="T197" s="8"/>
      <c r="U197" s="8"/>
      <c r="V197" s="8"/>
      <c r="W197" s="8"/>
      <c r="X197" s="8"/>
      <c r="Y197" s="8"/>
      <c r="Z197" s="8"/>
      <c r="AA197" s="8"/>
      <c r="AB197" s="8"/>
    </row>
    <row r="198" ht="12.75" customHeight="1" spans="1:28" x14ac:dyDescent="0.25">
      <c r="A198" s="8"/>
      <c r="B198" s="8"/>
      <c r="C198" s="8"/>
      <c r="D198" s="8"/>
      <c r="E198" s="8"/>
      <c r="F198" s="8"/>
      <c r="G198" s="695"/>
      <c r="H198" s="695"/>
      <c r="I198" s="695"/>
      <c r="J198" s="695"/>
      <c r="K198" s="695"/>
      <c r="L198" s="695"/>
      <c r="M198" s="695"/>
      <c r="N198" s="695"/>
      <c r="O198" s="695"/>
      <c r="P198" s="695"/>
      <c r="Q198" s="695"/>
      <c r="R198" s="695"/>
      <c r="S198" s="695"/>
      <c r="T198" s="8"/>
      <c r="U198" s="8"/>
      <c r="V198" s="8"/>
      <c r="W198" s="8"/>
      <c r="X198" s="8"/>
      <c r="Y198" s="8"/>
      <c r="Z198" s="8"/>
      <c r="AA198" s="8"/>
      <c r="AB198" s="8"/>
    </row>
    <row r="199" ht="12.75" customHeight="1" spans="1:28" x14ac:dyDescent="0.25">
      <c r="A199" s="8"/>
      <c r="B199" s="8"/>
      <c r="C199" s="8"/>
      <c r="D199" s="8"/>
      <c r="E199" s="8"/>
      <c r="F199" s="8"/>
      <c r="G199" s="695"/>
      <c r="H199" s="695"/>
      <c r="I199" s="695"/>
      <c r="J199" s="695"/>
      <c r="K199" s="695"/>
      <c r="L199" s="695"/>
      <c r="M199" s="695"/>
      <c r="N199" s="695"/>
      <c r="O199" s="695"/>
      <c r="P199" s="695"/>
      <c r="Q199" s="695"/>
      <c r="R199" s="695"/>
      <c r="S199" s="695"/>
      <c r="T199" s="8"/>
      <c r="U199" s="8"/>
      <c r="V199" s="8"/>
      <c r="W199" s="8"/>
      <c r="X199" s="8"/>
      <c r="Y199" s="8"/>
      <c r="Z199" s="8"/>
      <c r="AA199" s="8"/>
      <c r="AB199" s="8"/>
    </row>
    <row r="200" ht="12.75" customHeight="1" spans="1:28" x14ac:dyDescent="0.25">
      <c r="A200" s="8"/>
      <c r="B200" s="8"/>
      <c r="C200" s="8"/>
      <c r="D200" s="8"/>
      <c r="E200" s="8"/>
      <c r="F200" s="8"/>
      <c r="G200" s="695"/>
      <c r="H200" s="695"/>
      <c r="I200" s="695"/>
      <c r="J200" s="695"/>
      <c r="K200" s="695"/>
      <c r="L200" s="695"/>
      <c r="M200" s="695"/>
      <c r="N200" s="695"/>
      <c r="O200" s="695"/>
      <c r="P200" s="695"/>
      <c r="Q200" s="695"/>
      <c r="R200" s="695"/>
      <c r="S200" s="695"/>
      <c r="T200" s="8"/>
      <c r="U200" s="8"/>
      <c r="V200" s="8"/>
      <c r="W200" s="8"/>
      <c r="X200" s="8"/>
      <c r="Y200" s="8"/>
      <c r="Z200" s="8"/>
      <c r="AA200" s="8"/>
      <c r="AB200" s="8"/>
    </row>
    <row r="201" ht="12.75" customHeight="1" spans="1:28" x14ac:dyDescent="0.25">
      <c r="A201" s="8"/>
      <c r="B201" s="8"/>
      <c r="C201" s="8"/>
      <c r="D201" s="8"/>
      <c r="E201" s="8"/>
      <c r="F201" s="8"/>
      <c r="G201" s="695"/>
      <c r="H201" s="695"/>
      <c r="I201" s="695"/>
      <c r="J201" s="695"/>
      <c r="K201" s="695"/>
      <c r="L201" s="695"/>
      <c r="M201" s="695"/>
      <c r="N201" s="695"/>
      <c r="O201" s="695"/>
      <c r="P201" s="695"/>
      <c r="Q201" s="695"/>
      <c r="R201" s="695"/>
      <c r="S201" s="695"/>
      <c r="T201" s="8"/>
      <c r="U201" s="8"/>
      <c r="V201" s="8"/>
      <c r="W201" s="8"/>
      <c r="X201" s="8"/>
      <c r="Y201" s="8"/>
      <c r="Z201" s="8"/>
      <c r="AA201" s="8"/>
      <c r="AB201" s="8"/>
    </row>
    <row r="202" ht="12.75" customHeight="1" spans="1:28" x14ac:dyDescent="0.25">
      <c r="A202" s="8"/>
      <c r="B202" s="8"/>
      <c r="C202" s="8"/>
      <c r="D202" s="8"/>
      <c r="E202" s="8"/>
      <c r="F202" s="8"/>
      <c r="G202" s="695"/>
      <c r="H202" s="695"/>
      <c r="I202" s="695"/>
      <c r="J202" s="695"/>
      <c r="K202" s="695"/>
      <c r="L202" s="695"/>
      <c r="M202" s="695"/>
      <c r="N202" s="695"/>
      <c r="O202" s="695"/>
      <c r="P202" s="695"/>
      <c r="Q202" s="695"/>
      <c r="R202" s="695"/>
      <c r="S202" s="695"/>
      <c r="T202" s="8"/>
      <c r="U202" s="8"/>
      <c r="V202" s="8"/>
      <c r="W202" s="8"/>
      <c r="X202" s="8"/>
      <c r="Y202" s="8"/>
      <c r="Z202" s="8"/>
      <c r="AA202" s="8"/>
      <c r="AB202" s="8"/>
    </row>
    <row r="203" ht="12.75" customHeight="1" spans="1:28" x14ac:dyDescent="0.25">
      <c r="A203" s="8"/>
      <c r="B203" s="8"/>
      <c r="C203" s="8"/>
      <c r="D203" s="8"/>
      <c r="E203" s="8"/>
      <c r="F203" s="8"/>
      <c r="G203" s="695"/>
      <c r="H203" s="695"/>
      <c r="I203" s="695"/>
      <c r="J203" s="695"/>
      <c r="K203" s="695"/>
      <c r="L203" s="695"/>
      <c r="M203" s="695"/>
      <c r="N203" s="695"/>
      <c r="O203" s="695"/>
      <c r="P203" s="695"/>
      <c r="Q203" s="695"/>
      <c r="R203" s="695"/>
      <c r="S203" s="695"/>
      <c r="T203" s="8"/>
      <c r="U203" s="8"/>
      <c r="V203" s="8"/>
      <c r="W203" s="8"/>
      <c r="X203" s="8"/>
      <c r="Y203" s="8"/>
      <c r="Z203" s="8"/>
      <c r="AA203" s="8"/>
      <c r="AB203" s="8"/>
    </row>
    <row r="204" ht="12.75" customHeight="1" spans="1:28" x14ac:dyDescent="0.25">
      <c r="A204" s="8"/>
      <c r="B204" s="8"/>
      <c r="C204" s="8"/>
      <c r="D204" s="8"/>
      <c r="E204" s="8"/>
      <c r="F204" s="8"/>
      <c r="G204" s="695"/>
      <c r="H204" s="695"/>
      <c r="I204" s="695"/>
      <c r="J204" s="695"/>
      <c r="K204" s="695"/>
      <c r="L204" s="695"/>
      <c r="M204" s="695"/>
      <c r="N204" s="695"/>
      <c r="O204" s="695"/>
      <c r="P204" s="695"/>
      <c r="Q204" s="695"/>
      <c r="R204" s="695"/>
      <c r="S204" s="695"/>
      <c r="T204" s="8"/>
      <c r="U204" s="8"/>
      <c r="V204" s="8"/>
      <c r="W204" s="8"/>
      <c r="X204" s="8"/>
      <c r="Y204" s="8"/>
      <c r="Z204" s="8"/>
      <c r="AA204" s="8"/>
      <c r="AB204" s="8"/>
    </row>
    <row r="205" ht="12.75" customHeight="1" spans="1:28" x14ac:dyDescent="0.25">
      <c r="A205" s="8"/>
      <c r="B205" s="8"/>
      <c r="C205" s="8"/>
      <c r="D205" s="8"/>
      <c r="E205" s="8"/>
      <c r="F205" s="8"/>
      <c r="G205" s="695"/>
      <c r="H205" s="695"/>
      <c r="I205" s="695"/>
      <c r="J205" s="695"/>
      <c r="K205" s="695"/>
      <c r="L205" s="695"/>
      <c r="M205" s="695"/>
      <c r="N205" s="695"/>
      <c r="O205" s="695"/>
      <c r="P205" s="695"/>
      <c r="Q205" s="695"/>
      <c r="R205" s="695"/>
      <c r="S205" s="695"/>
      <c r="T205" s="8"/>
      <c r="U205" s="8"/>
      <c r="V205" s="8"/>
      <c r="W205" s="8"/>
      <c r="X205" s="8"/>
      <c r="Y205" s="8"/>
      <c r="Z205" s="8"/>
      <c r="AA205" s="8"/>
      <c r="AB205" s="8"/>
    </row>
    <row r="206" ht="12.75" customHeight="1" spans="1:28" x14ac:dyDescent="0.25">
      <c r="A206" s="8"/>
      <c r="B206" s="8"/>
      <c r="C206" s="8"/>
      <c r="D206" s="8"/>
      <c r="E206" s="8"/>
      <c r="F206" s="8"/>
      <c r="G206" s="695"/>
      <c r="H206" s="695"/>
      <c r="I206" s="695"/>
      <c r="J206" s="695"/>
      <c r="K206" s="695"/>
      <c r="L206" s="695"/>
      <c r="M206" s="695"/>
      <c r="N206" s="695"/>
      <c r="O206" s="695"/>
      <c r="P206" s="695"/>
      <c r="Q206" s="695"/>
      <c r="R206" s="695"/>
      <c r="S206" s="695"/>
      <c r="T206" s="8"/>
      <c r="U206" s="8"/>
      <c r="V206" s="8"/>
      <c r="W206" s="8"/>
      <c r="X206" s="8"/>
      <c r="Y206" s="8"/>
      <c r="Z206" s="8"/>
      <c r="AA206" s="8"/>
      <c r="AB206" s="8"/>
    </row>
    <row r="207" ht="12.75" customHeight="1" spans="1:28" x14ac:dyDescent="0.25">
      <c r="A207" s="8"/>
      <c r="B207" s="8"/>
      <c r="C207" s="8"/>
      <c r="D207" s="8"/>
      <c r="E207" s="8"/>
      <c r="F207" s="8"/>
      <c r="G207" s="695"/>
      <c r="H207" s="695"/>
      <c r="I207" s="695"/>
      <c r="J207" s="695"/>
      <c r="K207" s="695"/>
      <c r="L207" s="695"/>
      <c r="M207" s="695"/>
      <c r="N207" s="695"/>
      <c r="O207" s="695"/>
      <c r="P207" s="695"/>
      <c r="Q207" s="695"/>
      <c r="R207" s="695"/>
      <c r="S207" s="695"/>
      <c r="T207" s="8"/>
      <c r="U207" s="8"/>
      <c r="V207" s="8"/>
      <c r="W207" s="8"/>
      <c r="X207" s="8"/>
      <c r="Y207" s="8"/>
      <c r="Z207" s="8"/>
      <c r="AA207" s="8"/>
      <c r="AB207" s="8"/>
    </row>
    <row r="208" ht="12.75" customHeight="1" spans="1:28" x14ac:dyDescent="0.25">
      <c r="A208" s="8"/>
      <c r="B208" s="8"/>
      <c r="C208" s="8"/>
      <c r="D208" s="8"/>
      <c r="E208" s="8"/>
      <c r="F208" s="8"/>
      <c r="G208" s="695"/>
      <c r="H208" s="695"/>
      <c r="I208" s="695"/>
      <c r="J208" s="695"/>
      <c r="K208" s="695"/>
      <c r="L208" s="695"/>
      <c r="M208" s="695"/>
      <c r="N208" s="695"/>
      <c r="O208" s="695"/>
      <c r="P208" s="695"/>
      <c r="Q208" s="695"/>
      <c r="R208" s="695"/>
      <c r="S208" s="695"/>
      <c r="T208" s="8"/>
      <c r="U208" s="8"/>
      <c r="V208" s="8"/>
      <c r="W208" s="8"/>
      <c r="X208" s="8"/>
      <c r="Y208" s="8"/>
      <c r="Z208" s="8"/>
      <c r="AA208" s="8"/>
      <c r="AB208" s="8"/>
    </row>
    <row r="209" ht="12.75" customHeight="1" spans="1:28" x14ac:dyDescent="0.25">
      <c r="A209" s="8"/>
      <c r="B209" s="8"/>
      <c r="C209" s="8"/>
      <c r="D209" s="8"/>
      <c r="E209" s="8"/>
      <c r="F209" s="8"/>
      <c r="G209" s="695"/>
      <c r="H209" s="695"/>
      <c r="I209" s="695"/>
      <c r="J209" s="695"/>
      <c r="K209" s="695"/>
      <c r="L209" s="695"/>
      <c r="M209" s="695"/>
      <c r="N209" s="695"/>
      <c r="O209" s="695"/>
      <c r="P209" s="695"/>
      <c r="Q209" s="695"/>
      <c r="R209" s="695"/>
      <c r="S209" s="695"/>
      <c r="T209" s="8"/>
      <c r="U209" s="8"/>
      <c r="V209" s="8"/>
      <c r="W209" s="8"/>
      <c r="X209" s="8"/>
      <c r="Y209" s="8"/>
      <c r="Z209" s="8"/>
      <c r="AA209" s="8"/>
      <c r="AB209" s="8"/>
    </row>
    <row r="210" ht="12.75" customHeight="1" spans="1:28" x14ac:dyDescent="0.25">
      <c r="A210" s="8"/>
      <c r="B210" s="8"/>
      <c r="C210" s="8"/>
      <c r="D210" s="8"/>
      <c r="E210" s="8"/>
      <c r="F210" s="8"/>
      <c r="G210" s="695"/>
      <c r="H210" s="695"/>
      <c r="I210" s="695"/>
      <c r="J210" s="695"/>
      <c r="K210" s="695"/>
      <c r="L210" s="695"/>
      <c r="M210" s="695"/>
      <c r="N210" s="695"/>
      <c r="O210" s="695"/>
      <c r="P210" s="695"/>
      <c r="Q210" s="695"/>
      <c r="R210" s="695"/>
      <c r="S210" s="695"/>
      <c r="T210" s="8"/>
      <c r="U210" s="8"/>
      <c r="V210" s="8"/>
      <c r="W210" s="8"/>
      <c r="X210" s="8"/>
      <c r="Y210" s="8"/>
      <c r="Z210" s="8"/>
      <c r="AA210" s="8"/>
      <c r="AB210" s="8"/>
    </row>
    <row r="211" ht="12.75" customHeight="1" spans="1:28" x14ac:dyDescent="0.25">
      <c r="A211" s="8"/>
      <c r="B211" s="8"/>
      <c r="C211" s="8"/>
      <c r="D211" s="8"/>
      <c r="E211" s="8"/>
      <c r="F211" s="8"/>
      <c r="G211" s="695"/>
      <c r="H211" s="695"/>
      <c r="I211" s="695"/>
      <c r="J211" s="695"/>
      <c r="K211" s="695"/>
      <c r="L211" s="695"/>
      <c r="M211" s="695"/>
      <c r="N211" s="695"/>
      <c r="O211" s="695"/>
      <c r="P211" s="695"/>
      <c r="Q211" s="695"/>
      <c r="R211" s="695"/>
      <c r="S211" s="695"/>
      <c r="T211" s="8"/>
      <c r="U211" s="8"/>
      <c r="V211" s="8"/>
      <c r="W211" s="8"/>
      <c r="X211" s="8"/>
      <c r="Y211" s="8"/>
      <c r="Z211" s="8"/>
      <c r="AA211" s="8"/>
      <c r="AB211" s="8"/>
    </row>
    <row r="212" ht="12.75" customHeight="1" spans="1:28" x14ac:dyDescent="0.25">
      <c r="A212" s="8"/>
      <c r="B212" s="8"/>
      <c r="C212" s="8"/>
      <c r="D212" s="8"/>
      <c r="E212" s="8"/>
      <c r="F212" s="8"/>
      <c r="G212" s="695"/>
      <c r="H212" s="695"/>
      <c r="I212" s="695"/>
      <c r="J212" s="695"/>
      <c r="K212" s="695"/>
      <c r="L212" s="695"/>
      <c r="M212" s="695"/>
      <c r="N212" s="695"/>
      <c r="O212" s="695"/>
      <c r="P212" s="695"/>
      <c r="Q212" s="695"/>
      <c r="R212" s="695"/>
      <c r="S212" s="695"/>
      <c r="T212" s="8"/>
      <c r="U212" s="8"/>
      <c r="V212" s="8"/>
      <c r="W212" s="8"/>
      <c r="X212" s="8"/>
      <c r="Y212" s="8"/>
      <c r="Z212" s="8"/>
      <c r="AA212" s="8"/>
      <c r="AB212" s="8"/>
    </row>
    <row r="213" ht="12.75" customHeight="1" spans="1:28" x14ac:dyDescent="0.25">
      <c r="A213" s="8"/>
      <c r="B213" s="8"/>
      <c r="C213" s="8"/>
      <c r="D213" s="8"/>
      <c r="E213" s="8"/>
      <c r="F213" s="8"/>
      <c r="G213" s="695"/>
      <c r="H213" s="695"/>
      <c r="I213" s="695"/>
      <c r="J213" s="695"/>
      <c r="K213" s="695"/>
      <c r="L213" s="695"/>
      <c r="M213" s="695"/>
      <c r="N213" s="695"/>
      <c r="O213" s="695"/>
      <c r="P213" s="695"/>
      <c r="Q213" s="695"/>
      <c r="R213" s="695"/>
      <c r="S213" s="695"/>
      <c r="T213" s="8"/>
      <c r="U213" s="8"/>
      <c r="V213" s="8"/>
      <c r="W213" s="8"/>
      <c r="X213" s="8"/>
      <c r="Y213" s="8"/>
      <c r="Z213" s="8"/>
      <c r="AA213" s="8"/>
      <c r="AB213" s="8"/>
    </row>
    <row r="214" ht="12.75" customHeight="1" spans="1:28" x14ac:dyDescent="0.25">
      <c r="A214" s="8"/>
      <c r="B214" s="8"/>
      <c r="C214" s="8"/>
      <c r="D214" s="8"/>
      <c r="E214" s="8"/>
      <c r="F214" s="8"/>
      <c r="G214" s="695"/>
      <c r="H214" s="695"/>
      <c r="I214" s="695"/>
      <c r="J214" s="695"/>
      <c r="K214" s="695"/>
      <c r="L214" s="695"/>
      <c r="M214" s="695"/>
      <c r="N214" s="695"/>
      <c r="O214" s="695"/>
      <c r="P214" s="695"/>
      <c r="Q214" s="695"/>
      <c r="R214" s="695"/>
      <c r="S214" s="695"/>
      <c r="T214" s="8"/>
      <c r="U214" s="8"/>
      <c r="V214" s="8"/>
      <c r="W214" s="8"/>
      <c r="X214" s="8"/>
      <c r="Y214" s="8"/>
      <c r="Z214" s="8"/>
      <c r="AA214" s="8"/>
      <c r="AB214" s="8"/>
    </row>
    <row r="215" ht="12.75" customHeight="1" spans="1:28" x14ac:dyDescent="0.25">
      <c r="A215" s="8"/>
      <c r="B215" s="8"/>
      <c r="C215" s="8"/>
      <c r="D215" s="8"/>
      <c r="E215" s="8"/>
      <c r="F215" s="8"/>
      <c r="G215" s="695"/>
      <c r="H215" s="695"/>
      <c r="I215" s="695"/>
      <c r="J215" s="695"/>
      <c r="K215" s="695"/>
      <c r="L215" s="695"/>
      <c r="M215" s="695"/>
      <c r="N215" s="695"/>
      <c r="O215" s="695"/>
      <c r="P215" s="695"/>
      <c r="Q215" s="695"/>
      <c r="R215" s="695"/>
      <c r="S215" s="695"/>
      <c r="T215" s="8"/>
      <c r="U215" s="8"/>
      <c r="V215" s="8"/>
      <c r="W215" s="8"/>
      <c r="X215" s="8"/>
      <c r="Y215" s="8"/>
      <c r="Z215" s="8"/>
      <c r="AA215" s="8"/>
      <c r="AB215" s="8"/>
    </row>
    <row r="216" ht="12.75" customHeight="1" spans="1:28" x14ac:dyDescent="0.25">
      <c r="A216" s="8"/>
      <c r="B216" s="8"/>
      <c r="C216" s="8"/>
      <c r="D216" s="8"/>
      <c r="E216" s="8"/>
      <c r="F216" s="8"/>
      <c r="G216" s="695"/>
      <c r="H216" s="695"/>
      <c r="I216" s="695"/>
      <c r="J216" s="695"/>
      <c r="K216" s="695"/>
      <c r="L216" s="695"/>
      <c r="M216" s="695"/>
      <c r="N216" s="695"/>
      <c r="O216" s="695"/>
      <c r="P216" s="695"/>
      <c r="Q216" s="695"/>
      <c r="R216" s="695"/>
      <c r="S216" s="695"/>
      <c r="T216" s="8"/>
      <c r="U216" s="8"/>
      <c r="V216" s="8"/>
      <c r="W216" s="8"/>
      <c r="X216" s="8"/>
      <c r="Y216" s="8"/>
      <c r="Z216" s="8"/>
      <c r="AA216" s="8"/>
      <c r="AB216" s="8"/>
    </row>
    <row r="217" ht="12.75" customHeight="1" spans="1:28" x14ac:dyDescent="0.25">
      <c r="A217" s="8"/>
      <c r="B217" s="8"/>
      <c r="C217" s="8"/>
      <c r="D217" s="8"/>
      <c r="E217" s="8"/>
      <c r="F217" s="8"/>
      <c r="G217" s="695"/>
      <c r="H217" s="695"/>
      <c r="I217" s="695"/>
      <c r="J217" s="695"/>
      <c r="K217" s="695"/>
      <c r="L217" s="695"/>
      <c r="M217" s="695"/>
      <c r="N217" s="695"/>
      <c r="O217" s="695"/>
      <c r="P217" s="695"/>
      <c r="Q217" s="695"/>
      <c r="R217" s="695"/>
      <c r="S217" s="695"/>
      <c r="T217" s="8"/>
      <c r="U217" s="8"/>
      <c r="V217" s="8"/>
      <c r="W217" s="8"/>
      <c r="X217" s="8"/>
      <c r="Y217" s="8"/>
      <c r="Z217" s="8"/>
      <c r="AA217" s="8"/>
      <c r="AB217" s="8"/>
    </row>
    <row r="218" ht="12.75" customHeight="1" spans="1:28" x14ac:dyDescent="0.25">
      <c r="A218" s="8"/>
      <c r="B218" s="8"/>
      <c r="C218" s="8"/>
      <c r="D218" s="8"/>
      <c r="E218" s="8"/>
      <c r="F218" s="8"/>
      <c r="G218" s="695"/>
      <c r="H218" s="695"/>
      <c r="I218" s="695"/>
      <c r="J218" s="695"/>
      <c r="K218" s="695"/>
      <c r="L218" s="695"/>
      <c r="M218" s="695"/>
      <c r="N218" s="695"/>
      <c r="O218" s="695"/>
      <c r="P218" s="695"/>
      <c r="Q218" s="695"/>
      <c r="R218" s="695"/>
      <c r="S218" s="695"/>
      <c r="T218" s="8"/>
      <c r="U218" s="8"/>
      <c r="V218" s="8"/>
      <c r="W218" s="8"/>
      <c r="X218" s="8"/>
      <c r="Y218" s="8"/>
      <c r="Z218" s="8"/>
      <c r="AA218" s="8"/>
      <c r="AB218" s="8"/>
    </row>
    <row r="219" ht="12.75" customHeight="1" spans="1:28" x14ac:dyDescent="0.25">
      <c r="A219" s="8"/>
      <c r="B219" s="8"/>
      <c r="C219" s="8"/>
      <c r="D219" s="8"/>
      <c r="E219" s="8"/>
      <c r="F219" s="8"/>
      <c r="G219" s="695"/>
      <c r="H219" s="695"/>
      <c r="I219" s="695"/>
      <c r="J219" s="695"/>
      <c r="K219" s="695"/>
      <c r="L219" s="695"/>
      <c r="M219" s="695"/>
      <c r="N219" s="695"/>
      <c r="O219" s="695"/>
      <c r="P219" s="695"/>
      <c r="Q219" s="695"/>
      <c r="R219" s="695"/>
      <c r="S219" s="695"/>
      <c r="T219" s="8"/>
      <c r="U219" s="8"/>
      <c r="V219" s="8"/>
      <c r="W219" s="8"/>
      <c r="X219" s="8"/>
      <c r="Y219" s="8"/>
      <c r="Z219" s="8"/>
      <c r="AA219" s="8"/>
      <c r="AB219" s="8"/>
    </row>
    <row r="220" ht="12.75" customHeight="1" spans="1:28" x14ac:dyDescent="0.25">
      <c r="A220" s="8"/>
      <c r="B220" s="8"/>
      <c r="C220" s="8"/>
      <c r="D220" s="8"/>
      <c r="E220" s="8"/>
      <c r="F220" s="8"/>
      <c r="G220" s="695"/>
      <c r="H220" s="695"/>
      <c r="I220" s="695"/>
      <c r="J220" s="695"/>
      <c r="K220" s="695"/>
      <c r="L220" s="695"/>
      <c r="M220" s="695"/>
      <c r="N220" s="695"/>
      <c r="O220" s="695"/>
      <c r="P220" s="695"/>
      <c r="Q220" s="695"/>
      <c r="R220" s="695"/>
      <c r="S220" s="695"/>
      <c r="T220" s="8"/>
      <c r="U220" s="8"/>
      <c r="V220" s="8"/>
      <c r="W220" s="8"/>
      <c r="X220" s="8"/>
      <c r="Y220" s="8"/>
      <c r="Z220" s="8"/>
      <c r="AA220" s="8"/>
      <c r="AB220" s="8"/>
    </row>
    <row r="221" ht="12.75" customHeight="1" spans="1:28" x14ac:dyDescent="0.25">
      <c r="A221" s="8"/>
      <c r="B221" s="8"/>
      <c r="C221" s="8"/>
      <c r="D221" s="8"/>
      <c r="E221" s="8"/>
      <c r="F221" s="8"/>
      <c r="G221" s="695"/>
      <c r="H221" s="695"/>
      <c r="I221" s="695"/>
      <c r="J221" s="695"/>
      <c r="K221" s="695"/>
      <c r="L221" s="695"/>
      <c r="M221" s="695"/>
      <c r="N221" s="695"/>
      <c r="O221" s="695"/>
      <c r="P221" s="695"/>
      <c r="Q221" s="695"/>
      <c r="R221" s="695"/>
      <c r="S221" s="695"/>
      <c r="T221" s="8"/>
      <c r="U221" s="8"/>
      <c r="V221" s="8"/>
      <c r="W221" s="8"/>
      <c r="X221" s="8"/>
      <c r="Y221" s="8"/>
      <c r="Z221" s="8"/>
      <c r="AA221" s="8"/>
      <c r="AB221" s="8"/>
    </row>
    <row r="222" ht="12.75" customHeight="1" spans="1:28" x14ac:dyDescent="0.25">
      <c r="A222" s="8"/>
      <c r="B222" s="8"/>
      <c r="C222" s="8"/>
      <c r="D222" s="8"/>
      <c r="E222" s="8"/>
      <c r="F222" s="8"/>
      <c r="G222" s="695"/>
      <c r="H222" s="695"/>
      <c r="I222" s="695"/>
      <c r="J222" s="695"/>
      <c r="K222" s="695"/>
      <c r="L222" s="695"/>
      <c r="M222" s="695"/>
      <c r="N222" s="695"/>
      <c r="O222" s="695"/>
      <c r="P222" s="695"/>
      <c r="Q222" s="695"/>
      <c r="R222" s="695"/>
      <c r="S222" s="695"/>
      <c r="T222" s="8"/>
      <c r="U222" s="8"/>
      <c r="V222" s="8"/>
      <c r="W222" s="8"/>
      <c r="X222" s="8"/>
      <c r="Y222" s="8"/>
      <c r="Z222" s="8"/>
      <c r="AA222" s="8"/>
      <c r="AB222" s="8"/>
    </row>
    <row r="223" ht="12.75" customHeight="1" spans="1:28" x14ac:dyDescent="0.25">
      <c r="A223" s="8"/>
      <c r="B223" s="8"/>
      <c r="C223" s="8"/>
      <c r="D223" s="8"/>
      <c r="E223" s="8"/>
      <c r="F223" s="8"/>
      <c r="G223" s="695"/>
      <c r="H223" s="695"/>
      <c r="I223" s="695"/>
      <c r="J223" s="695"/>
      <c r="K223" s="695"/>
      <c r="L223" s="695"/>
      <c r="M223" s="695"/>
      <c r="N223" s="695"/>
      <c r="O223" s="695"/>
      <c r="P223" s="695"/>
      <c r="Q223" s="695"/>
      <c r="R223" s="695"/>
      <c r="S223" s="695"/>
      <c r="T223" s="8"/>
      <c r="U223" s="8"/>
      <c r="V223" s="8"/>
      <c r="W223" s="8"/>
      <c r="X223" s="8"/>
      <c r="Y223" s="8"/>
      <c r="Z223" s="8"/>
      <c r="AA223" s="8"/>
      <c r="AB223" s="8"/>
    </row>
    <row r="224" ht="12.75" customHeight="1" spans="1:28" x14ac:dyDescent="0.25">
      <c r="A224" s="8"/>
      <c r="B224" s="8"/>
      <c r="C224" s="8"/>
      <c r="D224" s="8"/>
      <c r="E224" s="8"/>
      <c r="F224" s="8"/>
      <c r="G224" s="695"/>
      <c r="H224" s="695"/>
      <c r="I224" s="695"/>
      <c r="J224" s="695"/>
      <c r="K224" s="695"/>
      <c r="L224" s="695"/>
      <c r="M224" s="695"/>
      <c r="N224" s="695"/>
      <c r="O224" s="695"/>
      <c r="P224" s="695"/>
      <c r="Q224" s="695"/>
      <c r="R224" s="695"/>
      <c r="S224" s="695"/>
      <c r="T224" s="8"/>
      <c r="U224" s="8"/>
      <c r="V224" s="8"/>
      <c r="W224" s="8"/>
      <c r="X224" s="8"/>
      <c r="Y224" s="8"/>
      <c r="Z224" s="8"/>
      <c r="AA224" s="8"/>
      <c r="AB224" s="8"/>
    </row>
    <row r="225" ht="12.75" customHeight="1" spans="1:28" x14ac:dyDescent="0.25">
      <c r="A225" s="8"/>
      <c r="B225" s="8"/>
      <c r="C225" s="8"/>
      <c r="D225" s="8"/>
      <c r="E225" s="8"/>
      <c r="F225" s="8"/>
      <c r="G225" s="695"/>
      <c r="H225" s="695"/>
      <c r="I225" s="695"/>
      <c r="J225" s="695"/>
      <c r="K225" s="695"/>
      <c r="L225" s="695"/>
      <c r="M225" s="695"/>
      <c r="N225" s="695"/>
      <c r="O225" s="695"/>
      <c r="P225" s="695"/>
      <c r="Q225" s="695"/>
      <c r="R225" s="695"/>
      <c r="S225" s="695"/>
      <c r="T225" s="8"/>
      <c r="U225" s="8"/>
      <c r="V225" s="8"/>
      <c r="W225" s="8"/>
      <c r="X225" s="8"/>
      <c r="Y225" s="8"/>
      <c r="Z225" s="8"/>
      <c r="AA225" s="8"/>
      <c r="AB225" s="8"/>
    </row>
    <row r="226" ht="12.75" customHeight="1" spans="1:28" x14ac:dyDescent="0.25">
      <c r="A226" s="8"/>
      <c r="B226" s="8"/>
      <c r="C226" s="8"/>
      <c r="D226" s="8"/>
      <c r="E226" s="8"/>
      <c r="F226" s="8"/>
      <c r="G226" s="695"/>
      <c r="H226" s="695"/>
      <c r="I226" s="695"/>
      <c r="J226" s="695"/>
      <c r="K226" s="695"/>
      <c r="L226" s="695"/>
      <c r="M226" s="695"/>
      <c r="N226" s="695"/>
      <c r="O226" s="695"/>
      <c r="P226" s="695"/>
      <c r="Q226" s="695"/>
      <c r="R226" s="695"/>
      <c r="S226" s="695"/>
      <c r="T226" s="8"/>
      <c r="U226" s="8"/>
      <c r="V226" s="8"/>
      <c r="W226" s="8"/>
      <c r="X226" s="8"/>
      <c r="Y226" s="8"/>
      <c r="Z226" s="8"/>
      <c r="AA226" s="8"/>
      <c r="AB226" s="8"/>
    </row>
    <row r="227" ht="12.75" customHeight="1" spans="1:28" x14ac:dyDescent="0.25">
      <c r="A227" s="8"/>
      <c r="B227" s="8"/>
      <c r="C227" s="8"/>
      <c r="D227" s="8"/>
      <c r="E227" s="8"/>
      <c r="F227" s="8"/>
      <c r="G227" s="695"/>
      <c r="H227" s="695"/>
      <c r="I227" s="695"/>
      <c r="J227" s="695"/>
      <c r="K227" s="695"/>
      <c r="L227" s="695"/>
      <c r="M227" s="695"/>
      <c r="N227" s="695"/>
      <c r="O227" s="695"/>
      <c r="P227" s="695"/>
      <c r="Q227" s="695"/>
      <c r="R227" s="695"/>
      <c r="S227" s="695"/>
      <c r="T227" s="8"/>
      <c r="U227" s="8"/>
      <c r="V227" s="8"/>
      <c r="W227" s="8"/>
      <c r="X227" s="8"/>
      <c r="Y227" s="8"/>
      <c r="Z227" s="8"/>
      <c r="AA227" s="8"/>
      <c r="AB227" s="8"/>
    </row>
    <row r="228" ht="12.75" customHeight="1" spans="1:28" x14ac:dyDescent="0.25">
      <c r="A228" s="8"/>
      <c r="B228" s="8"/>
      <c r="C228" s="8"/>
      <c r="D228" s="8"/>
      <c r="E228" s="8"/>
      <c r="F228" s="8"/>
      <c r="G228" s="695"/>
      <c r="H228" s="695"/>
      <c r="I228" s="695"/>
      <c r="J228" s="695"/>
      <c r="K228" s="695"/>
      <c r="L228" s="695"/>
      <c r="M228" s="695"/>
      <c r="N228" s="695"/>
      <c r="O228" s="695"/>
      <c r="P228" s="695"/>
      <c r="Q228" s="695"/>
      <c r="R228" s="695"/>
      <c r="S228" s="695"/>
      <c r="T228" s="8"/>
      <c r="U228" s="8"/>
      <c r="V228" s="8"/>
      <c r="W228" s="8"/>
      <c r="X228" s="8"/>
      <c r="Y228" s="8"/>
      <c r="Z228" s="8"/>
      <c r="AA228" s="8"/>
      <c r="AB228" s="8"/>
    </row>
    <row r="229" ht="12.75" customHeight="1" spans="1:28" x14ac:dyDescent="0.25">
      <c r="A229" s="8"/>
      <c r="B229" s="8"/>
      <c r="C229" s="8"/>
      <c r="D229" s="8"/>
      <c r="E229" s="8"/>
      <c r="F229" s="8"/>
      <c r="G229" s="695"/>
      <c r="H229" s="695"/>
      <c r="I229" s="695"/>
      <c r="J229" s="695"/>
      <c r="K229" s="695"/>
      <c r="L229" s="695"/>
      <c r="M229" s="695"/>
      <c r="N229" s="695"/>
      <c r="O229" s="695"/>
      <c r="P229" s="695"/>
      <c r="Q229" s="695"/>
      <c r="R229" s="695"/>
      <c r="S229" s="695"/>
      <c r="T229" s="8"/>
      <c r="U229" s="8"/>
      <c r="V229" s="8"/>
      <c r="W229" s="8"/>
      <c r="X229" s="8"/>
      <c r="Y229" s="8"/>
      <c r="Z229" s="8"/>
      <c r="AA229" s="8"/>
      <c r="AB229" s="8"/>
    </row>
    <row r="230" ht="12.75" customHeight="1" spans="1:28" x14ac:dyDescent="0.25">
      <c r="A230" s="8"/>
      <c r="B230" s="8"/>
      <c r="C230" s="8"/>
      <c r="D230" s="8"/>
      <c r="E230" s="8"/>
      <c r="F230" s="8"/>
      <c r="G230" s="695"/>
      <c r="H230" s="695"/>
      <c r="I230" s="695"/>
      <c r="J230" s="695"/>
      <c r="K230" s="695"/>
      <c r="L230" s="695"/>
      <c r="M230" s="695"/>
      <c r="N230" s="695"/>
      <c r="O230" s="695"/>
      <c r="P230" s="695"/>
      <c r="Q230" s="695"/>
      <c r="R230" s="695"/>
      <c r="S230" s="695"/>
      <c r="T230" s="8"/>
      <c r="U230" s="8"/>
      <c r="V230" s="8"/>
      <c r="W230" s="8"/>
      <c r="X230" s="8"/>
      <c r="Y230" s="8"/>
      <c r="Z230" s="8"/>
      <c r="AA230" s="8"/>
      <c r="AB230" s="8"/>
    </row>
    <row r="231" ht="12.75" customHeight="1" spans="1:28" x14ac:dyDescent="0.25">
      <c r="A231" s="8"/>
      <c r="B231" s="8"/>
      <c r="C231" s="8"/>
      <c r="D231" s="8"/>
      <c r="E231" s="8"/>
      <c r="F231" s="8"/>
      <c r="G231" s="695"/>
      <c r="H231" s="695"/>
      <c r="I231" s="695"/>
      <c r="J231" s="695"/>
      <c r="K231" s="695"/>
      <c r="L231" s="695"/>
      <c r="M231" s="695"/>
      <c r="N231" s="695"/>
      <c r="O231" s="695"/>
      <c r="P231" s="695"/>
      <c r="Q231" s="695"/>
      <c r="R231" s="695"/>
      <c r="S231" s="695"/>
      <c r="T231" s="8"/>
      <c r="U231" s="8"/>
      <c r="V231" s="8"/>
      <c r="W231" s="8"/>
      <c r="X231" s="8"/>
      <c r="Y231" s="8"/>
      <c r="Z231" s="8"/>
      <c r="AA231" s="8"/>
      <c r="AB231" s="8"/>
    </row>
    <row r="232" ht="12.75" customHeight="1" spans="1:28" x14ac:dyDescent="0.25">
      <c r="A232" s="8"/>
      <c r="B232" s="8"/>
      <c r="C232" s="8"/>
      <c r="D232" s="8"/>
      <c r="E232" s="8"/>
      <c r="F232" s="8"/>
      <c r="G232" s="695"/>
      <c r="H232" s="695"/>
      <c r="I232" s="695"/>
      <c r="J232" s="695"/>
      <c r="K232" s="695"/>
      <c r="L232" s="695"/>
      <c r="M232" s="695"/>
      <c r="N232" s="695"/>
      <c r="O232" s="695"/>
      <c r="P232" s="695"/>
      <c r="Q232" s="695"/>
      <c r="R232" s="695"/>
      <c r="S232" s="695"/>
      <c r="T232" s="8"/>
      <c r="U232" s="8"/>
      <c r="V232" s="8"/>
      <c r="W232" s="8"/>
      <c r="X232" s="8"/>
      <c r="Y232" s="8"/>
      <c r="Z232" s="8"/>
      <c r="AA232" s="8"/>
      <c r="AB232" s="8"/>
    </row>
    <row r="233" ht="12.75" customHeight="1" spans="1:28" x14ac:dyDescent="0.25">
      <c r="A233" s="8"/>
      <c r="B233" s="8"/>
      <c r="C233" s="8"/>
      <c r="D233" s="8"/>
      <c r="E233" s="8"/>
      <c r="F233" s="8"/>
      <c r="G233" s="695"/>
      <c r="H233" s="695"/>
      <c r="I233" s="695"/>
      <c r="J233" s="695"/>
      <c r="K233" s="695"/>
      <c r="L233" s="695"/>
      <c r="M233" s="695"/>
      <c r="N233" s="695"/>
      <c r="O233" s="695"/>
      <c r="P233" s="695"/>
      <c r="Q233" s="695"/>
      <c r="R233" s="695"/>
      <c r="S233" s="695"/>
      <c r="T233" s="8"/>
      <c r="U233" s="8"/>
      <c r="V233" s="8"/>
      <c r="W233" s="8"/>
      <c r="X233" s="8"/>
      <c r="Y233" s="8"/>
      <c r="Z233" s="8"/>
      <c r="AA233" s="8"/>
      <c r="AB233" s="8"/>
    </row>
    <row r="234" ht="12.75" customHeight="1" spans="1:28" x14ac:dyDescent="0.25">
      <c r="A234" s="8"/>
      <c r="B234" s="8"/>
      <c r="C234" s="8"/>
      <c r="D234" s="8"/>
      <c r="E234" s="8"/>
      <c r="F234" s="8"/>
      <c r="G234" s="695"/>
      <c r="H234" s="695"/>
      <c r="I234" s="695"/>
      <c r="J234" s="695"/>
      <c r="K234" s="695"/>
      <c r="L234" s="695"/>
      <c r="M234" s="695"/>
      <c r="N234" s="695"/>
      <c r="O234" s="695"/>
      <c r="P234" s="695"/>
      <c r="Q234" s="695"/>
      <c r="R234" s="695"/>
      <c r="S234" s="695"/>
      <c r="T234" s="8"/>
      <c r="U234" s="8"/>
      <c r="V234" s="8"/>
      <c r="W234" s="8"/>
      <c r="X234" s="8"/>
      <c r="Y234" s="8"/>
      <c r="Z234" s="8"/>
      <c r="AA234" s="8"/>
      <c r="AB234" s="8"/>
    </row>
    <row r="235" ht="12.75" customHeight="1" spans="1:28" x14ac:dyDescent="0.25">
      <c r="A235" s="8"/>
      <c r="B235" s="8"/>
      <c r="C235" s="8"/>
      <c r="D235" s="8"/>
      <c r="E235" s="8"/>
      <c r="F235" s="8"/>
      <c r="G235" s="695"/>
      <c r="H235" s="695"/>
      <c r="I235" s="695"/>
      <c r="J235" s="695"/>
      <c r="K235" s="695"/>
      <c r="L235" s="695"/>
      <c r="M235" s="695"/>
      <c r="N235" s="695"/>
      <c r="O235" s="695"/>
      <c r="P235" s="695"/>
      <c r="Q235" s="695"/>
      <c r="R235" s="695"/>
      <c r="S235" s="695"/>
      <c r="T235" s="8"/>
      <c r="U235" s="8"/>
      <c r="V235" s="8"/>
      <c r="W235" s="8"/>
      <c r="X235" s="8"/>
      <c r="Y235" s="8"/>
      <c r="Z235" s="8"/>
      <c r="AA235" s="8"/>
      <c r="AB235" s="8"/>
    </row>
    <row r="236" ht="12.75" customHeight="1" spans="1:28" x14ac:dyDescent="0.25">
      <c r="A236" s="8"/>
      <c r="B236" s="8"/>
      <c r="C236" s="8"/>
      <c r="D236" s="8"/>
      <c r="E236" s="8"/>
      <c r="F236" s="8"/>
      <c r="G236" s="695"/>
      <c r="H236" s="695"/>
      <c r="I236" s="695"/>
      <c r="J236" s="695"/>
      <c r="K236" s="695"/>
      <c r="L236" s="695"/>
      <c r="M236" s="695"/>
      <c r="N236" s="695"/>
      <c r="O236" s="695"/>
      <c r="P236" s="695"/>
      <c r="Q236" s="695"/>
      <c r="R236" s="695"/>
      <c r="S236" s="695"/>
      <c r="T236" s="8"/>
      <c r="U236" s="8"/>
      <c r="V236" s="8"/>
      <c r="W236" s="8"/>
      <c r="X236" s="8"/>
      <c r="Y236" s="8"/>
      <c r="Z236" s="8"/>
      <c r="AA236" s="8"/>
      <c r="AB236" s="8"/>
    </row>
    <row r="237" ht="12.75" customHeight="1" spans="1:28" x14ac:dyDescent="0.25">
      <c r="A237" s="8"/>
      <c r="B237" s="8"/>
      <c r="C237" s="8"/>
      <c r="D237" s="8"/>
      <c r="E237" s="8"/>
      <c r="F237" s="8"/>
      <c r="G237" s="695"/>
      <c r="H237" s="695"/>
      <c r="I237" s="695"/>
      <c r="J237" s="695"/>
      <c r="K237" s="695"/>
      <c r="L237" s="695"/>
      <c r="M237" s="695"/>
      <c r="N237" s="695"/>
      <c r="O237" s="695"/>
      <c r="P237" s="695"/>
      <c r="Q237" s="695"/>
      <c r="R237" s="695"/>
      <c r="S237" s="695"/>
      <c r="T237" s="8"/>
      <c r="U237" s="8"/>
      <c r="V237" s="8"/>
      <c r="W237" s="8"/>
      <c r="X237" s="8"/>
      <c r="Y237" s="8"/>
      <c r="Z237" s="8"/>
      <c r="AA237" s="8"/>
      <c r="AB237" s="8"/>
    </row>
    <row r="238" ht="12.75" customHeight="1" spans="1:28" x14ac:dyDescent="0.25">
      <c r="A238" s="8"/>
      <c r="B238" s="8"/>
      <c r="C238" s="8"/>
      <c r="D238" s="8"/>
      <c r="E238" s="8"/>
      <c r="F238" s="8"/>
      <c r="G238" s="695"/>
      <c r="H238" s="695"/>
      <c r="I238" s="695"/>
      <c r="J238" s="695"/>
      <c r="K238" s="695"/>
      <c r="L238" s="695"/>
      <c r="M238" s="695"/>
      <c r="N238" s="695"/>
      <c r="O238" s="695"/>
      <c r="P238" s="695"/>
      <c r="Q238" s="695"/>
      <c r="R238" s="695"/>
      <c r="S238" s="695"/>
      <c r="T238" s="8"/>
      <c r="U238" s="8"/>
      <c r="V238" s="8"/>
      <c r="W238" s="8"/>
      <c r="X238" s="8"/>
      <c r="Y238" s="8"/>
      <c r="Z238" s="8"/>
      <c r="AA238" s="8"/>
      <c r="AB238" s="8"/>
    </row>
    <row r="239" ht="12.75" customHeight="1" spans="1:28" x14ac:dyDescent="0.25">
      <c r="A239" s="8"/>
      <c r="B239" s="8"/>
      <c r="C239" s="8"/>
      <c r="D239" s="8"/>
      <c r="E239" s="8"/>
      <c r="F239" s="8"/>
      <c r="G239" s="695"/>
      <c r="H239" s="695"/>
      <c r="I239" s="695"/>
      <c r="J239" s="695"/>
      <c r="K239" s="695"/>
      <c r="L239" s="695"/>
      <c r="M239" s="695"/>
      <c r="N239" s="695"/>
      <c r="O239" s="695"/>
      <c r="P239" s="695"/>
      <c r="Q239" s="695"/>
      <c r="R239" s="695"/>
      <c r="S239" s="695"/>
      <c r="T239" s="8"/>
      <c r="U239" s="8"/>
      <c r="V239" s="8"/>
      <c r="W239" s="8"/>
      <c r="X239" s="8"/>
      <c r="Y239" s="8"/>
      <c r="Z239" s="8"/>
      <c r="AA239" s="8"/>
      <c r="AB239" s="8"/>
    </row>
    <row r="240" ht="12.75" customHeight="1" spans="1:28" x14ac:dyDescent="0.25">
      <c r="A240" s="8"/>
      <c r="B240" s="8"/>
      <c r="C240" s="8"/>
      <c r="D240" s="8"/>
      <c r="E240" s="8"/>
      <c r="F240" s="8"/>
      <c r="G240" s="695"/>
      <c r="H240" s="695"/>
      <c r="I240" s="695"/>
      <c r="J240" s="695"/>
      <c r="K240" s="695"/>
      <c r="L240" s="695"/>
      <c r="M240" s="695"/>
      <c r="N240" s="695"/>
      <c r="O240" s="695"/>
      <c r="P240" s="695"/>
      <c r="Q240" s="695"/>
      <c r="R240" s="695"/>
      <c r="S240" s="695"/>
      <c r="T240" s="8"/>
      <c r="U240" s="8"/>
      <c r="V240" s="8"/>
      <c r="W240" s="8"/>
      <c r="X240" s="8"/>
      <c r="Y240" s="8"/>
      <c r="Z240" s="8"/>
      <c r="AA240" s="8"/>
      <c r="AB240" s="8"/>
    </row>
    <row r="241" ht="12.75" customHeight="1" spans="1:28" x14ac:dyDescent="0.25">
      <c r="A241" s="8"/>
      <c r="B241" s="8"/>
      <c r="C241" s="8"/>
      <c r="D241" s="8"/>
      <c r="E241" s="8"/>
      <c r="F241" s="8"/>
      <c r="G241" s="695"/>
      <c r="H241" s="695"/>
      <c r="I241" s="695"/>
      <c r="J241" s="695"/>
      <c r="K241" s="695"/>
      <c r="L241" s="695"/>
      <c r="M241" s="695"/>
      <c r="N241" s="695"/>
      <c r="O241" s="695"/>
      <c r="P241" s="695"/>
      <c r="Q241" s="695"/>
      <c r="R241" s="695"/>
      <c r="S241" s="695"/>
      <c r="T241" s="8"/>
      <c r="U241" s="8"/>
      <c r="V241" s="8"/>
      <c r="W241" s="8"/>
      <c r="X241" s="8"/>
      <c r="Y241" s="8"/>
      <c r="Z241" s="8"/>
      <c r="AA241" s="8"/>
      <c r="AB241" s="8"/>
    </row>
    <row r="242" ht="12.75" customHeight="1" spans="1:28" x14ac:dyDescent="0.25">
      <c r="A242" s="8"/>
      <c r="B242" s="8"/>
      <c r="C242" s="8"/>
      <c r="D242" s="8"/>
      <c r="E242" s="8"/>
      <c r="F242" s="8"/>
      <c r="G242" s="695"/>
      <c r="H242" s="695"/>
      <c r="I242" s="695"/>
      <c r="J242" s="695"/>
      <c r="K242" s="695"/>
      <c r="L242" s="695"/>
      <c r="M242" s="695"/>
      <c r="N242" s="695"/>
      <c r="O242" s="695"/>
      <c r="P242" s="695"/>
      <c r="Q242" s="695"/>
      <c r="R242" s="695"/>
      <c r="S242" s="695"/>
      <c r="T242" s="8"/>
      <c r="U242" s="8"/>
      <c r="V242" s="8"/>
      <c r="W242" s="8"/>
      <c r="X242" s="8"/>
      <c r="Y242" s="8"/>
      <c r="Z242" s="8"/>
      <c r="AA242" s="8"/>
      <c r="AB242" s="8"/>
    </row>
    <row r="243" ht="12.75" customHeight="1" spans="1:28" x14ac:dyDescent="0.25">
      <c r="A243" s="8"/>
      <c r="B243" s="8"/>
      <c r="C243" s="8"/>
      <c r="D243" s="8"/>
      <c r="E243" s="8"/>
      <c r="F243" s="8"/>
      <c r="G243" s="695"/>
      <c r="H243" s="695"/>
      <c r="I243" s="695"/>
      <c r="J243" s="695"/>
      <c r="K243" s="695"/>
      <c r="L243" s="695"/>
      <c r="M243" s="695"/>
      <c r="N243" s="695"/>
      <c r="O243" s="695"/>
      <c r="P243" s="695"/>
      <c r="Q243" s="695"/>
      <c r="R243" s="695"/>
      <c r="S243" s="695"/>
      <c r="T243" s="8"/>
      <c r="U243" s="8"/>
      <c r="V243" s="8"/>
      <c r="W243" s="8"/>
      <c r="X243" s="8"/>
      <c r="Y243" s="8"/>
      <c r="Z243" s="8"/>
      <c r="AA243" s="8"/>
      <c r="AB243" s="8"/>
    </row>
    <row r="244" ht="12.75" customHeight="1" spans="1:28" x14ac:dyDescent="0.25">
      <c r="A244" s="8"/>
      <c r="B244" s="8"/>
      <c r="C244" s="8"/>
      <c r="D244" s="8"/>
      <c r="E244" s="8"/>
      <c r="F244" s="8"/>
      <c r="G244" s="695"/>
      <c r="H244" s="695"/>
      <c r="I244" s="695"/>
      <c r="J244" s="695"/>
      <c r="K244" s="695"/>
      <c r="L244" s="695"/>
      <c r="M244" s="695"/>
      <c r="N244" s="695"/>
      <c r="O244" s="695"/>
      <c r="P244" s="695"/>
      <c r="Q244" s="695"/>
      <c r="R244" s="695"/>
      <c r="S244" s="695"/>
      <c r="T244" s="8"/>
      <c r="U244" s="8"/>
      <c r="V244" s="8"/>
      <c r="W244" s="8"/>
      <c r="X244" s="8"/>
      <c r="Y244" s="8"/>
      <c r="Z244" s="8"/>
      <c r="AA244" s="8"/>
      <c r="AB244" s="8"/>
    </row>
    <row r="245" ht="12.75" customHeight="1" spans="1:28" x14ac:dyDescent="0.25">
      <c r="A245" s="8"/>
      <c r="B245" s="8"/>
      <c r="C245" s="8"/>
      <c r="D245" s="8"/>
      <c r="E245" s="8"/>
      <c r="F245" s="8"/>
      <c r="G245" s="695"/>
      <c r="H245" s="695"/>
      <c r="I245" s="695"/>
      <c r="J245" s="695"/>
      <c r="K245" s="695"/>
      <c r="L245" s="695"/>
      <c r="M245" s="695"/>
      <c r="N245" s="695"/>
      <c r="O245" s="695"/>
      <c r="P245" s="695"/>
      <c r="Q245" s="695"/>
      <c r="R245" s="695"/>
      <c r="S245" s="695"/>
      <c r="T245" s="8"/>
      <c r="U245" s="8"/>
      <c r="V245" s="8"/>
      <c r="W245" s="8"/>
      <c r="X245" s="8"/>
      <c r="Y245" s="8"/>
      <c r="Z245" s="8"/>
      <c r="AA245" s="8"/>
      <c r="AB245" s="8"/>
    </row>
    <row r="246" ht="12.75" customHeight="1" spans="1:28" x14ac:dyDescent="0.25">
      <c r="A246" s="8"/>
      <c r="B246" s="8"/>
      <c r="C246" s="8"/>
      <c r="D246" s="8"/>
      <c r="E246" s="8"/>
      <c r="F246" s="8"/>
      <c r="G246" s="695"/>
      <c r="H246" s="695"/>
      <c r="I246" s="695"/>
      <c r="J246" s="695"/>
      <c r="K246" s="695"/>
      <c r="L246" s="695"/>
      <c r="M246" s="695"/>
      <c r="N246" s="695"/>
      <c r="O246" s="695"/>
      <c r="P246" s="695"/>
      <c r="Q246" s="695"/>
      <c r="R246" s="695"/>
      <c r="S246" s="695"/>
      <c r="T246" s="8"/>
      <c r="U246" s="8"/>
      <c r="V246" s="8"/>
      <c r="W246" s="8"/>
      <c r="X246" s="8"/>
      <c r="Y246" s="8"/>
      <c r="Z246" s="8"/>
      <c r="AA246" s="8"/>
      <c r="AB246" s="8"/>
    </row>
    <row r="247" ht="12.75" customHeight="1" spans="1:28" x14ac:dyDescent="0.25">
      <c r="A247" s="8"/>
      <c r="B247" s="8"/>
      <c r="C247" s="8"/>
      <c r="D247" s="8"/>
      <c r="E247" s="8"/>
      <c r="F247" s="8"/>
      <c r="G247" s="695"/>
      <c r="H247" s="695"/>
      <c r="I247" s="695"/>
      <c r="J247" s="695"/>
      <c r="K247" s="695"/>
      <c r="L247" s="695"/>
      <c r="M247" s="695"/>
      <c r="N247" s="695"/>
      <c r="O247" s="695"/>
      <c r="P247" s="695"/>
      <c r="Q247" s="695"/>
      <c r="R247" s="695"/>
      <c r="S247" s="695"/>
      <c r="T247" s="8"/>
      <c r="U247" s="8"/>
      <c r="V247" s="8"/>
      <c r="W247" s="8"/>
      <c r="X247" s="8"/>
      <c r="Y247" s="8"/>
      <c r="Z247" s="8"/>
      <c r="AA247" s="8"/>
      <c r="AB247" s="8"/>
    </row>
    <row r="248" ht="12.75" customHeight="1" spans="1:28" x14ac:dyDescent="0.25">
      <c r="A248" s="8"/>
      <c r="B248" s="8"/>
      <c r="C248" s="8"/>
      <c r="D248" s="8"/>
      <c r="E248" s="8"/>
      <c r="F248" s="8"/>
      <c r="G248" s="695"/>
      <c r="H248" s="695"/>
      <c r="I248" s="695"/>
      <c r="J248" s="695"/>
      <c r="K248" s="695"/>
      <c r="L248" s="695"/>
      <c r="M248" s="695"/>
      <c r="N248" s="695"/>
      <c r="O248" s="695"/>
      <c r="P248" s="695"/>
      <c r="Q248" s="695"/>
      <c r="R248" s="695"/>
      <c r="S248" s="695"/>
      <c r="T248" s="8"/>
      <c r="U248" s="8"/>
      <c r="V248" s="8"/>
      <c r="W248" s="8"/>
      <c r="X248" s="8"/>
      <c r="Y248" s="8"/>
      <c r="Z248" s="8"/>
      <c r="AA248" s="8"/>
      <c r="AB248" s="8"/>
    </row>
    <row r="249" ht="12.75" customHeight="1" spans="1:28" x14ac:dyDescent="0.25">
      <c r="A249" s="8"/>
      <c r="B249" s="8"/>
      <c r="C249" s="8"/>
      <c r="D249" s="8"/>
      <c r="E249" s="8"/>
      <c r="F249" s="8"/>
      <c r="G249" s="695"/>
      <c r="H249" s="695"/>
      <c r="I249" s="695"/>
      <c r="J249" s="695"/>
      <c r="K249" s="695"/>
      <c r="L249" s="695"/>
      <c r="M249" s="695"/>
      <c r="N249" s="695"/>
      <c r="O249" s="695"/>
      <c r="P249" s="695"/>
      <c r="Q249" s="695"/>
      <c r="R249" s="695"/>
      <c r="S249" s="695"/>
      <c r="T249" s="8"/>
      <c r="U249" s="8"/>
      <c r="V249" s="8"/>
      <c r="W249" s="8"/>
      <c r="X249" s="8"/>
      <c r="Y249" s="8"/>
      <c r="Z249" s="8"/>
      <c r="AA249" s="8"/>
      <c r="AB249" s="8"/>
    </row>
    <row r="250" ht="12.75" customHeight="1" spans="1:28" x14ac:dyDescent="0.25">
      <c r="A250" s="8"/>
      <c r="B250" s="8"/>
      <c r="C250" s="8"/>
      <c r="D250" s="8"/>
      <c r="E250" s="8"/>
      <c r="F250" s="8"/>
      <c r="G250" s="695"/>
      <c r="H250" s="695"/>
      <c r="I250" s="695"/>
      <c r="J250" s="695"/>
      <c r="K250" s="695"/>
      <c r="L250" s="695"/>
      <c r="M250" s="695"/>
      <c r="N250" s="695"/>
      <c r="O250" s="695"/>
      <c r="P250" s="695"/>
      <c r="Q250" s="695"/>
      <c r="R250" s="695"/>
      <c r="S250" s="695"/>
      <c r="T250" s="8"/>
      <c r="U250" s="8"/>
      <c r="V250" s="8"/>
      <c r="W250" s="8"/>
      <c r="X250" s="8"/>
      <c r="Y250" s="8"/>
      <c r="Z250" s="8"/>
      <c r="AA250" s="8"/>
      <c r="AB250" s="8"/>
    </row>
    <row r="251" ht="12.75" customHeight="1" spans="1:28" x14ac:dyDescent="0.25">
      <c r="A251" s="8"/>
      <c r="B251" s="8"/>
      <c r="C251" s="8"/>
      <c r="D251" s="8"/>
      <c r="E251" s="8"/>
      <c r="F251" s="8"/>
      <c r="G251" s="695"/>
      <c r="H251" s="695"/>
      <c r="I251" s="695"/>
      <c r="J251" s="695"/>
      <c r="K251" s="695"/>
      <c r="L251" s="695"/>
      <c r="M251" s="695"/>
      <c r="N251" s="695"/>
      <c r="O251" s="695"/>
      <c r="P251" s="695"/>
      <c r="Q251" s="695"/>
      <c r="R251" s="695"/>
      <c r="S251" s="695"/>
      <c r="T251" s="8"/>
      <c r="U251" s="8"/>
      <c r="V251" s="8"/>
      <c r="W251" s="8"/>
      <c r="X251" s="8"/>
      <c r="Y251" s="8"/>
      <c r="Z251" s="8"/>
      <c r="AA251" s="8"/>
      <c r="AB251" s="8"/>
    </row>
    <row r="252" ht="12.75" customHeight="1" spans="1:28" x14ac:dyDescent="0.25">
      <c r="A252" s="8"/>
      <c r="B252" s="8"/>
      <c r="C252" s="8"/>
      <c r="D252" s="8"/>
      <c r="E252" s="8"/>
      <c r="F252" s="8"/>
      <c r="G252" s="695"/>
      <c r="H252" s="695"/>
      <c r="I252" s="695"/>
      <c r="J252" s="695"/>
      <c r="K252" s="695"/>
      <c r="L252" s="695"/>
      <c r="M252" s="695"/>
      <c r="N252" s="695"/>
      <c r="O252" s="695"/>
      <c r="P252" s="695"/>
      <c r="Q252" s="695"/>
      <c r="R252" s="695"/>
      <c r="S252" s="695"/>
      <c r="T252" s="8"/>
      <c r="U252" s="8"/>
      <c r="V252" s="8"/>
      <c r="W252" s="8"/>
      <c r="X252" s="8"/>
      <c r="Y252" s="8"/>
      <c r="Z252" s="8"/>
      <c r="AA252" s="8"/>
      <c r="AB252" s="8"/>
    </row>
    <row r="253" ht="12.75" customHeight="1" spans="1:28" x14ac:dyDescent="0.25">
      <c r="A253" s="8"/>
      <c r="B253" s="8"/>
      <c r="C253" s="8"/>
      <c r="D253" s="8"/>
      <c r="E253" s="8"/>
      <c r="F253" s="8"/>
      <c r="G253" s="695"/>
      <c r="H253" s="695"/>
      <c r="I253" s="695"/>
      <c r="J253" s="695"/>
      <c r="K253" s="695"/>
      <c r="L253" s="695"/>
      <c r="M253" s="695"/>
      <c r="N253" s="695"/>
      <c r="O253" s="695"/>
      <c r="P253" s="695"/>
      <c r="Q253" s="695"/>
      <c r="R253" s="695"/>
      <c r="S253" s="695"/>
      <c r="T253" s="8"/>
      <c r="U253" s="8"/>
      <c r="V253" s="8"/>
      <c r="W253" s="8"/>
      <c r="X253" s="8"/>
      <c r="Y253" s="8"/>
      <c r="Z253" s="8"/>
      <c r="AA253" s="8"/>
      <c r="AB253" s="8"/>
    </row>
    <row r="254" ht="12.75" customHeight="1" spans="1:28" x14ac:dyDescent="0.25">
      <c r="A254" s="8"/>
      <c r="B254" s="8"/>
      <c r="C254" s="8"/>
      <c r="D254" s="8"/>
      <c r="E254" s="8"/>
      <c r="F254" s="8"/>
      <c r="G254" s="695"/>
      <c r="H254" s="695"/>
      <c r="I254" s="695"/>
      <c r="J254" s="695"/>
      <c r="K254" s="695"/>
      <c r="L254" s="695"/>
      <c r="M254" s="695"/>
      <c r="N254" s="695"/>
      <c r="O254" s="695"/>
      <c r="P254" s="695"/>
      <c r="Q254" s="695"/>
      <c r="R254" s="695"/>
      <c r="S254" s="695"/>
      <c r="T254" s="8"/>
      <c r="U254" s="8"/>
      <c r="V254" s="8"/>
      <c r="W254" s="8"/>
      <c r="X254" s="8"/>
      <c r="Y254" s="8"/>
      <c r="Z254" s="8"/>
      <c r="AA254" s="8"/>
      <c r="AB254" s="8"/>
    </row>
    <row r="255" ht="12.75" customHeight="1" spans="1:28" x14ac:dyDescent="0.25">
      <c r="A255" s="8"/>
      <c r="B255" s="8"/>
      <c r="C255" s="8"/>
      <c r="D255" s="8"/>
      <c r="E255" s="8"/>
      <c r="F255" s="8"/>
      <c r="G255" s="695"/>
      <c r="H255" s="695"/>
      <c r="I255" s="695"/>
      <c r="J255" s="695"/>
      <c r="K255" s="695"/>
      <c r="L255" s="695"/>
      <c r="M255" s="695"/>
      <c r="N255" s="695"/>
      <c r="O255" s="695"/>
      <c r="P255" s="695"/>
      <c r="Q255" s="695"/>
      <c r="R255" s="695"/>
      <c r="S255" s="695"/>
      <c r="T255" s="8"/>
      <c r="U255" s="8"/>
      <c r="V255" s="8"/>
      <c r="W255" s="8"/>
      <c r="X255" s="8"/>
      <c r="Y255" s="8"/>
      <c r="Z255" s="8"/>
      <c r="AA255" s="8"/>
      <c r="AB255" s="8"/>
    </row>
    <row r="256" ht="12.75" customHeight="1" spans="1:28" x14ac:dyDescent="0.25">
      <c r="A256" s="8"/>
      <c r="B256" s="8"/>
      <c r="C256" s="8"/>
      <c r="D256" s="8"/>
      <c r="E256" s="8"/>
      <c r="F256" s="8"/>
      <c r="G256" s="695"/>
      <c r="H256" s="695"/>
      <c r="I256" s="695"/>
      <c r="J256" s="695"/>
      <c r="K256" s="695"/>
      <c r="L256" s="695"/>
      <c r="M256" s="695"/>
      <c r="N256" s="695"/>
      <c r="O256" s="695"/>
      <c r="P256" s="695"/>
      <c r="Q256" s="695"/>
      <c r="R256" s="695"/>
      <c r="S256" s="695"/>
      <c r="T256" s="8"/>
      <c r="U256" s="8"/>
      <c r="V256" s="8"/>
      <c r="W256" s="8"/>
      <c r="X256" s="8"/>
      <c r="Y256" s="8"/>
      <c r="Z256" s="8"/>
      <c r="AA256" s="8"/>
      <c r="AB256" s="8"/>
    </row>
    <row r="257" ht="12.75" customHeight="1" spans="1:28" x14ac:dyDescent="0.25">
      <c r="A257" s="8"/>
      <c r="B257" s="8"/>
      <c r="C257" s="8"/>
      <c r="D257" s="8"/>
      <c r="E257" s="8"/>
      <c r="F257" s="8"/>
      <c r="G257" s="695"/>
      <c r="H257" s="695"/>
      <c r="I257" s="695"/>
      <c r="J257" s="695"/>
      <c r="K257" s="695"/>
      <c r="L257" s="695"/>
      <c r="M257" s="695"/>
      <c r="N257" s="695"/>
      <c r="O257" s="695"/>
      <c r="P257" s="695"/>
      <c r="Q257" s="695"/>
      <c r="R257" s="695"/>
      <c r="S257" s="695"/>
      <c r="T257" s="8"/>
      <c r="U257" s="8"/>
      <c r="V257" s="8"/>
      <c r="W257" s="8"/>
      <c r="X257" s="8"/>
      <c r="Y257" s="8"/>
      <c r="Z257" s="8"/>
      <c r="AA257" s="8"/>
      <c r="AB257" s="8"/>
    </row>
    <row r="258" ht="12.75" customHeight="1" spans="1:28" x14ac:dyDescent="0.25">
      <c r="A258" s="8"/>
      <c r="B258" s="8"/>
      <c r="C258" s="8"/>
      <c r="D258" s="8"/>
      <c r="E258" s="8"/>
      <c r="F258" s="8"/>
      <c r="G258" s="695"/>
      <c r="H258" s="695"/>
      <c r="I258" s="695"/>
      <c r="J258" s="695"/>
      <c r="K258" s="695"/>
      <c r="L258" s="695"/>
      <c r="M258" s="695"/>
      <c r="N258" s="695"/>
      <c r="O258" s="695"/>
      <c r="P258" s="695"/>
      <c r="Q258" s="695"/>
      <c r="R258" s="695"/>
      <c r="S258" s="695"/>
      <c r="T258" s="8"/>
      <c r="U258" s="8"/>
      <c r="V258" s="8"/>
      <c r="W258" s="8"/>
      <c r="X258" s="8"/>
      <c r="Y258" s="8"/>
      <c r="Z258" s="8"/>
      <c r="AA258" s="8"/>
      <c r="AB258" s="8"/>
    </row>
    <row r="259" ht="12.75" customHeight="1" spans="1:28" x14ac:dyDescent="0.25">
      <c r="A259" s="8"/>
      <c r="B259" s="8"/>
      <c r="C259" s="8"/>
      <c r="D259" s="8"/>
      <c r="E259" s="8"/>
      <c r="F259" s="8"/>
      <c r="G259" s="695"/>
      <c r="H259" s="695"/>
      <c r="I259" s="695"/>
      <c r="J259" s="695"/>
      <c r="K259" s="695"/>
      <c r="L259" s="695"/>
      <c r="M259" s="695"/>
      <c r="N259" s="695"/>
      <c r="O259" s="695"/>
      <c r="P259" s="695"/>
      <c r="Q259" s="695"/>
      <c r="R259" s="695"/>
      <c r="S259" s="695"/>
      <c r="T259" s="8"/>
      <c r="U259" s="8"/>
      <c r="V259" s="8"/>
      <c r="W259" s="8"/>
      <c r="X259" s="8"/>
      <c r="Y259" s="8"/>
      <c r="Z259" s="8"/>
      <c r="AA259" s="8"/>
      <c r="AB259" s="8"/>
    </row>
    <row r="260" ht="12.75" customHeight="1" spans="1:28" x14ac:dyDescent="0.25">
      <c r="A260" s="8"/>
      <c r="B260" s="8"/>
      <c r="C260" s="8"/>
      <c r="D260" s="8"/>
      <c r="E260" s="8"/>
      <c r="F260" s="8"/>
      <c r="G260" s="695"/>
      <c r="H260" s="695"/>
      <c r="I260" s="695"/>
      <c r="J260" s="695"/>
      <c r="K260" s="695"/>
      <c r="L260" s="695"/>
      <c r="M260" s="695"/>
      <c r="N260" s="695"/>
      <c r="O260" s="695"/>
      <c r="P260" s="695"/>
      <c r="Q260" s="695"/>
      <c r="R260" s="695"/>
      <c r="S260" s="695"/>
      <c r="T260" s="8"/>
      <c r="U260" s="8"/>
      <c r="V260" s="8"/>
      <c r="W260" s="8"/>
      <c r="X260" s="8"/>
      <c r="Y260" s="8"/>
      <c r="Z260" s="8"/>
      <c r="AA260" s="8"/>
      <c r="AB260" s="8"/>
    </row>
    <row r="261" ht="12.75" customHeight="1" spans="1:28" x14ac:dyDescent="0.25">
      <c r="A261" s="8"/>
      <c r="B261" s="8"/>
      <c r="C261" s="8"/>
      <c r="D261" s="8"/>
      <c r="E261" s="8"/>
      <c r="F261" s="8"/>
      <c r="G261" s="695"/>
      <c r="H261" s="695"/>
      <c r="I261" s="695"/>
      <c r="J261" s="695"/>
      <c r="K261" s="695"/>
      <c r="L261" s="695"/>
      <c r="M261" s="695"/>
      <c r="N261" s="695"/>
      <c r="O261" s="695"/>
      <c r="P261" s="695"/>
      <c r="Q261" s="695"/>
      <c r="R261" s="695"/>
      <c r="S261" s="695"/>
      <c r="T261" s="8"/>
      <c r="U261" s="8"/>
      <c r="V261" s="8"/>
      <c r="W261" s="8"/>
      <c r="X261" s="8"/>
      <c r="Y261" s="8"/>
      <c r="Z261" s="8"/>
      <c r="AA261" s="8"/>
      <c r="AB261" s="8"/>
    </row>
    <row r="262" ht="12.75" customHeight="1" spans="1:28" x14ac:dyDescent="0.25">
      <c r="A262" s="8"/>
      <c r="B262" s="8"/>
      <c r="C262" s="8"/>
      <c r="D262" s="8"/>
      <c r="E262" s="8"/>
      <c r="F262" s="8"/>
      <c r="G262" s="695"/>
      <c r="H262" s="695"/>
      <c r="I262" s="695"/>
      <c r="J262" s="695"/>
      <c r="K262" s="695"/>
      <c r="L262" s="695"/>
      <c r="M262" s="695"/>
      <c r="N262" s="695"/>
      <c r="O262" s="695"/>
      <c r="P262" s="695"/>
      <c r="Q262" s="695"/>
      <c r="R262" s="695"/>
      <c r="S262" s="695"/>
      <c r="T262" s="8"/>
      <c r="U262" s="8"/>
      <c r="V262" s="8"/>
      <c r="W262" s="8"/>
      <c r="X262" s="8"/>
      <c r="Y262" s="8"/>
      <c r="Z262" s="8"/>
      <c r="AA262" s="8"/>
      <c r="AB262" s="8"/>
    </row>
    <row r="263" ht="12.75" customHeight="1" spans="1:28" x14ac:dyDescent="0.25">
      <c r="A263" s="8"/>
      <c r="B263" s="8"/>
      <c r="C263" s="8"/>
      <c r="D263" s="8"/>
      <c r="E263" s="8"/>
      <c r="F263" s="8"/>
      <c r="G263" s="695"/>
      <c r="H263" s="695"/>
      <c r="I263" s="695"/>
      <c r="J263" s="695"/>
      <c r="K263" s="695"/>
      <c r="L263" s="695"/>
      <c r="M263" s="695"/>
      <c r="N263" s="695"/>
      <c r="O263" s="695"/>
      <c r="P263" s="695"/>
      <c r="Q263" s="695"/>
      <c r="R263" s="695"/>
      <c r="S263" s="695"/>
      <c r="T263" s="8"/>
      <c r="U263" s="8"/>
      <c r="V263" s="8"/>
      <c r="W263" s="8"/>
      <c r="X263" s="8"/>
      <c r="Y263" s="8"/>
      <c r="Z263" s="8"/>
      <c r="AA263" s="8"/>
      <c r="AB263" s="8"/>
    </row>
    <row r="264" ht="12.75" customHeight="1" spans="1:28" x14ac:dyDescent="0.25">
      <c r="A264" s="8"/>
      <c r="B264" s="8"/>
      <c r="C264" s="8"/>
      <c r="D264" s="8"/>
      <c r="E264" s="8"/>
      <c r="F264" s="8"/>
      <c r="G264" s="695"/>
      <c r="H264" s="695"/>
      <c r="I264" s="695"/>
      <c r="J264" s="695"/>
      <c r="K264" s="695"/>
      <c r="L264" s="695"/>
      <c r="M264" s="695"/>
      <c r="N264" s="695"/>
      <c r="O264" s="695"/>
      <c r="P264" s="695"/>
      <c r="Q264" s="695"/>
      <c r="R264" s="695"/>
      <c r="S264" s="695"/>
      <c r="T264" s="8"/>
      <c r="U264" s="8"/>
      <c r="V264" s="8"/>
      <c r="W264" s="8"/>
      <c r="X264" s="8"/>
      <c r="Y264" s="8"/>
      <c r="Z264" s="8"/>
      <c r="AA264" s="8"/>
      <c r="AB264" s="8"/>
    </row>
    <row r="265" ht="12.75" customHeight="1" spans="1:28" x14ac:dyDescent="0.25">
      <c r="A265" s="8"/>
      <c r="B265" s="8"/>
      <c r="C265" s="8"/>
      <c r="D265" s="8"/>
      <c r="E265" s="8"/>
      <c r="F265" s="8"/>
      <c r="G265" s="695"/>
      <c r="H265" s="695"/>
      <c r="I265" s="695"/>
      <c r="J265" s="695"/>
      <c r="K265" s="695"/>
      <c r="L265" s="695"/>
      <c r="M265" s="695"/>
      <c r="N265" s="695"/>
      <c r="O265" s="695"/>
      <c r="P265" s="695"/>
      <c r="Q265" s="695"/>
      <c r="R265" s="695"/>
      <c r="S265" s="695"/>
      <c r="T265" s="8"/>
      <c r="U265" s="8"/>
      <c r="V265" s="8"/>
      <c r="W265" s="8"/>
      <c r="X265" s="8"/>
      <c r="Y265" s="8"/>
      <c r="Z265" s="8"/>
      <c r="AA265" s="8"/>
      <c r="AB265" s="8"/>
    </row>
    <row r="266" ht="12.75" customHeight="1" spans="1:28" x14ac:dyDescent="0.25">
      <c r="A266" s="8"/>
      <c r="B266" s="8"/>
      <c r="C266" s="8"/>
      <c r="D266" s="8"/>
      <c r="E266" s="8"/>
      <c r="F266" s="8"/>
      <c r="G266" s="695"/>
      <c r="H266" s="695"/>
      <c r="I266" s="695"/>
      <c r="J266" s="695"/>
      <c r="K266" s="695"/>
      <c r="L266" s="695"/>
      <c r="M266" s="695"/>
      <c r="N266" s="695"/>
      <c r="O266" s="695"/>
      <c r="P266" s="695"/>
      <c r="Q266" s="695"/>
      <c r="R266" s="695"/>
      <c r="S266" s="695"/>
      <c r="T266" s="8"/>
      <c r="U266" s="8"/>
      <c r="V266" s="8"/>
      <c r="W266" s="8"/>
      <c r="X266" s="8"/>
      <c r="Y266" s="8"/>
      <c r="Z266" s="8"/>
      <c r="AA266" s="8"/>
      <c r="AB266" s="8"/>
    </row>
    <row r="267" ht="12.75" customHeight="1" spans="1:28" x14ac:dyDescent="0.25">
      <c r="A267" s="8"/>
      <c r="B267" s="8"/>
      <c r="C267" s="8"/>
      <c r="D267" s="8"/>
      <c r="E267" s="8"/>
      <c r="F267" s="8"/>
      <c r="G267" s="695"/>
      <c r="H267" s="695"/>
      <c r="I267" s="695"/>
      <c r="J267" s="695"/>
      <c r="K267" s="695"/>
      <c r="L267" s="695"/>
      <c r="M267" s="695"/>
      <c r="N267" s="695"/>
      <c r="O267" s="695"/>
      <c r="P267" s="695"/>
      <c r="Q267" s="695"/>
      <c r="R267" s="695"/>
      <c r="S267" s="695"/>
      <c r="T267" s="8"/>
      <c r="U267" s="8"/>
      <c r="V267" s="8"/>
      <c r="W267" s="8"/>
      <c r="X267" s="8"/>
      <c r="Y267" s="8"/>
      <c r="Z267" s="8"/>
      <c r="AA267" s="8"/>
      <c r="AB267" s="8"/>
    </row>
    <row r="268" ht="12.75" customHeight="1" spans="1:28" x14ac:dyDescent="0.25">
      <c r="A268" s="8"/>
      <c r="B268" s="8"/>
      <c r="C268" s="8"/>
      <c r="D268" s="8"/>
      <c r="E268" s="8"/>
      <c r="F268" s="8"/>
      <c r="G268" s="695"/>
      <c r="H268" s="695"/>
      <c r="I268" s="695"/>
      <c r="J268" s="695"/>
      <c r="K268" s="695"/>
      <c r="L268" s="695"/>
      <c r="M268" s="695"/>
      <c r="N268" s="695"/>
      <c r="O268" s="695"/>
      <c r="P268" s="695"/>
      <c r="Q268" s="695"/>
      <c r="R268" s="695"/>
      <c r="S268" s="695"/>
      <c r="T268" s="8"/>
      <c r="U268" s="8"/>
      <c r="V268" s="8"/>
      <c r="W268" s="8"/>
      <c r="X268" s="8"/>
      <c r="Y268" s="8"/>
      <c r="Z268" s="8"/>
      <c r="AA268" s="8"/>
      <c r="AB268" s="8"/>
    </row>
    <row r="269" ht="12.75" customHeight="1" spans="1:28" x14ac:dyDescent="0.25">
      <c r="A269" s="8"/>
      <c r="B269" s="8"/>
      <c r="C269" s="8"/>
      <c r="D269" s="8"/>
      <c r="E269" s="8"/>
      <c r="F269" s="8"/>
      <c r="G269" s="695"/>
      <c r="H269" s="695"/>
      <c r="I269" s="695"/>
      <c r="J269" s="695"/>
      <c r="K269" s="695"/>
      <c r="L269" s="695"/>
      <c r="M269" s="695"/>
      <c r="N269" s="695"/>
      <c r="O269" s="695"/>
      <c r="P269" s="695"/>
      <c r="Q269" s="695"/>
      <c r="R269" s="695"/>
      <c r="S269" s="695"/>
      <c r="T269" s="8"/>
      <c r="U269" s="8"/>
      <c r="V269" s="8"/>
      <c r="W269" s="8"/>
      <c r="X269" s="8"/>
      <c r="Y269" s="8"/>
      <c r="Z269" s="8"/>
      <c r="AA269" s="8"/>
      <c r="AB269" s="8"/>
    </row>
    <row r="270" ht="12.75" customHeight="1" spans="1:28" x14ac:dyDescent="0.25">
      <c r="A270" s="8"/>
      <c r="B270" s="8"/>
      <c r="C270" s="8"/>
      <c r="D270" s="8"/>
      <c r="E270" s="8"/>
      <c r="F270" s="8"/>
      <c r="G270" s="695"/>
      <c r="H270" s="695"/>
      <c r="I270" s="695"/>
      <c r="J270" s="695"/>
      <c r="K270" s="695"/>
      <c r="L270" s="695"/>
      <c r="M270" s="695"/>
      <c r="N270" s="695"/>
      <c r="O270" s="695"/>
      <c r="P270" s="695"/>
      <c r="Q270" s="695"/>
      <c r="R270" s="695"/>
      <c r="S270" s="695"/>
      <c r="T270" s="8"/>
      <c r="U270" s="8"/>
      <c r="V270" s="8"/>
      <c r="W270" s="8"/>
      <c r="X270" s="8"/>
      <c r="Y270" s="8"/>
      <c r="Z270" s="8"/>
      <c r="AA270" s="8"/>
      <c r="AB270" s="8"/>
    </row>
    <row r="271" ht="12.75" customHeight="1" spans="1:28" x14ac:dyDescent="0.25">
      <c r="A271" s="8"/>
      <c r="B271" s="8"/>
      <c r="C271" s="8"/>
      <c r="D271" s="8"/>
      <c r="E271" s="8"/>
      <c r="F271" s="8"/>
      <c r="G271" s="695"/>
      <c r="H271" s="695"/>
      <c r="I271" s="695"/>
      <c r="J271" s="695"/>
      <c r="K271" s="695"/>
      <c r="L271" s="695"/>
      <c r="M271" s="695"/>
      <c r="N271" s="695"/>
      <c r="O271" s="695"/>
      <c r="P271" s="695"/>
      <c r="Q271" s="695"/>
      <c r="R271" s="695"/>
      <c r="S271" s="695"/>
      <c r="T271" s="8"/>
      <c r="U271" s="8"/>
      <c r="V271" s="8"/>
      <c r="W271" s="8"/>
      <c r="X271" s="8"/>
      <c r="Y271" s="8"/>
      <c r="Z271" s="8"/>
      <c r="AA271" s="8"/>
      <c r="AB271" s="8"/>
    </row>
    <row r="272" ht="12.75" customHeight="1" spans="1:28" x14ac:dyDescent="0.25">
      <c r="A272" s="8"/>
      <c r="B272" s="8"/>
      <c r="C272" s="8"/>
      <c r="D272" s="8"/>
      <c r="E272" s="8"/>
      <c r="F272" s="8"/>
      <c r="G272" s="695"/>
      <c r="H272" s="695"/>
      <c r="I272" s="695"/>
      <c r="J272" s="695"/>
      <c r="K272" s="695"/>
      <c r="L272" s="695"/>
      <c r="M272" s="695"/>
      <c r="N272" s="695"/>
      <c r="O272" s="695"/>
      <c r="P272" s="695"/>
      <c r="Q272" s="695"/>
      <c r="R272" s="695"/>
      <c r="S272" s="695"/>
      <c r="T272" s="8"/>
      <c r="U272" s="8"/>
      <c r="V272" s="8"/>
      <c r="W272" s="8"/>
      <c r="X272" s="8"/>
      <c r="Y272" s="8"/>
      <c r="Z272" s="8"/>
      <c r="AA272" s="8"/>
      <c r="AB272" s="8"/>
    </row>
    <row r="273" ht="12.75" customHeight="1" spans="1:28" x14ac:dyDescent="0.25">
      <c r="A273" s="8"/>
      <c r="B273" s="8"/>
      <c r="C273" s="8"/>
      <c r="D273" s="8"/>
      <c r="E273" s="8"/>
      <c r="F273" s="8"/>
      <c r="G273" s="695"/>
      <c r="H273" s="695"/>
      <c r="I273" s="695"/>
      <c r="J273" s="695"/>
      <c r="K273" s="695"/>
      <c r="L273" s="695"/>
      <c r="M273" s="695"/>
      <c r="N273" s="695"/>
      <c r="O273" s="695"/>
      <c r="P273" s="695"/>
      <c r="Q273" s="695"/>
      <c r="R273" s="695"/>
      <c r="S273" s="695"/>
      <c r="T273" s="8"/>
      <c r="U273" s="8"/>
      <c r="V273" s="8"/>
      <c r="W273" s="8"/>
      <c r="X273" s="8"/>
      <c r="Y273" s="8"/>
      <c r="Z273" s="8"/>
      <c r="AA273" s="8"/>
      <c r="AB273" s="8"/>
    </row>
    <row r="274" ht="12.75" customHeight="1" spans="1:28" x14ac:dyDescent="0.25">
      <c r="A274" s="8"/>
      <c r="B274" s="8"/>
      <c r="C274" s="8"/>
      <c r="D274" s="8"/>
      <c r="E274" s="8"/>
      <c r="F274" s="8"/>
      <c r="G274" s="695"/>
      <c r="H274" s="695"/>
      <c r="I274" s="695"/>
      <c r="J274" s="695"/>
      <c r="K274" s="695"/>
      <c r="L274" s="695"/>
      <c r="M274" s="695"/>
      <c r="N274" s="695"/>
      <c r="O274" s="695"/>
      <c r="P274" s="695"/>
      <c r="Q274" s="695"/>
      <c r="R274" s="695"/>
      <c r="S274" s="695"/>
      <c r="T274" s="8"/>
      <c r="U274" s="8"/>
      <c r="V274" s="8"/>
      <c r="W274" s="8"/>
      <c r="X274" s="8"/>
      <c r="Y274" s="8"/>
      <c r="Z274" s="8"/>
      <c r="AA274" s="8"/>
      <c r="AB274" s="8"/>
    </row>
    <row r="275" ht="12.75" customHeight="1" spans="1:28" x14ac:dyDescent="0.25">
      <c r="A275" s="8"/>
      <c r="B275" s="8"/>
      <c r="C275" s="8"/>
      <c r="D275" s="8"/>
      <c r="E275" s="8"/>
      <c r="F275" s="8"/>
      <c r="G275" s="695"/>
      <c r="H275" s="695"/>
      <c r="I275" s="695"/>
      <c r="J275" s="695"/>
      <c r="K275" s="695"/>
      <c r="L275" s="695"/>
      <c r="M275" s="695"/>
      <c r="N275" s="695"/>
      <c r="O275" s="695"/>
      <c r="P275" s="695"/>
      <c r="Q275" s="695"/>
      <c r="R275" s="695"/>
      <c r="S275" s="695"/>
      <c r="T275" s="8"/>
      <c r="U275" s="8"/>
      <c r="V275" s="8"/>
      <c r="W275" s="8"/>
      <c r="X275" s="8"/>
      <c r="Y275" s="8"/>
      <c r="Z275" s="8"/>
      <c r="AA275" s="8"/>
      <c r="AB275" s="8"/>
    </row>
    <row r="276" ht="12.75" customHeight="1" spans="1:28" x14ac:dyDescent="0.25">
      <c r="A276" s="8"/>
      <c r="B276" s="8"/>
      <c r="C276" s="8"/>
      <c r="D276" s="8"/>
      <c r="E276" s="8"/>
      <c r="F276" s="8"/>
      <c r="G276" s="695"/>
      <c r="H276" s="695"/>
      <c r="I276" s="695"/>
      <c r="J276" s="695"/>
      <c r="K276" s="695"/>
      <c r="L276" s="695"/>
      <c r="M276" s="695"/>
      <c r="N276" s="695"/>
      <c r="O276" s="695"/>
      <c r="P276" s="695"/>
      <c r="Q276" s="695"/>
      <c r="R276" s="695"/>
      <c r="S276" s="695"/>
      <c r="T276" s="8"/>
      <c r="U276" s="8"/>
      <c r="V276" s="8"/>
      <c r="W276" s="8"/>
      <c r="X276" s="8"/>
      <c r="Y276" s="8"/>
      <c r="Z276" s="8"/>
      <c r="AA276" s="8"/>
      <c r="AB276" s="8"/>
    </row>
    <row r="277" ht="12.75" customHeight="1" spans="1:28" x14ac:dyDescent="0.25">
      <c r="A277" s="8"/>
      <c r="B277" s="8"/>
      <c r="C277" s="8"/>
      <c r="D277" s="8"/>
      <c r="E277" s="8"/>
      <c r="F277" s="8"/>
      <c r="G277" s="695"/>
      <c r="H277" s="695"/>
      <c r="I277" s="695"/>
      <c r="J277" s="695"/>
      <c r="K277" s="695"/>
      <c r="L277" s="695"/>
      <c r="M277" s="695"/>
      <c r="N277" s="695"/>
      <c r="O277" s="695"/>
      <c r="P277" s="695"/>
      <c r="Q277" s="695"/>
      <c r="R277" s="695"/>
      <c r="S277" s="695"/>
      <c r="T277" s="8"/>
      <c r="U277" s="8"/>
      <c r="V277" s="8"/>
      <c r="W277" s="8"/>
      <c r="X277" s="8"/>
      <c r="Y277" s="8"/>
      <c r="Z277" s="8"/>
      <c r="AA277" s="8"/>
      <c r="AB277" s="8"/>
    </row>
    <row r="278" ht="12.75" customHeight="1" spans="1:28" x14ac:dyDescent="0.25">
      <c r="A278" s="8"/>
      <c r="B278" s="8"/>
      <c r="C278" s="8"/>
      <c r="D278" s="8"/>
      <c r="E278" s="8"/>
      <c r="F278" s="8"/>
      <c r="G278" s="695"/>
      <c r="H278" s="695"/>
      <c r="I278" s="695"/>
      <c r="J278" s="695"/>
      <c r="K278" s="695"/>
      <c r="L278" s="695"/>
      <c r="M278" s="695"/>
      <c r="N278" s="695"/>
      <c r="O278" s="695"/>
      <c r="P278" s="695"/>
      <c r="Q278" s="695"/>
      <c r="R278" s="695"/>
      <c r="S278" s="695"/>
      <c r="T278" s="8"/>
      <c r="U278" s="8"/>
      <c r="V278" s="8"/>
      <c r="W278" s="8"/>
      <c r="X278" s="8"/>
      <c r="Y278" s="8"/>
      <c r="Z278" s="8"/>
      <c r="AA278" s="8"/>
      <c r="AB278" s="8"/>
    </row>
    <row r="279" ht="12.75" customHeight="1" spans="1:28" x14ac:dyDescent="0.25">
      <c r="A279" s="8"/>
      <c r="B279" s="8"/>
      <c r="C279" s="8"/>
      <c r="D279" s="8"/>
      <c r="E279" s="8"/>
      <c r="F279" s="8"/>
      <c r="G279" s="695"/>
      <c r="H279" s="695"/>
      <c r="I279" s="695"/>
      <c r="J279" s="695"/>
      <c r="K279" s="695"/>
      <c r="L279" s="695"/>
      <c r="M279" s="695"/>
      <c r="N279" s="695"/>
      <c r="O279" s="695"/>
      <c r="P279" s="695"/>
      <c r="Q279" s="695"/>
      <c r="R279" s="695"/>
      <c r="S279" s="695"/>
      <c r="T279" s="8"/>
      <c r="U279" s="8"/>
      <c r="V279" s="8"/>
      <c r="W279" s="8"/>
      <c r="X279" s="8"/>
      <c r="Y279" s="8"/>
      <c r="Z279" s="8"/>
      <c r="AA279" s="8"/>
      <c r="AB279" s="8"/>
    </row>
    <row r="280" ht="12.75" customHeight="1" spans="1:28" x14ac:dyDescent="0.25">
      <c r="A280" s="8"/>
      <c r="B280" s="8"/>
      <c r="C280" s="8"/>
      <c r="D280" s="8"/>
      <c r="E280" s="8"/>
      <c r="F280" s="8"/>
      <c r="G280" s="695"/>
      <c r="H280" s="695"/>
      <c r="I280" s="695"/>
      <c r="J280" s="695"/>
      <c r="K280" s="695"/>
      <c r="L280" s="695"/>
      <c r="M280" s="695"/>
      <c r="N280" s="695"/>
      <c r="O280" s="695"/>
      <c r="P280" s="695"/>
      <c r="Q280" s="695"/>
      <c r="R280" s="695"/>
      <c r="S280" s="695"/>
      <c r="T280" s="8"/>
      <c r="U280" s="8"/>
      <c r="V280" s="8"/>
      <c r="W280" s="8"/>
      <c r="X280" s="8"/>
      <c r="Y280" s="8"/>
      <c r="Z280" s="8"/>
      <c r="AA280" s="8"/>
      <c r="AB280" s="8"/>
    </row>
    <row r="281" ht="12.75" customHeight="1" spans="1:28" x14ac:dyDescent="0.25">
      <c r="A281" s="8"/>
      <c r="B281" s="8"/>
      <c r="C281" s="8"/>
      <c r="D281" s="8"/>
      <c r="E281" s="8"/>
      <c r="F281" s="8"/>
      <c r="G281" s="695"/>
      <c r="H281" s="695"/>
      <c r="I281" s="695"/>
      <c r="J281" s="695"/>
      <c r="K281" s="695"/>
      <c r="L281" s="695"/>
      <c r="M281" s="695"/>
      <c r="N281" s="695"/>
      <c r="O281" s="695"/>
      <c r="P281" s="695"/>
      <c r="Q281" s="695"/>
      <c r="R281" s="695"/>
      <c r="S281" s="695"/>
      <c r="T281" s="8"/>
      <c r="U281" s="8"/>
      <c r="V281" s="8"/>
      <c r="W281" s="8"/>
      <c r="X281" s="8"/>
      <c r="Y281" s="8"/>
      <c r="Z281" s="8"/>
      <c r="AA281" s="8"/>
      <c r="AB281" s="8"/>
    </row>
    <row r="282" ht="12.75" customHeight="1" spans="1:28" x14ac:dyDescent="0.25">
      <c r="A282" s="8"/>
      <c r="B282" s="8"/>
      <c r="C282" s="8"/>
      <c r="D282" s="8"/>
      <c r="E282" s="8"/>
      <c r="F282" s="8"/>
      <c r="G282" s="695"/>
      <c r="H282" s="695"/>
      <c r="I282" s="695"/>
      <c r="J282" s="695"/>
      <c r="K282" s="695"/>
      <c r="L282" s="695"/>
      <c r="M282" s="695"/>
      <c r="N282" s="695"/>
      <c r="O282" s="695"/>
      <c r="P282" s="695"/>
      <c r="Q282" s="695"/>
      <c r="R282" s="695"/>
      <c r="S282" s="695"/>
      <c r="T282" s="8"/>
      <c r="U282" s="8"/>
      <c r="V282" s="8"/>
      <c r="W282" s="8"/>
      <c r="X282" s="8"/>
      <c r="Y282" s="8"/>
      <c r="Z282" s="8"/>
      <c r="AA282" s="8"/>
      <c r="AB282" s="8"/>
    </row>
    <row r="283" ht="12.75" customHeight="1" spans="1:28" x14ac:dyDescent="0.25">
      <c r="A283" s="8"/>
      <c r="B283" s="8"/>
      <c r="C283" s="8"/>
      <c r="D283" s="8"/>
      <c r="E283" s="8"/>
      <c r="F283" s="8"/>
      <c r="G283" s="695"/>
      <c r="H283" s="695"/>
      <c r="I283" s="695"/>
      <c r="J283" s="695"/>
      <c r="K283" s="695"/>
      <c r="L283" s="695"/>
      <c r="M283" s="695"/>
      <c r="N283" s="695"/>
      <c r="O283" s="695"/>
      <c r="P283" s="695"/>
      <c r="Q283" s="695"/>
      <c r="R283" s="695"/>
      <c r="S283" s="695"/>
      <c r="T283" s="8"/>
      <c r="U283" s="8"/>
      <c r="V283" s="8"/>
      <c r="W283" s="8"/>
      <c r="X283" s="8"/>
      <c r="Y283" s="8"/>
      <c r="Z283" s="8"/>
      <c r="AA283" s="8"/>
      <c r="AB283" s="8"/>
    </row>
    <row r="284" ht="12.75" customHeight="1" spans="1:28" x14ac:dyDescent="0.25">
      <c r="A284" s="8"/>
      <c r="B284" s="8"/>
      <c r="C284" s="8"/>
      <c r="D284" s="8"/>
      <c r="E284" s="8"/>
      <c r="F284" s="8"/>
      <c r="G284" s="695"/>
      <c r="H284" s="695"/>
      <c r="I284" s="695"/>
      <c r="J284" s="695"/>
      <c r="K284" s="695"/>
      <c r="L284" s="695"/>
      <c r="M284" s="695"/>
      <c r="N284" s="695"/>
      <c r="O284" s="695"/>
      <c r="P284" s="695"/>
      <c r="Q284" s="695"/>
      <c r="R284" s="695"/>
      <c r="S284" s="695"/>
      <c r="T284" s="8"/>
      <c r="U284" s="8"/>
      <c r="V284" s="8"/>
      <c r="W284" s="8"/>
      <c r="X284" s="8"/>
      <c r="Y284" s="8"/>
      <c r="Z284" s="8"/>
      <c r="AA284" s="8"/>
      <c r="AB284" s="8"/>
    </row>
    <row r="285" ht="12.75" customHeight="1" spans="1:28" x14ac:dyDescent="0.25">
      <c r="A285" s="8"/>
      <c r="B285" s="8"/>
      <c r="C285" s="8"/>
      <c r="D285" s="8"/>
      <c r="E285" s="8"/>
      <c r="F285" s="8"/>
      <c r="G285" s="695"/>
      <c r="H285" s="695"/>
      <c r="I285" s="695"/>
      <c r="J285" s="695"/>
      <c r="K285" s="695"/>
      <c r="L285" s="695"/>
      <c r="M285" s="695"/>
      <c r="N285" s="695"/>
      <c r="O285" s="695"/>
      <c r="P285" s="695"/>
      <c r="Q285" s="695"/>
      <c r="R285" s="695"/>
      <c r="S285" s="695"/>
      <c r="T285" s="8"/>
      <c r="U285" s="8"/>
      <c r="V285" s="8"/>
      <c r="W285" s="8"/>
      <c r="X285" s="8"/>
      <c r="Y285" s="8"/>
      <c r="Z285" s="8"/>
      <c r="AA285" s="8"/>
      <c r="AB285" s="8"/>
    </row>
    <row r="286" ht="12.75" customHeight="1" spans="1:28" x14ac:dyDescent="0.25">
      <c r="A286" s="8"/>
      <c r="B286" s="8"/>
      <c r="C286" s="8"/>
      <c r="D286" s="8"/>
      <c r="E286" s="8"/>
      <c r="F286" s="8"/>
      <c r="G286" s="695"/>
      <c r="H286" s="695"/>
      <c r="I286" s="695"/>
      <c r="J286" s="695"/>
      <c r="K286" s="695"/>
      <c r="L286" s="695"/>
      <c r="M286" s="695"/>
      <c r="N286" s="695"/>
      <c r="O286" s="695"/>
      <c r="P286" s="695"/>
      <c r="Q286" s="695"/>
      <c r="R286" s="695"/>
      <c r="S286" s="695"/>
      <c r="T286" s="8"/>
      <c r="U286" s="8"/>
      <c r="V286" s="8"/>
      <c r="W286" s="8"/>
      <c r="X286" s="8"/>
      <c r="Y286" s="8"/>
      <c r="Z286" s="8"/>
      <c r="AA286" s="8"/>
      <c r="AB286" s="8"/>
    </row>
    <row r="287" ht="12.75" customHeight="1" spans="1:28" x14ac:dyDescent="0.25">
      <c r="A287" s="8"/>
      <c r="B287" s="8"/>
      <c r="C287" s="8"/>
      <c r="D287" s="8"/>
      <c r="E287" s="8"/>
      <c r="F287" s="8"/>
      <c r="G287" s="695"/>
      <c r="H287" s="695"/>
      <c r="I287" s="695"/>
      <c r="J287" s="695"/>
      <c r="K287" s="695"/>
      <c r="L287" s="695"/>
      <c r="M287" s="695"/>
      <c r="N287" s="695"/>
      <c r="O287" s="695"/>
      <c r="P287" s="695"/>
      <c r="Q287" s="695"/>
      <c r="R287" s="695"/>
      <c r="S287" s="695"/>
      <c r="T287" s="8"/>
      <c r="U287" s="8"/>
      <c r="V287" s="8"/>
      <c r="W287" s="8"/>
      <c r="X287" s="8"/>
      <c r="Y287" s="8"/>
      <c r="Z287" s="8"/>
      <c r="AA287" s="8"/>
      <c r="AB287" s="8"/>
    </row>
    <row r="288" ht="12.75" customHeight="1" spans="1:28" x14ac:dyDescent="0.25">
      <c r="A288" s="8"/>
      <c r="B288" s="8"/>
      <c r="C288" s="8"/>
      <c r="D288" s="8"/>
      <c r="E288" s="8"/>
      <c r="F288" s="8"/>
      <c r="G288" s="695"/>
      <c r="H288" s="695"/>
      <c r="I288" s="695"/>
      <c r="J288" s="695"/>
      <c r="K288" s="695"/>
      <c r="L288" s="695"/>
      <c r="M288" s="695"/>
      <c r="N288" s="695"/>
      <c r="O288" s="695"/>
      <c r="P288" s="695"/>
      <c r="Q288" s="695"/>
      <c r="R288" s="695"/>
      <c r="S288" s="695"/>
      <c r="T288" s="8"/>
      <c r="U288" s="8"/>
      <c r="V288" s="8"/>
      <c r="W288" s="8"/>
      <c r="X288" s="8"/>
      <c r="Y288" s="8"/>
      <c r="Z288" s="8"/>
      <c r="AA288" s="8"/>
      <c r="AB288" s="8"/>
    </row>
    <row r="289" ht="12.75" customHeight="1" spans="1:28" x14ac:dyDescent="0.25">
      <c r="A289" s="8"/>
      <c r="B289" s="8"/>
      <c r="C289" s="8"/>
      <c r="D289" s="8"/>
      <c r="E289" s="8"/>
      <c r="F289" s="8"/>
      <c r="G289" s="695"/>
      <c r="H289" s="695"/>
      <c r="I289" s="695"/>
      <c r="J289" s="695"/>
      <c r="K289" s="695"/>
      <c r="L289" s="695"/>
      <c r="M289" s="695"/>
      <c r="N289" s="695"/>
      <c r="O289" s="695"/>
      <c r="P289" s="695"/>
      <c r="Q289" s="695"/>
      <c r="R289" s="695"/>
      <c r="S289" s="695"/>
      <c r="T289" s="8"/>
      <c r="U289" s="8"/>
      <c r="V289" s="8"/>
      <c r="W289" s="8"/>
      <c r="X289" s="8"/>
      <c r="Y289" s="8"/>
      <c r="Z289" s="8"/>
      <c r="AA289" s="8"/>
      <c r="AB289" s="8"/>
    </row>
    <row r="290" ht="12.75" customHeight="1" spans="1:28" x14ac:dyDescent="0.25">
      <c r="A290" s="8"/>
      <c r="B290" s="8"/>
      <c r="C290" s="8"/>
      <c r="D290" s="8"/>
      <c r="E290" s="8"/>
      <c r="F290" s="8"/>
      <c r="G290" s="695"/>
      <c r="H290" s="695"/>
      <c r="I290" s="695"/>
      <c r="J290" s="695"/>
      <c r="K290" s="695"/>
      <c r="L290" s="695"/>
      <c r="M290" s="695"/>
      <c r="N290" s="695"/>
      <c r="O290" s="695"/>
      <c r="P290" s="695"/>
      <c r="Q290" s="695"/>
      <c r="R290" s="695"/>
      <c r="S290" s="695"/>
      <c r="T290" s="8"/>
      <c r="U290" s="8"/>
      <c r="V290" s="8"/>
      <c r="W290" s="8"/>
      <c r="X290" s="8"/>
      <c r="Y290" s="8"/>
      <c r="Z290" s="8"/>
      <c r="AA290" s="8"/>
      <c r="AB290" s="8"/>
    </row>
    <row r="291" ht="12.75" customHeight="1" spans="1:28" x14ac:dyDescent="0.25">
      <c r="A291" s="8"/>
      <c r="B291" s="8"/>
      <c r="C291" s="8"/>
      <c r="D291" s="8"/>
      <c r="E291" s="8"/>
      <c r="F291" s="8"/>
      <c r="G291" s="695"/>
      <c r="H291" s="695"/>
      <c r="I291" s="695"/>
      <c r="J291" s="695"/>
      <c r="K291" s="695"/>
      <c r="L291" s="695"/>
      <c r="M291" s="695"/>
      <c r="N291" s="695"/>
      <c r="O291" s="695"/>
      <c r="P291" s="695"/>
      <c r="Q291" s="695"/>
      <c r="R291" s="695"/>
      <c r="S291" s="695"/>
      <c r="T291" s="8"/>
      <c r="U291" s="8"/>
      <c r="V291" s="8"/>
      <c r="W291" s="8"/>
      <c r="X291" s="8"/>
      <c r="Y291" s="8"/>
      <c r="Z291" s="8"/>
      <c r="AA291" s="8"/>
      <c r="AB291" s="8"/>
    </row>
    <row r="292" ht="12.75" customHeight="1" spans="1:28" x14ac:dyDescent="0.25">
      <c r="A292" s="8"/>
      <c r="B292" s="8"/>
      <c r="C292" s="8"/>
      <c r="D292" s="8"/>
      <c r="E292" s="8"/>
      <c r="F292" s="8"/>
      <c r="G292" s="695"/>
      <c r="H292" s="695"/>
      <c r="I292" s="695"/>
      <c r="J292" s="695"/>
      <c r="K292" s="695"/>
      <c r="L292" s="695"/>
      <c r="M292" s="695"/>
      <c r="N292" s="695"/>
      <c r="O292" s="695"/>
      <c r="P292" s="695"/>
      <c r="Q292" s="695"/>
      <c r="R292" s="695"/>
      <c r="S292" s="695"/>
      <c r="T292" s="8"/>
      <c r="U292" s="8"/>
      <c r="V292" s="8"/>
      <c r="W292" s="8"/>
      <c r="X292" s="8"/>
      <c r="Y292" s="8"/>
      <c r="Z292" s="8"/>
      <c r="AA292" s="8"/>
      <c r="AB292" s="8"/>
    </row>
    <row r="293" ht="12.75" customHeight="1" spans="1:28" x14ac:dyDescent="0.25">
      <c r="A293" s="8"/>
      <c r="B293" s="8"/>
      <c r="C293" s="8"/>
      <c r="D293" s="8"/>
      <c r="E293" s="8"/>
      <c r="F293" s="8"/>
      <c r="G293" s="695"/>
      <c r="H293" s="695"/>
      <c r="I293" s="695"/>
      <c r="J293" s="695"/>
      <c r="K293" s="695"/>
      <c r="L293" s="695"/>
      <c r="M293" s="695"/>
      <c r="N293" s="695"/>
      <c r="O293" s="695"/>
      <c r="P293" s="695"/>
      <c r="Q293" s="695"/>
      <c r="R293" s="695"/>
      <c r="S293" s="695"/>
      <c r="T293" s="8"/>
      <c r="U293" s="8"/>
      <c r="V293" s="8"/>
      <c r="W293" s="8"/>
      <c r="X293" s="8"/>
      <c r="Y293" s="8"/>
      <c r="Z293" s="8"/>
      <c r="AA293" s="8"/>
      <c r="AB293" s="8"/>
    </row>
    <row r="294" ht="12.75" customHeight="1" spans="1:28" x14ac:dyDescent="0.25">
      <c r="A294" s="8"/>
      <c r="B294" s="8"/>
      <c r="C294" s="8"/>
      <c r="D294" s="8"/>
      <c r="E294" s="8"/>
      <c r="F294" s="8"/>
      <c r="G294" s="695"/>
      <c r="H294" s="695"/>
      <c r="I294" s="695"/>
      <c r="J294" s="695"/>
      <c r="K294" s="695"/>
      <c r="L294" s="695"/>
      <c r="M294" s="695"/>
      <c r="N294" s="695"/>
      <c r="O294" s="695"/>
      <c r="P294" s="695"/>
      <c r="Q294" s="695"/>
      <c r="R294" s="695"/>
      <c r="S294" s="695"/>
      <c r="T294" s="8"/>
      <c r="U294" s="8"/>
      <c r="V294" s="8"/>
      <c r="W294" s="8"/>
      <c r="X294" s="8"/>
      <c r="Y294" s="8"/>
      <c r="Z294" s="8"/>
      <c r="AA294" s="8"/>
      <c r="AB294" s="8"/>
    </row>
    <row r="295" ht="12.75" customHeight="1" spans="1:28" x14ac:dyDescent="0.25">
      <c r="A295" s="8"/>
      <c r="B295" s="8"/>
      <c r="C295" s="8"/>
      <c r="D295" s="8"/>
      <c r="E295" s="8"/>
      <c r="F295" s="8"/>
      <c r="G295" s="695"/>
      <c r="H295" s="695"/>
      <c r="I295" s="695"/>
      <c r="J295" s="695"/>
      <c r="K295" s="695"/>
      <c r="L295" s="695"/>
      <c r="M295" s="695"/>
      <c r="N295" s="695"/>
      <c r="O295" s="695"/>
      <c r="P295" s="695"/>
      <c r="Q295" s="695"/>
      <c r="R295" s="695"/>
      <c r="S295" s="695"/>
      <c r="T295" s="8"/>
      <c r="U295" s="8"/>
      <c r="V295" s="8"/>
      <c r="W295" s="8"/>
      <c r="X295" s="8"/>
      <c r="Y295" s="8"/>
      <c r="Z295" s="8"/>
      <c r="AA295" s="8"/>
      <c r="AB295" s="8"/>
    </row>
    <row r="296" ht="12.75" customHeight="1" spans="1:28" x14ac:dyDescent="0.25">
      <c r="A296" s="8"/>
      <c r="B296" s="8"/>
      <c r="C296" s="8"/>
      <c r="D296" s="8"/>
      <c r="E296" s="8"/>
      <c r="F296" s="8"/>
      <c r="G296" s="695"/>
      <c r="H296" s="695"/>
      <c r="I296" s="695"/>
      <c r="J296" s="695"/>
      <c r="K296" s="695"/>
      <c r="L296" s="695"/>
      <c r="M296" s="695"/>
      <c r="N296" s="695"/>
      <c r="O296" s="695"/>
      <c r="P296" s="695"/>
      <c r="Q296" s="695"/>
      <c r="R296" s="695"/>
      <c r="S296" s="695"/>
      <c r="T296" s="8"/>
      <c r="U296" s="8"/>
      <c r="V296" s="8"/>
      <c r="W296" s="8"/>
      <c r="X296" s="8"/>
      <c r="Y296" s="8"/>
      <c r="Z296" s="8"/>
      <c r="AA296" s="8"/>
      <c r="AB296" s="8"/>
    </row>
    <row r="297" ht="12.75" customHeight="1" spans="1:28" x14ac:dyDescent="0.25">
      <c r="A297" s="8"/>
      <c r="B297" s="8"/>
      <c r="C297" s="8"/>
      <c r="D297" s="8"/>
      <c r="E297" s="8"/>
      <c r="F297" s="8"/>
      <c r="G297" s="695"/>
      <c r="H297" s="695"/>
      <c r="I297" s="695"/>
      <c r="J297" s="695"/>
      <c r="K297" s="695"/>
      <c r="L297" s="695"/>
      <c r="M297" s="695"/>
      <c r="N297" s="695"/>
      <c r="O297" s="695"/>
      <c r="P297" s="695"/>
      <c r="Q297" s="695"/>
      <c r="R297" s="695"/>
      <c r="S297" s="695"/>
      <c r="T297" s="8"/>
      <c r="U297" s="8"/>
      <c r="V297" s="8"/>
      <c r="W297" s="8"/>
      <c r="X297" s="8"/>
      <c r="Y297" s="8"/>
      <c r="Z297" s="8"/>
      <c r="AA297" s="8"/>
      <c r="AB297" s="8"/>
    </row>
    <row r="298" ht="12.75" customHeight="1" spans="1:28" x14ac:dyDescent="0.25">
      <c r="A298" s="8"/>
      <c r="B298" s="8"/>
      <c r="C298" s="8"/>
      <c r="D298" s="8"/>
      <c r="E298" s="8"/>
      <c r="F298" s="8"/>
      <c r="G298" s="695"/>
      <c r="H298" s="695"/>
      <c r="I298" s="695"/>
      <c r="J298" s="695"/>
      <c r="K298" s="695"/>
      <c r="L298" s="695"/>
      <c r="M298" s="695"/>
      <c r="N298" s="695"/>
      <c r="O298" s="695"/>
      <c r="P298" s="695"/>
      <c r="Q298" s="695"/>
      <c r="R298" s="695"/>
      <c r="S298" s="695"/>
      <c r="T298" s="8"/>
      <c r="U298" s="8"/>
      <c r="V298" s="8"/>
      <c r="W298" s="8"/>
      <c r="X298" s="8"/>
      <c r="Y298" s="8"/>
      <c r="Z298" s="8"/>
      <c r="AA298" s="8"/>
      <c r="AB298" s="8"/>
    </row>
    <row r="299" ht="12.75" customHeight="1" spans="1:28" x14ac:dyDescent="0.25">
      <c r="A299" s="8"/>
      <c r="B299" s="8"/>
      <c r="C299" s="8"/>
      <c r="D299" s="8"/>
      <c r="E299" s="8"/>
      <c r="F299" s="8"/>
      <c r="G299" s="695"/>
      <c r="H299" s="695"/>
      <c r="I299" s="695"/>
      <c r="J299" s="695"/>
      <c r="K299" s="695"/>
      <c r="L299" s="695"/>
      <c r="M299" s="695"/>
      <c r="N299" s="695"/>
      <c r="O299" s="695"/>
      <c r="P299" s="695"/>
      <c r="Q299" s="695"/>
      <c r="R299" s="695"/>
      <c r="S299" s="695"/>
      <c r="T299" s="8"/>
      <c r="U299" s="8"/>
      <c r="V299" s="8"/>
      <c r="W299" s="8"/>
      <c r="X299" s="8"/>
      <c r="Y299" s="8"/>
      <c r="Z299" s="8"/>
      <c r="AA299" s="8"/>
      <c r="AB299" s="8"/>
    </row>
    <row r="300" ht="12.75" customHeight="1" spans="1:28" x14ac:dyDescent="0.25">
      <c r="A300" s="8"/>
      <c r="B300" s="8"/>
      <c r="C300" s="8"/>
      <c r="D300" s="8"/>
      <c r="E300" s="8"/>
      <c r="F300" s="8"/>
      <c r="G300" s="695"/>
      <c r="H300" s="695"/>
      <c r="I300" s="695"/>
      <c r="J300" s="695"/>
      <c r="K300" s="695"/>
      <c r="L300" s="695"/>
      <c r="M300" s="695"/>
      <c r="N300" s="695"/>
      <c r="O300" s="695"/>
      <c r="P300" s="695"/>
      <c r="Q300" s="695"/>
      <c r="R300" s="695"/>
      <c r="S300" s="695"/>
      <c r="T300" s="8"/>
      <c r="U300" s="8"/>
      <c r="V300" s="8"/>
      <c r="W300" s="8"/>
      <c r="X300" s="8"/>
      <c r="Y300" s="8"/>
      <c r="Z300" s="8"/>
      <c r="AA300" s="8"/>
      <c r="AB300" s="8"/>
    </row>
    <row r="301" ht="12.75" customHeight="1" spans="1:28" x14ac:dyDescent="0.25">
      <c r="A301" s="8"/>
      <c r="B301" s="8"/>
      <c r="C301" s="8"/>
      <c r="D301" s="8"/>
      <c r="E301" s="8"/>
      <c r="F301" s="8"/>
      <c r="G301" s="695"/>
      <c r="H301" s="695"/>
      <c r="I301" s="695"/>
      <c r="J301" s="695"/>
      <c r="K301" s="695"/>
      <c r="L301" s="695"/>
      <c r="M301" s="695"/>
      <c r="N301" s="695"/>
      <c r="O301" s="695"/>
      <c r="P301" s="695"/>
      <c r="Q301" s="695"/>
      <c r="R301" s="695"/>
      <c r="S301" s="695"/>
      <c r="T301" s="8"/>
      <c r="U301" s="8"/>
      <c r="V301" s="8"/>
      <c r="W301" s="8"/>
      <c r="X301" s="8"/>
      <c r="Y301" s="8"/>
      <c r="Z301" s="8"/>
      <c r="AA301" s="8"/>
      <c r="AB301" s="8"/>
    </row>
    <row r="302" ht="12.75" customHeight="1" spans="1:28" x14ac:dyDescent="0.25">
      <c r="A302" s="8"/>
      <c r="B302" s="8"/>
      <c r="C302" s="8"/>
      <c r="D302" s="8"/>
      <c r="E302" s="8"/>
      <c r="F302" s="8"/>
      <c r="G302" s="695"/>
      <c r="H302" s="695"/>
      <c r="I302" s="695"/>
      <c r="J302" s="695"/>
      <c r="K302" s="695"/>
      <c r="L302" s="695"/>
      <c r="M302" s="695"/>
      <c r="N302" s="695"/>
      <c r="O302" s="695"/>
      <c r="P302" s="695"/>
      <c r="Q302" s="695"/>
      <c r="R302" s="695"/>
      <c r="S302" s="695"/>
      <c r="T302" s="8"/>
      <c r="U302" s="8"/>
      <c r="V302" s="8"/>
      <c r="W302" s="8"/>
      <c r="X302" s="8"/>
      <c r="Y302" s="8"/>
      <c r="Z302" s="8"/>
      <c r="AA302" s="8"/>
      <c r="AB302" s="8"/>
    </row>
    <row r="303" ht="12.75" customHeight="1" spans="1:28" x14ac:dyDescent="0.25">
      <c r="A303" s="8"/>
      <c r="B303" s="8"/>
      <c r="C303" s="8"/>
      <c r="D303" s="8"/>
      <c r="E303" s="8"/>
      <c r="F303" s="8"/>
      <c r="G303" s="695"/>
      <c r="H303" s="695"/>
      <c r="I303" s="695"/>
      <c r="J303" s="695"/>
      <c r="K303" s="695"/>
      <c r="L303" s="695"/>
      <c r="M303" s="695"/>
      <c r="N303" s="695"/>
      <c r="O303" s="695"/>
      <c r="P303" s="695"/>
      <c r="Q303" s="695"/>
      <c r="R303" s="695"/>
      <c r="S303" s="695"/>
      <c r="T303" s="8"/>
      <c r="U303" s="8"/>
      <c r="V303" s="8"/>
      <c r="W303" s="8"/>
      <c r="X303" s="8"/>
      <c r="Y303" s="8"/>
      <c r="Z303" s="8"/>
      <c r="AA303" s="8"/>
      <c r="AB303" s="8"/>
    </row>
    <row r="304" ht="12.75" customHeight="1" spans="1:28" x14ac:dyDescent="0.25">
      <c r="A304" s="8"/>
      <c r="B304" s="8"/>
      <c r="C304" s="8"/>
      <c r="D304" s="8"/>
      <c r="E304" s="8"/>
      <c r="F304" s="8"/>
      <c r="G304" s="695"/>
      <c r="H304" s="695"/>
      <c r="I304" s="695"/>
      <c r="J304" s="695"/>
      <c r="K304" s="695"/>
      <c r="L304" s="695"/>
      <c r="M304" s="695"/>
      <c r="N304" s="695"/>
      <c r="O304" s="695"/>
      <c r="P304" s="695"/>
      <c r="Q304" s="695"/>
      <c r="R304" s="695"/>
      <c r="S304" s="695"/>
      <c r="T304" s="8"/>
      <c r="U304" s="8"/>
      <c r="V304" s="8"/>
      <c r="W304" s="8"/>
      <c r="X304" s="8"/>
      <c r="Y304" s="8"/>
      <c r="Z304" s="8"/>
      <c r="AA304" s="8"/>
      <c r="AB304" s="8"/>
    </row>
    <row r="305" ht="12.75" customHeight="1" spans="1:28" x14ac:dyDescent="0.25">
      <c r="A305" s="8"/>
      <c r="B305" s="8"/>
      <c r="C305" s="8"/>
      <c r="D305" s="8"/>
      <c r="E305" s="8"/>
      <c r="F305" s="8"/>
      <c r="G305" s="695"/>
      <c r="H305" s="695"/>
      <c r="I305" s="695"/>
      <c r="J305" s="695"/>
      <c r="K305" s="695"/>
      <c r="L305" s="695"/>
      <c r="M305" s="695"/>
      <c r="N305" s="695"/>
      <c r="O305" s="695"/>
      <c r="P305" s="695"/>
      <c r="Q305" s="695"/>
      <c r="R305" s="695"/>
      <c r="S305" s="695"/>
      <c r="T305" s="8"/>
      <c r="U305" s="8"/>
      <c r="V305" s="8"/>
      <c r="W305" s="8"/>
      <c r="X305" s="8"/>
      <c r="Y305" s="8"/>
      <c r="Z305" s="8"/>
      <c r="AA305" s="8"/>
      <c r="AB305" s="8"/>
    </row>
    <row r="306" ht="12.75" customHeight="1" spans="1:28" x14ac:dyDescent="0.25">
      <c r="A306" s="8"/>
      <c r="B306" s="8"/>
      <c r="C306" s="8"/>
      <c r="D306" s="8"/>
      <c r="E306" s="8"/>
      <c r="F306" s="8"/>
      <c r="G306" s="695"/>
      <c r="H306" s="695"/>
      <c r="I306" s="695"/>
      <c r="J306" s="695"/>
      <c r="K306" s="695"/>
      <c r="L306" s="695"/>
      <c r="M306" s="695"/>
      <c r="N306" s="695"/>
      <c r="O306" s="695"/>
      <c r="P306" s="695"/>
      <c r="Q306" s="695"/>
      <c r="R306" s="695"/>
      <c r="S306" s="695"/>
      <c r="T306" s="8"/>
      <c r="U306" s="8"/>
      <c r="V306" s="8"/>
      <c r="W306" s="8"/>
      <c r="X306" s="8"/>
      <c r="Y306" s="8"/>
      <c r="Z306" s="8"/>
      <c r="AA306" s="8"/>
      <c r="AB306" s="8"/>
    </row>
    <row r="307" ht="12.75" customHeight="1" spans="1:28" x14ac:dyDescent="0.25">
      <c r="A307" s="8"/>
      <c r="B307" s="8"/>
      <c r="C307" s="8"/>
      <c r="D307" s="8"/>
      <c r="E307" s="8"/>
      <c r="F307" s="8"/>
      <c r="G307" s="695"/>
      <c r="H307" s="695"/>
      <c r="I307" s="695"/>
      <c r="J307" s="695"/>
      <c r="K307" s="695"/>
      <c r="L307" s="695"/>
      <c r="M307" s="695"/>
      <c r="N307" s="695"/>
      <c r="O307" s="695"/>
      <c r="P307" s="695"/>
      <c r="Q307" s="695"/>
      <c r="R307" s="695"/>
      <c r="S307" s="695"/>
      <c r="T307" s="8"/>
      <c r="U307" s="8"/>
      <c r="V307" s="8"/>
      <c r="W307" s="8"/>
      <c r="X307" s="8"/>
      <c r="Y307" s="8"/>
      <c r="Z307" s="8"/>
      <c r="AA307" s="8"/>
      <c r="AB307" s="8"/>
    </row>
    <row r="308" ht="12.75" customHeight="1" spans="1:28" x14ac:dyDescent="0.25">
      <c r="A308" s="8"/>
      <c r="B308" s="8"/>
      <c r="C308" s="8"/>
      <c r="D308" s="8"/>
      <c r="E308" s="8"/>
      <c r="F308" s="8"/>
      <c r="G308" s="695"/>
      <c r="H308" s="695"/>
      <c r="I308" s="695"/>
      <c r="J308" s="695"/>
      <c r="K308" s="695"/>
      <c r="L308" s="695"/>
      <c r="M308" s="695"/>
      <c r="N308" s="695"/>
      <c r="O308" s="695"/>
      <c r="P308" s="695"/>
      <c r="Q308" s="695"/>
      <c r="R308" s="695"/>
      <c r="S308" s="695"/>
      <c r="T308" s="8"/>
      <c r="U308" s="8"/>
      <c r="V308" s="8"/>
      <c r="W308" s="8"/>
      <c r="X308" s="8"/>
      <c r="Y308" s="8"/>
      <c r="Z308" s="8"/>
      <c r="AA308" s="8"/>
      <c r="AB308" s="8"/>
    </row>
    <row r="309" ht="12.75" customHeight="1" spans="1:28" x14ac:dyDescent="0.25">
      <c r="A309" s="8"/>
      <c r="B309" s="8"/>
      <c r="C309" s="8"/>
      <c r="D309" s="8"/>
      <c r="E309" s="8"/>
      <c r="F309" s="8"/>
      <c r="G309" s="695"/>
      <c r="H309" s="695"/>
      <c r="I309" s="695"/>
      <c r="J309" s="695"/>
      <c r="K309" s="695"/>
      <c r="L309" s="695"/>
      <c r="M309" s="695"/>
      <c r="N309" s="695"/>
      <c r="O309" s="695"/>
      <c r="P309" s="695"/>
      <c r="Q309" s="695"/>
      <c r="R309" s="695"/>
      <c r="S309" s="695"/>
      <c r="T309" s="8"/>
      <c r="U309" s="8"/>
      <c r="V309" s="8"/>
      <c r="W309" s="8"/>
      <c r="X309" s="8"/>
      <c r="Y309" s="8"/>
      <c r="Z309" s="8"/>
      <c r="AA309" s="8"/>
      <c r="AB309" s="8"/>
    </row>
    <row r="310" ht="12.75" customHeight="1" spans="1:28" x14ac:dyDescent="0.25">
      <c r="A310" s="8"/>
      <c r="B310" s="8"/>
      <c r="C310" s="8"/>
      <c r="D310" s="8"/>
      <c r="E310" s="8"/>
      <c r="F310" s="8"/>
      <c r="G310" s="695"/>
      <c r="H310" s="695"/>
      <c r="I310" s="695"/>
      <c r="J310" s="695"/>
      <c r="K310" s="695"/>
      <c r="L310" s="695"/>
      <c r="M310" s="695"/>
      <c r="N310" s="695"/>
      <c r="O310" s="695"/>
      <c r="P310" s="695"/>
      <c r="Q310" s="695"/>
      <c r="R310" s="695"/>
      <c r="S310" s="695"/>
      <c r="T310" s="8"/>
      <c r="U310" s="8"/>
      <c r="V310" s="8"/>
      <c r="W310" s="8"/>
      <c r="X310" s="8"/>
      <c r="Y310" s="8"/>
      <c r="Z310" s="8"/>
      <c r="AA310" s="8"/>
      <c r="AB310" s="8"/>
    </row>
    <row r="311" ht="12.75" customHeight="1" spans="1:28" x14ac:dyDescent="0.25">
      <c r="A311" s="8"/>
      <c r="B311" s="8"/>
      <c r="C311" s="8"/>
      <c r="D311" s="8"/>
      <c r="E311" s="8"/>
      <c r="F311" s="8"/>
      <c r="G311" s="695"/>
      <c r="H311" s="695"/>
      <c r="I311" s="695"/>
      <c r="J311" s="695"/>
      <c r="K311" s="695"/>
      <c r="L311" s="695"/>
      <c r="M311" s="695"/>
      <c r="N311" s="695"/>
      <c r="O311" s="695"/>
      <c r="P311" s="695"/>
      <c r="Q311" s="695"/>
      <c r="R311" s="695"/>
      <c r="S311" s="695"/>
      <c r="T311" s="8"/>
      <c r="U311" s="8"/>
      <c r="V311" s="8"/>
      <c r="W311" s="8"/>
      <c r="X311" s="8"/>
      <c r="Y311" s="8"/>
      <c r="Z311" s="8"/>
      <c r="AA311" s="8"/>
      <c r="AB311" s="8"/>
    </row>
    <row r="312" ht="12.75" customHeight="1" spans="1:28" x14ac:dyDescent="0.25">
      <c r="A312" s="8"/>
      <c r="B312" s="8"/>
      <c r="C312" s="8"/>
      <c r="D312" s="8"/>
      <c r="E312" s="8"/>
      <c r="F312" s="8"/>
      <c r="G312" s="695"/>
      <c r="H312" s="695"/>
      <c r="I312" s="695"/>
      <c r="J312" s="695"/>
      <c r="K312" s="695"/>
      <c r="L312" s="695"/>
      <c r="M312" s="695"/>
      <c r="N312" s="695"/>
      <c r="O312" s="695"/>
      <c r="P312" s="695"/>
      <c r="Q312" s="695"/>
      <c r="R312" s="695"/>
      <c r="S312" s="695"/>
      <c r="T312" s="8"/>
      <c r="U312" s="8"/>
      <c r="V312" s="8"/>
      <c r="W312" s="8"/>
      <c r="X312" s="8"/>
      <c r="Y312" s="8"/>
      <c r="Z312" s="8"/>
      <c r="AA312" s="8"/>
      <c r="AB312" s="8"/>
    </row>
    <row r="313" ht="12.75" customHeight="1" spans="1:28" x14ac:dyDescent="0.25">
      <c r="A313" s="8"/>
      <c r="B313" s="8"/>
      <c r="C313" s="8"/>
      <c r="D313" s="8"/>
      <c r="E313" s="8"/>
      <c r="F313" s="8"/>
      <c r="G313" s="695"/>
      <c r="H313" s="695"/>
      <c r="I313" s="695"/>
      <c r="J313" s="695"/>
      <c r="K313" s="695"/>
      <c r="L313" s="695"/>
      <c r="M313" s="695"/>
      <c r="N313" s="695"/>
      <c r="O313" s="695"/>
      <c r="P313" s="695"/>
      <c r="Q313" s="695"/>
      <c r="R313" s="695"/>
      <c r="S313" s="695"/>
      <c r="T313" s="8"/>
      <c r="U313" s="8"/>
      <c r="V313" s="8"/>
      <c r="W313" s="8"/>
      <c r="X313" s="8"/>
      <c r="Y313" s="8"/>
      <c r="Z313" s="8"/>
      <c r="AA313" s="8"/>
      <c r="AB313" s="8"/>
    </row>
    <row r="314" ht="12.75" customHeight="1" spans="1:28" x14ac:dyDescent="0.25">
      <c r="A314" s="8"/>
      <c r="B314" s="8"/>
      <c r="C314" s="8"/>
      <c r="D314" s="8"/>
      <c r="E314" s="8"/>
      <c r="F314" s="8"/>
      <c r="G314" s="695"/>
      <c r="H314" s="695"/>
      <c r="I314" s="695"/>
      <c r="J314" s="695"/>
      <c r="K314" s="695"/>
      <c r="L314" s="695"/>
      <c r="M314" s="695"/>
      <c r="N314" s="695"/>
      <c r="O314" s="695"/>
      <c r="P314" s="695"/>
      <c r="Q314" s="695"/>
      <c r="R314" s="695"/>
      <c r="S314" s="695"/>
      <c r="T314" s="8"/>
      <c r="U314" s="8"/>
      <c r="V314" s="8"/>
      <c r="W314" s="8"/>
      <c r="X314" s="8"/>
      <c r="Y314" s="8"/>
      <c r="Z314" s="8"/>
      <c r="AA314" s="8"/>
      <c r="AB314" s="8"/>
    </row>
    <row r="315" ht="12.75" customHeight="1" spans="1:28" x14ac:dyDescent="0.25">
      <c r="A315" s="8"/>
      <c r="B315" s="8"/>
      <c r="C315" s="8"/>
      <c r="D315" s="8"/>
      <c r="E315" s="8"/>
      <c r="F315" s="8"/>
      <c r="G315" s="695"/>
      <c r="H315" s="695"/>
      <c r="I315" s="695"/>
      <c r="J315" s="695"/>
      <c r="K315" s="695"/>
      <c r="L315" s="695"/>
      <c r="M315" s="695"/>
      <c r="N315" s="695"/>
      <c r="O315" s="695"/>
      <c r="P315" s="695"/>
      <c r="Q315" s="695"/>
      <c r="R315" s="695"/>
      <c r="S315" s="695"/>
      <c r="T315" s="8"/>
      <c r="U315" s="8"/>
      <c r="V315" s="8"/>
      <c r="W315" s="8"/>
      <c r="X315" s="8"/>
      <c r="Y315" s="8"/>
      <c r="Z315" s="8"/>
      <c r="AA315" s="8"/>
      <c r="AB315" s="8"/>
    </row>
    <row r="316" ht="12.75" customHeight="1" spans="1:28" x14ac:dyDescent="0.25">
      <c r="A316" s="8"/>
      <c r="B316" s="8"/>
      <c r="C316" s="8"/>
      <c r="D316" s="8"/>
      <c r="E316" s="8"/>
      <c r="F316" s="8"/>
      <c r="G316" s="695"/>
      <c r="H316" s="695"/>
      <c r="I316" s="695"/>
      <c r="J316" s="695"/>
      <c r="K316" s="695"/>
      <c r="L316" s="695"/>
      <c r="M316" s="695"/>
      <c r="N316" s="695"/>
      <c r="O316" s="695"/>
      <c r="P316" s="695"/>
      <c r="Q316" s="695"/>
      <c r="R316" s="695"/>
      <c r="S316" s="695"/>
      <c r="T316" s="8"/>
      <c r="U316" s="8"/>
      <c r="V316" s="8"/>
      <c r="W316" s="8"/>
      <c r="X316" s="8"/>
      <c r="Y316" s="8"/>
      <c r="Z316" s="8"/>
      <c r="AA316" s="8"/>
      <c r="AB316" s="8"/>
    </row>
    <row r="317" ht="12.75" customHeight="1" spans="1:28" x14ac:dyDescent="0.25">
      <c r="A317" s="8"/>
      <c r="B317" s="8"/>
      <c r="C317" s="8"/>
      <c r="D317" s="8"/>
      <c r="E317" s="8"/>
      <c r="F317" s="8"/>
      <c r="G317" s="695"/>
      <c r="H317" s="695"/>
      <c r="I317" s="695"/>
      <c r="J317" s="695"/>
      <c r="K317" s="695"/>
      <c r="L317" s="695"/>
      <c r="M317" s="695"/>
      <c r="N317" s="695"/>
      <c r="O317" s="695"/>
      <c r="P317" s="695"/>
      <c r="Q317" s="695"/>
      <c r="R317" s="695"/>
      <c r="S317" s="695"/>
      <c r="T317" s="8"/>
      <c r="U317" s="8"/>
      <c r="V317" s="8"/>
      <c r="W317" s="8"/>
      <c r="X317" s="8"/>
      <c r="Y317" s="8"/>
      <c r="Z317" s="8"/>
      <c r="AA317" s="8"/>
      <c r="AB317" s="8"/>
    </row>
    <row r="318" ht="12.75" customHeight="1" spans="1:28" x14ac:dyDescent="0.25">
      <c r="A318" s="8"/>
      <c r="B318" s="8"/>
      <c r="C318" s="8"/>
      <c r="D318" s="8"/>
      <c r="E318" s="8"/>
      <c r="F318" s="8"/>
      <c r="G318" s="695"/>
      <c r="H318" s="695"/>
      <c r="I318" s="695"/>
      <c r="J318" s="695"/>
      <c r="K318" s="695"/>
      <c r="L318" s="695"/>
      <c r="M318" s="695"/>
      <c r="N318" s="695"/>
      <c r="O318" s="695"/>
      <c r="P318" s="695"/>
      <c r="Q318" s="695"/>
      <c r="R318" s="695"/>
      <c r="S318" s="695"/>
      <c r="T318" s="8"/>
      <c r="U318" s="8"/>
      <c r="V318" s="8"/>
      <c r="W318" s="8"/>
      <c r="X318" s="8"/>
      <c r="Y318" s="8"/>
      <c r="Z318" s="8"/>
      <c r="AA318" s="8"/>
      <c r="AB318" s="8"/>
    </row>
    <row r="319" ht="12.75" customHeight="1" spans="1:28" x14ac:dyDescent="0.25">
      <c r="A319" s="8"/>
      <c r="B319" s="8"/>
      <c r="C319" s="8"/>
      <c r="D319" s="8"/>
      <c r="E319" s="8"/>
      <c r="F319" s="8"/>
      <c r="G319" s="695"/>
      <c r="H319" s="695"/>
      <c r="I319" s="695"/>
      <c r="J319" s="695"/>
      <c r="K319" s="695"/>
      <c r="L319" s="695"/>
      <c r="M319" s="695"/>
      <c r="N319" s="695"/>
      <c r="O319" s="695"/>
      <c r="P319" s="695"/>
      <c r="Q319" s="695"/>
      <c r="R319" s="695"/>
      <c r="S319" s="695"/>
      <c r="T319" s="8"/>
      <c r="U319" s="8"/>
      <c r="V319" s="8"/>
      <c r="W319" s="8"/>
      <c r="X319" s="8"/>
      <c r="Y319" s="8"/>
      <c r="Z319" s="8"/>
      <c r="AA319" s="8"/>
      <c r="AB319" s="8"/>
    </row>
    <row r="320" ht="12.75" customHeight="1" spans="1:28" x14ac:dyDescent="0.25">
      <c r="A320" s="8"/>
      <c r="B320" s="8"/>
      <c r="C320" s="8"/>
      <c r="D320" s="8"/>
      <c r="E320" s="8"/>
      <c r="F320" s="8"/>
      <c r="G320" s="695"/>
      <c r="H320" s="695"/>
      <c r="I320" s="695"/>
      <c r="J320" s="695"/>
      <c r="K320" s="695"/>
      <c r="L320" s="695"/>
      <c r="M320" s="695"/>
      <c r="N320" s="695"/>
      <c r="O320" s="695"/>
      <c r="P320" s="695"/>
      <c r="Q320" s="695"/>
      <c r="R320" s="695"/>
      <c r="S320" s="695"/>
      <c r="T320" s="8"/>
      <c r="U320" s="8"/>
      <c r="V320" s="8"/>
      <c r="W320" s="8"/>
      <c r="X320" s="8"/>
      <c r="Y320" s="8"/>
      <c r="Z320" s="8"/>
      <c r="AA320" s="8"/>
      <c r="AB320" s="8"/>
    </row>
    <row r="321" ht="12.75" customHeight="1" spans="1:28" x14ac:dyDescent="0.25">
      <c r="A321" s="8"/>
      <c r="B321" s="8"/>
      <c r="C321" s="8"/>
      <c r="D321" s="8"/>
      <c r="E321" s="8"/>
      <c r="F321" s="8"/>
      <c r="G321" s="695"/>
      <c r="H321" s="695"/>
      <c r="I321" s="695"/>
      <c r="J321" s="695"/>
      <c r="K321" s="695"/>
      <c r="L321" s="695"/>
      <c r="M321" s="695"/>
      <c r="N321" s="695"/>
      <c r="O321" s="695"/>
      <c r="P321" s="695"/>
      <c r="Q321" s="695"/>
      <c r="R321" s="695"/>
      <c r="S321" s="695"/>
      <c r="T321" s="8"/>
      <c r="U321" s="8"/>
      <c r="V321" s="8"/>
      <c r="W321" s="8"/>
      <c r="X321" s="8"/>
      <c r="Y321" s="8"/>
      <c r="Z321" s="8"/>
      <c r="AA321" s="8"/>
      <c r="AB321" s="8"/>
    </row>
    <row r="322" ht="12.75" customHeight="1" spans="1:28" x14ac:dyDescent="0.25">
      <c r="A322" s="8"/>
      <c r="B322" s="8"/>
      <c r="C322" s="8"/>
      <c r="D322" s="8"/>
      <c r="E322" s="8"/>
      <c r="F322" s="8"/>
      <c r="G322" s="695"/>
      <c r="H322" s="695"/>
      <c r="I322" s="695"/>
      <c r="J322" s="695"/>
      <c r="K322" s="695"/>
      <c r="L322" s="695"/>
      <c r="M322" s="695"/>
      <c r="N322" s="695"/>
      <c r="O322" s="695"/>
      <c r="P322" s="695"/>
      <c r="Q322" s="695"/>
      <c r="R322" s="695"/>
      <c r="S322" s="695"/>
      <c r="T322" s="8"/>
      <c r="U322" s="8"/>
      <c r="V322" s="8"/>
      <c r="W322" s="8"/>
      <c r="X322" s="8"/>
      <c r="Y322" s="8"/>
      <c r="Z322" s="8"/>
      <c r="AA322" s="8"/>
      <c r="AB322" s="8"/>
    </row>
    <row r="323" ht="12.75" customHeight="1" spans="1:28" x14ac:dyDescent="0.25">
      <c r="A323" s="8"/>
      <c r="B323" s="8"/>
      <c r="C323" s="8"/>
      <c r="D323" s="8"/>
      <c r="E323" s="8"/>
      <c r="F323" s="8"/>
      <c r="G323" s="695"/>
      <c r="H323" s="695"/>
      <c r="I323" s="695"/>
      <c r="J323" s="695"/>
      <c r="K323" s="695"/>
      <c r="L323" s="695"/>
      <c r="M323" s="695"/>
      <c r="N323" s="695"/>
      <c r="O323" s="695"/>
      <c r="P323" s="695"/>
      <c r="Q323" s="695"/>
      <c r="R323" s="695"/>
      <c r="S323" s="695"/>
      <c r="T323" s="8"/>
      <c r="U323" s="8"/>
      <c r="V323" s="8"/>
      <c r="W323" s="8"/>
      <c r="X323" s="8"/>
      <c r="Y323" s="8"/>
      <c r="Z323" s="8"/>
      <c r="AA323" s="8"/>
      <c r="AB323" s="8"/>
    </row>
    <row r="324" ht="12.75" customHeight="1" spans="1:28" x14ac:dyDescent="0.25">
      <c r="A324" s="8"/>
      <c r="B324" s="8"/>
      <c r="C324" s="8"/>
      <c r="D324" s="8"/>
      <c r="E324" s="8"/>
      <c r="F324" s="8"/>
      <c r="G324" s="695"/>
      <c r="H324" s="695"/>
      <c r="I324" s="695"/>
      <c r="J324" s="695"/>
      <c r="K324" s="695"/>
      <c r="L324" s="695"/>
      <c r="M324" s="695"/>
      <c r="N324" s="695"/>
      <c r="O324" s="695"/>
      <c r="P324" s="695"/>
      <c r="Q324" s="695"/>
      <c r="R324" s="695"/>
      <c r="S324" s="695"/>
      <c r="T324" s="8"/>
      <c r="U324" s="8"/>
      <c r="V324" s="8"/>
      <c r="W324" s="8"/>
      <c r="X324" s="8"/>
      <c r="Y324" s="8"/>
      <c r="Z324" s="8"/>
      <c r="AA324" s="8"/>
      <c r="AB324" s="8"/>
    </row>
    <row r="325" ht="12.75" customHeight="1" spans="1:28" x14ac:dyDescent="0.25">
      <c r="A325" s="8"/>
      <c r="B325" s="8"/>
      <c r="C325" s="8"/>
      <c r="D325" s="8"/>
      <c r="E325" s="8"/>
      <c r="F325" s="8"/>
      <c r="G325" s="695"/>
      <c r="H325" s="695"/>
      <c r="I325" s="695"/>
      <c r="J325" s="695"/>
      <c r="K325" s="695"/>
      <c r="L325" s="695"/>
      <c r="M325" s="695"/>
      <c r="N325" s="695"/>
      <c r="O325" s="695"/>
      <c r="P325" s="695"/>
      <c r="Q325" s="695"/>
      <c r="R325" s="695"/>
      <c r="S325" s="695"/>
      <c r="T325" s="8"/>
      <c r="U325" s="8"/>
      <c r="V325" s="8"/>
      <c r="W325" s="8"/>
      <c r="X325" s="8"/>
      <c r="Y325" s="8"/>
      <c r="Z325" s="8"/>
      <c r="AA325" s="8"/>
      <c r="AB325" s="8"/>
    </row>
    <row r="326" ht="12.75" customHeight="1" spans="1:28" x14ac:dyDescent="0.25">
      <c r="A326" s="8"/>
      <c r="B326" s="8"/>
      <c r="C326" s="8"/>
      <c r="D326" s="8"/>
      <c r="E326" s="8"/>
      <c r="F326" s="8"/>
      <c r="G326" s="695"/>
      <c r="H326" s="695"/>
      <c r="I326" s="695"/>
      <c r="J326" s="695"/>
      <c r="K326" s="695"/>
      <c r="L326" s="695"/>
      <c r="M326" s="695"/>
      <c r="N326" s="695"/>
      <c r="O326" s="695"/>
      <c r="P326" s="695"/>
      <c r="Q326" s="695"/>
      <c r="R326" s="695"/>
      <c r="S326" s="695"/>
      <c r="T326" s="8"/>
      <c r="U326" s="8"/>
      <c r="V326" s="8"/>
      <c r="W326" s="8"/>
      <c r="X326" s="8"/>
      <c r="Y326" s="8"/>
      <c r="Z326" s="8"/>
      <c r="AA326" s="8"/>
      <c r="AB326" s="8"/>
    </row>
    <row r="327" ht="12.75" customHeight="1" spans="1:28" x14ac:dyDescent="0.25">
      <c r="A327" s="8"/>
      <c r="B327" s="8"/>
      <c r="C327" s="8"/>
      <c r="D327" s="8"/>
      <c r="E327" s="8"/>
      <c r="F327" s="8"/>
      <c r="G327" s="695"/>
      <c r="H327" s="695"/>
      <c r="I327" s="695"/>
      <c r="J327" s="695"/>
      <c r="K327" s="695"/>
      <c r="L327" s="695"/>
      <c r="M327" s="695"/>
      <c r="N327" s="695"/>
      <c r="O327" s="695"/>
      <c r="P327" s="695"/>
      <c r="Q327" s="695"/>
      <c r="R327" s="695"/>
      <c r="S327" s="695"/>
      <c r="T327" s="8"/>
      <c r="U327" s="8"/>
      <c r="V327" s="8"/>
      <c r="W327" s="8"/>
      <c r="X327" s="8"/>
      <c r="Y327" s="8"/>
      <c r="Z327" s="8"/>
      <c r="AA327" s="8"/>
      <c r="AB327" s="8"/>
    </row>
    <row r="328" ht="12.75" customHeight="1" spans="1:28" x14ac:dyDescent="0.25">
      <c r="A328" s="8"/>
      <c r="B328" s="8"/>
      <c r="C328" s="8"/>
      <c r="D328" s="8"/>
      <c r="E328" s="8"/>
      <c r="F328" s="8"/>
      <c r="G328" s="695"/>
      <c r="H328" s="695"/>
      <c r="I328" s="695"/>
      <c r="J328" s="695"/>
      <c r="K328" s="695"/>
      <c r="L328" s="695"/>
      <c r="M328" s="695"/>
      <c r="N328" s="695"/>
      <c r="O328" s="695"/>
      <c r="P328" s="695"/>
      <c r="Q328" s="695"/>
      <c r="R328" s="695"/>
      <c r="S328" s="695"/>
      <c r="T328" s="8"/>
      <c r="U328" s="8"/>
      <c r="V328" s="8"/>
      <c r="W328" s="8"/>
      <c r="X328" s="8"/>
      <c r="Y328" s="8"/>
      <c r="Z328" s="8"/>
      <c r="AA328" s="8"/>
      <c r="AB328" s="8"/>
    </row>
    <row r="329" ht="12.75" customHeight="1" spans="1:28" x14ac:dyDescent="0.25">
      <c r="A329" s="8"/>
      <c r="B329" s="8"/>
      <c r="C329" s="8"/>
      <c r="D329" s="8"/>
      <c r="E329" s="8"/>
      <c r="F329" s="8"/>
      <c r="G329" s="695"/>
      <c r="H329" s="695"/>
      <c r="I329" s="695"/>
      <c r="J329" s="695"/>
      <c r="K329" s="695"/>
      <c r="L329" s="695"/>
      <c r="M329" s="695"/>
      <c r="N329" s="695"/>
      <c r="O329" s="695"/>
      <c r="P329" s="695"/>
      <c r="Q329" s="695"/>
      <c r="R329" s="695"/>
      <c r="S329" s="695"/>
      <c r="T329" s="8"/>
      <c r="U329" s="8"/>
      <c r="V329" s="8"/>
      <c r="W329" s="8"/>
      <c r="X329" s="8"/>
      <c r="Y329" s="8"/>
      <c r="Z329" s="8"/>
      <c r="AA329" s="8"/>
      <c r="AB329" s="8"/>
    </row>
    <row r="330" ht="12.75" customHeight="1" spans="1:28" x14ac:dyDescent="0.25">
      <c r="A330" s="8"/>
      <c r="B330" s="8"/>
      <c r="C330" s="8"/>
      <c r="D330" s="8"/>
      <c r="E330" s="8"/>
      <c r="F330" s="8"/>
      <c r="G330" s="695"/>
      <c r="H330" s="695"/>
      <c r="I330" s="695"/>
      <c r="J330" s="695"/>
      <c r="K330" s="695"/>
      <c r="L330" s="695"/>
      <c r="M330" s="695"/>
      <c r="N330" s="695"/>
      <c r="O330" s="695"/>
      <c r="P330" s="695"/>
      <c r="Q330" s="695"/>
      <c r="R330" s="695"/>
      <c r="S330" s="695"/>
      <c r="T330" s="8"/>
      <c r="U330" s="8"/>
      <c r="V330" s="8"/>
      <c r="W330" s="8"/>
      <c r="X330" s="8"/>
      <c r="Y330" s="8"/>
      <c r="Z330" s="8"/>
      <c r="AA330" s="8"/>
      <c r="AB330" s="8"/>
    </row>
    <row r="331" ht="12.75" customHeight="1" spans="1:28" x14ac:dyDescent="0.25">
      <c r="A331" s="8"/>
      <c r="B331" s="8"/>
      <c r="C331" s="8"/>
      <c r="D331" s="8"/>
      <c r="E331" s="8"/>
      <c r="F331" s="8"/>
      <c r="G331" s="695"/>
      <c r="H331" s="695"/>
      <c r="I331" s="695"/>
      <c r="J331" s="695"/>
      <c r="K331" s="695"/>
      <c r="L331" s="695"/>
      <c r="M331" s="695"/>
      <c r="N331" s="695"/>
      <c r="O331" s="695"/>
      <c r="P331" s="695"/>
      <c r="Q331" s="695"/>
      <c r="R331" s="695"/>
      <c r="S331" s="695"/>
      <c r="T331" s="8"/>
      <c r="U331" s="8"/>
      <c r="V331" s="8"/>
      <c r="W331" s="8"/>
      <c r="X331" s="8"/>
      <c r="Y331" s="8"/>
      <c r="Z331" s="8"/>
      <c r="AA331" s="8"/>
      <c r="AB331" s="8"/>
    </row>
    <row r="332" ht="12.75" customHeight="1" spans="1:28" x14ac:dyDescent="0.25">
      <c r="A332" s="8"/>
      <c r="B332" s="8"/>
      <c r="C332" s="8"/>
      <c r="D332" s="8"/>
      <c r="E332" s="8"/>
      <c r="F332" s="8"/>
      <c r="G332" s="695"/>
      <c r="H332" s="695"/>
      <c r="I332" s="695"/>
      <c r="J332" s="695"/>
      <c r="K332" s="695"/>
      <c r="L332" s="695"/>
      <c r="M332" s="695"/>
      <c r="N332" s="695"/>
      <c r="O332" s="695"/>
      <c r="P332" s="695"/>
      <c r="Q332" s="695"/>
      <c r="R332" s="695"/>
      <c r="S332" s="695"/>
      <c r="T332" s="8"/>
      <c r="U332" s="8"/>
      <c r="V332" s="8"/>
      <c r="W332" s="8"/>
      <c r="X332" s="8"/>
      <c r="Y332" s="8"/>
      <c r="Z332" s="8"/>
      <c r="AA332" s="8"/>
      <c r="AB332" s="8"/>
    </row>
    <row r="333" ht="12.75" customHeight="1" spans="1:28" x14ac:dyDescent="0.25">
      <c r="A333" s="8"/>
      <c r="B333" s="8"/>
      <c r="C333" s="8"/>
      <c r="D333" s="8"/>
      <c r="E333" s="8"/>
      <c r="F333" s="8"/>
      <c r="G333" s="695"/>
      <c r="H333" s="695"/>
      <c r="I333" s="695"/>
      <c r="J333" s="695"/>
      <c r="K333" s="695"/>
      <c r="L333" s="695"/>
      <c r="M333" s="695"/>
      <c r="N333" s="695"/>
      <c r="O333" s="695"/>
      <c r="P333" s="695"/>
      <c r="Q333" s="695"/>
      <c r="R333" s="695"/>
      <c r="S333" s="695"/>
      <c r="T333" s="8"/>
      <c r="U333" s="8"/>
      <c r="V333" s="8"/>
      <c r="W333" s="8"/>
      <c r="X333" s="8"/>
      <c r="Y333" s="8"/>
      <c r="Z333" s="8"/>
      <c r="AA333" s="8"/>
      <c r="AB333" s="8"/>
    </row>
    <row r="334" ht="12.75" customHeight="1" spans="1:28" x14ac:dyDescent="0.25">
      <c r="A334" s="8"/>
      <c r="B334" s="8"/>
      <c r="C334" s="8"/>
      <c r="D334" s="8"/>
      <c r="E334" s="8"/>
      <c r="F334" s="8"/>
      <c r="G334" s="695"/>
      <c r="H334" s="695"/>
      <c r="I334" s="695"/>
      <c r="J334" s="695"/>
      <c r="K334" s="695"/>
      <c r="L334" s="695"/>
      <c r="M334" s="695"/>
      <c r="N334" s="695"/>
      <c r="O334" s="695"/>
      <c r="P334" s="695"/>
      <c r="Q334" s="695"/>
      <c r="R334" s="695"/>
      <c r="S334" s="695"/>
      <c r="T334" s="8"/>
      <c r="U334" s="8"/>
      <c r="V334" s="8"/>
      <c r="W334" s="8"/>
      <c r="X334" s="8"/>
      <c r="Y334" s="8"/>
      <c r="Z334" s="8"/>
      <c r="AA334" s="8"/>
      <c r="AB334" s="8"/>
    </row>
    <row r="335" ht="12.75" customHeight="1" spans="1:28" x14ac:dyDescent="0.25">
      <c r="A335" s="8"/>
      <c r="B335" s="8"/>
      <c r="C335" s="8"/>
      <c r="D335" s="8"/>
      <c r="E335" s="8"/>
      <c r="F335" s="8"/>
      <c r="G335" s="695"/>
      <c r="H335" s="695"/>
      <c r="I335" s="695"/>
      <c r="J335" s="695"/>
      <c r="K335" s="695"/>
      <c r="L335" s="695"/>
      <c r="M335" s="695"/>
      <c r="N335" s="695"/>
      <c r="O335" s="695"/>
      <c r="P335" s="695"/>
      <c r="Q335" s="695"/>
      <c r="R335" s="695"/>
      <c r="S335" s="695"/>
      <c r="T335" s="8"/>
      <c r="U335" s="8"/>
      <c r="V335" s="8"/>
      <c r="W335" s="8"/>
      <c r="X335" s="8"/>
      <c r="Y335" s="8"/>
      <c r="Z335" s="8"/>
      <c r="AA335" s="8"/>
      <c r="AB335" s="8"/>
    </row>
    <row r="336" ht="12.75" customHeight="1" spans="1:28" x14ac:dyDescent="0.25">
      <c r="A336" s="8"/>
      <c r="B336" s="8"/>
      <c r="C336" s="8"/>
      <c r="D336" s="8"/>
      <c r="E336" s="8"/>
      <c r="F336" s="8"/>
      <c r="G336" s="695"/>
      <c r="H336" s="695"/>
      <c r="I336" s="695"/>
      <c r="J336" s="695"/>
      <c r="K336" s="695"/>
      <c r="L336" s="695"/>
      <c r="M336" s="695"/>
      <c r="N336" s="695"/>
      <c r="O336" s="695"/>
      <c r="P336" s="695"/>
      <c r="Q336" s="695"/>
      <c r="R336" s="695"/>
      <c r="S336" s="695"/>
      <c r="T336" s="8"/>
      <c r="U336" s="8"/>
      <c r="V336" s="8"/>
      <c r="W336" s="8"/>
      <c r="X336" s="8"/>
      <c r="Y336" s="8"/>
      <c r="Z336" s="8"/>
      <c r="AA336" s="8"/>
      <c r="AB336" s="8"/>
    </row>
    <row r="337" ht="12.75" customHeight="1" spans="1:28" x14ac:dyDescent="0.25">
      <c r="A337" s="8"/>
      <c r="B337" s="8"/>
      <c r="C337" s="8"/>
      <c r="D337" s="8"/>
      <c r="E337" s="8"/>
      <c r="F337" s="8"/>
      <c r="G337" s="695"/>
      <c r="H337" s="695"/>
      <c r="I337" s="695"/>
      <c r="J337" s="695"/>
      <c r="K337" s="695"/>
      <c r="L337" s="695"/>
      <c r="M337" s="695"/>
      <c r="N337" s="695"/>
      <c r="O337" s="695"/>
      <c r="P337" s="695"/>
      <c r="Q337" s="695"/>
      <c r="R337" s="695"/>
      <c r="S337" s="695"/>
      <c r="T337" s="8"/>
      <c r="U337" s="8"/>
      <c r="V337" s="8"/>
      <c r="W337" s="8"/>
      <c r="X337" s="8"/>
      <c r="Y337" s="8"/>
      <c r="Z337" s="8"/>
      <c r="AA337" s="8"/>
      <c r="AB337" s="8"/>
    </row>
    <row r="338" ht="12.75" customHeight="1" spans="1:28" x14ac:dyDescent="0.25">
      <c r="A338" s="8"/>
      <c r="B338" s="8"/>
      <c r="C338" s="8"/>
      <c r="D338" s="8"/>
      <c r="E338" s="8"/>
      <c r="F338" s="8"/>
      <c r="G338" s="695"/>
      <c r="H338" s="695"/>
      <c r="I338" s="695"/>
      <c r="J338" s="695"/>
      <c r="K338" s="695"/>
      <c r="L338" s="695"/>
      <c r="M338" s="695"/>
      <c r="N338" s="695"/>
      <c r="O338" s="695"/>
      <c r="P338" s="695"/>
      <c r="Q338" s="695"/>
      <c r="R338" s="695"/>
      <c r="S338" s="695"/>
      <c r="T338" s="8"/>
      <c r="U338" s="8"/>
      <c r="V338" s="8"/>
      <c r="W338" s="8"/>
      <c r="X338" s="8"/>
      <c r="Y338" s="8"/>
      <c r="Z338" s="8"/>
      <c r="AA338" s="8"/>
      <c r="AB338" s="8"/>
    </row>
    <row r="339" ht="12.75" customHeight="1" spans="1:28" x14ac:dyDescent="0.25">
      <c r="A339" s="8"/>
      <c r="B339" s="8"/>
      <c r="C339" s="8"/>
      <c r="D339" s="8"/>
      <c r="E339" s="8"/>
      <c r="F339" s="8"/>
      <c r="G339" s="695"/>
      <c r="H339" s="695"/>
      <c r="I339" s="695"/>
      <c r="J339" s="695"/>
      <c r="K339" s="695"/>
      <c r="L339" s="695"/>
      <c r="M339" s="695"/>
      <c r="N339" s="695"/>
      <c r="O339" s="695"/>
      <c r="P339" s="695"/>
      <c r="Q339" s="695"/>
      <c r="R339" s="695"/>
      <c r="S339" s="695"/>
      <c r="T339" s="8"/>
      <c r="U339" s="8"/>
      <c r="V339" s="8"/>
      <c r="W339" s="8"/>
      <c r="X339" s="8"/>
      <c r="Y339" s="8"/>
      <c r="Z339" s="8"/>
      <c r="AA339" s="8"/>
      <c r="AB339" s="8"/>
    </row>
    <row r="340" ht="12.75" customHeight="1" spans="1:28" x14ac:dyDescent="0.25">
      <c r="A340" s="8"/>
      <c r="B340" s="8"/>
      <c r="C340" s="8"/>
      <c r="D340" s="8"/>
      <c r="E340" s="8"/>
      <c r="F340" s="8"/>
      <c r="G340" s="695"/>
      <c r="H340" s="695"/>
      <c r="I340" s="695"/>
      <c r="J340" s="695"/>
      <c r="K340" s="695"/>
      <c r="L340" s="695"/>
      <c r="M340" s="695"/>
      <c r="N340" s="695"/>
      <c r="O340" s="695"/>
      <c r="P340" s="695"/>
      <c r="Q340" s="695"/>
      <c r="R340" s="695"/>
      <c r="S340" s="695"/>
      <c r="T340" s="8"/>
      <c r="U340" s="8"/>
      <c r="V340" s="8"/>
      <c r="W340" s="8"/>
      <c r="X340" s="8"/>
      <c r="Y340" s="8"/>
      <c r="Z340" s="8"/>
      <c r="AA340" s="8"/>
      <c r="AB340" s="8"/>
    </row>
    <row r="341" ht="12.75" customHeight="1" spans="1:28" x14ac:dyDescent="0.25">
      <c r="A341" s="8"/>
      <c r="B341" s="8"/>
      <c r="C341" s="8"/>
      <c r="D341" s="8"/>
      <c r="E341" s="8"/>
      <c r="F341" s="8"/>
      <c r="G341" s="695"/>
      <c r="H341" s="695"/>
      <c r="I341" s="695"/>
      <c r="J341" s="695"/>
      <c r="K341" s="695"/>
      <c r="L341" s="695"/>
      <c r="M341" s="695"/>
      <c r="N341" s="695"/>
      <c r="O341" s="695"/>
      <c r="P341" s="695"/>
      <c r="Q341" s="695"/>
      <c r="R341" s="695"/>
      <c r="S341" s="695"/>
      <c r="T341" s="8"/>
      <c r="U341" s="8"/>
      <c r="V341" s="8"/>
      <c r="W341" s="8"/>
      <c r="X341" s="8"/>
      <c r="Y341" s="8"/>
      <c r="Z341" s="8"/>
      <c r="AA341" s="8"/>
      <c r="AB341" s="8"/>
    </row>
    <row r="342" ht="12.75" customHeight="1" spans="1:28" x14ac:dyDescent="0.25">
      <c r="A342" s="8"/>
      <c r="B342" s="8"/>
      <c r="C342" s="8"/>
      <c r="D342" s="8"/>
      <c r="E342" s="8"/>
      <c r="F342" s="8"/>
      <c r="G342" s="695"/>
      <c r="H342" s="695"/>
      <c r="I342" s="695"/>
      <c r="J342" s="695"/>
      <c r="K342" s="695"/>
      <c r="L342" s="695"/>
      <c r="M342" s="695"/>
      <c r="N342" s="695"/>
      <c r="O342" s="695"/>
      <c r="P342" s="695"/>
      <c r="Q342" s="695"/>
      <c r="R342" s="695"/>
      <c r="S342" s="695"/>
      <c r="T342" s="8"/>
      <c r="U342" s="8"/>
      <c r="V342" s="8"/>
      <c r="W342" s="8"/>
      <c r="X342" s="8"/>
      <c r="Y342" s="8"/>
      <c r="Z342" s="8"/>
      <c r="AA342" s="8"/>
      <c r="AB342" s="8"/>
    </row>
    <row r="343" ht="12.75" customHeight="1" spans="1:28" x14ac:dyDescent="0.25">
      <c r="A343" s="8"/>
      <c r="B343" s="8"/>
      <c r="C343" s="8"/>
      <c r="D343" s="8"/>
      <c r="E343" s="8"/>
      <c r="F343" s="8"/>
      <c r="G343" s="695"/>
      <c r="H343" s="695"/>
      <c r="I343" s="695"/>
      <c r="J343" s="695"/>
      <c r="K343" s="695"/>
      <c r="L343" s="695"/>
      <c r="M343" s="695"/>
      <c r="N343" s="695"/>
      <c r="O343" s="695"/>
      <c r="P343" s="695"/>
      <c r="Q343" s="695"/>
      <c r="R343" s="695"/>
      <c r="S343" s="695"/>
      <c r="T343" s="8"/>
      <c r="U343" s="8"/>
      <c r="V343" s="8"/>
      <c r="W343" s="8"/>
      <c r="X343" s="8"/>
      <c r="Y343" s="8"/>
      <c r="Z343" s="8"/>
      <c r="AA343" s="8"/>
      <c r="AB343" s="8"/>
    </row>
    <row r="344" ht="12.75" customHeight="1" spans="1:28" x14ac:dyDescent="0.25">
      <c r="A344" s="8"/>
      <c r="B344" s="8"/>
      <c r="C344" s="8"/>
      <c r="D344" s="8"/>
      <c r="E344" s="8"/>
      <c r="F344" s="8"/>
      <c r="G344" s="695"/>
      <c r="H344" s="695"/>
      <c r="I344" s="695"/>
      <c r="J344" s="695"/>
      <c r="K344" s="695"/>
      <c r="L344" s="695"/>
      <c r="M344" s="695"/>
      <c r="N344" s="695"/>
      <c r="O344" s="695"/>
      <c r="P344" s="695"/>
      <c r="Q344" s="695"/>
      <c r="R344" s="695"/>
      <c r="S344" s="695"/>
      <c r="T344" s="8"/>
      <c r="U344" s="8"/>
      <c r="V344" s="8"/>
      <c r="W344" s="8"/>
      <c r="X344" s="8"/>
      <c r="Y344" s="8"/>
      <c r="Z344" s="8"/>
      <c r="AA344" s="8"/>
      <c r="AB344" s="8"/>
    </row>
    <row r="345" ht="12.75" customHeight="1" spans="1:28" x14ac:dyDescent="0.25">
      <c r="A345" s="8"/>
      <c r="B345" s="8"/>
      <c r="C345" s="8"/>
      <c r="D345" s="8"/>
      <c r="E345" s="8"/>
      <c r="F345" s="8"/>
      <c r="G345" s="695"/>
      <c r="H345" s="695"/>
      <c r="I345" s="695"/>
      <c r="J345" s="695"/>
      <c r="K345" s="695"/>
      <c r="L345" s="695"/>
      <c r="M345" s="695"/>
      <c r="N345" s="695"/>
      <c r="O345" s="695"/>
      <c r="P345" s="695"/>
      <c r="Q345" s="695"/>
      <c r="R345" s="695"/>
      <c r="S345" s="695"/>
      <c r="T345" s="8"/>
      <c r="U345" s="8"/>
      <c r="V345" s="8"/>
      <c r="W345" s="8"/>
      <c r="X345" s="8"/>
      <c r="Y345" s="8"/>
      <c r="Z345" s="8"/>
      <c r="AA345" s="8"/>
      <c r="AB345" s="8"/>
    </row>
    <row r="346" ht="12.75" customHeight="1" spans="1:28" x14ac:dyDescent="0.25">
      <c r="A346" s="8"/>
      <c r="B346" s="8"/>
      <c r="C346" s="8"/>
      <c r="D346" s="8"/>
      <c r="E346" s="8"/>
      <c r="F346" s="8"/>
      <c r="G346" s="695"/>
      <c r="H346" s="695"/>
      <c r="I346" s="695"/>
      <c r="J346" s="695"/>
      <c r="K346" s="695"/>
      <c r="L346" s="695"/>
      <c r="M346" s="695"/>
      <c r="N346" s="695"/>
      <c r="O346" s="695"/>
      <c r="P346" s="695"/>
      <c r="Q346" s="695"/>
      <c r="R346" s="695"/>
      <c r="S346" s="695"/>
      <c r="T346" s="8"/>
      <c r="U346" s="8"/>
      <c r="V346" s="8"/>
      <c r="W346" s="8"/>
      <c r="X346" s="8"/>
      <c r="Y346" s="8"/>
      <c r="Z346" s="8"/>
      <c r="AA346" s="8"/>
      <c r="AB346" s="8"/>
    </row>
    <row r="347" ht="12.75" customHeight="1" spans="1:28" x14ac:dyDescent="0.25">
      <c r="A347" s="8"/>
      <c r="B347" s="8"/>
      <c r="C347" s="8"/>
      <c r="D347" s="8"/>
      <c r="E347" s="8"/>
      <c r="F347" s="8"/>
      <c r="G347" s="695"/>
      <c r="H347" s="695"/>
      <c r="I347" s="695"/>
      <c r="J347" s="695"/>
      <c r="K347" s="695"/>
      <c r="L347" s="695"/>
      <c r="M347" s="695"/>
      <c r="N347" s="695"/>
      <c r="O347" s="695"/>
      <c r="P347" s="695"/>
      <c r="Q347" s="695"/>
      <c r="R347" s="695"/>
      <c r="S347" s="695"/>
      <c r="T347" s="8"/>
      <c r="U347" s="8"/>
      <c r="V347" s="8"/>
      <c r="W347" s="8"/>
      <c r="X347" s="8"/>
      <c r="Y347" s="8"/>
      <c r="Z347" s="8"/>
      <c r="AA347" s="8"/>
      <c r="AB347" s="8"/>
    </row>
    <row r="348" ht="12.75" customHeight="1" spans="1:28" x14ac:dyDescent="0.25">
      <c r="A348" s="8"/>
      <c r="B348" s="8"/>
      <c r="C348" s="8"/>
      <c r="D348" s="8"/>
      <c r="E348" s="8"/>
      <c r="F348" s="8"/>
      <c r="G348" s="695"/>
      <c r="H348" s="695"/>
      <c r="I348" s="695"/>
      <c r="J348" s="695"/>
      <c r="K348" s="695"/>
      <c r="L348" s="695"/>
      <c r="M348" s="695"/>
      <c r="N348" s="695"/>
      <c r="O348" s="695"/>
      <c r="P348" s="695"/>
      <c r="Q348" s="695"/>
      <c r="R348" s="695"/>
      <c r="S348" s="695"/>
      <c r="T348" s="8"/>
      <c r="U348" s="8"/>
      <c r="V348" s="8"/>
      <c r="W348" s="8"/>
      <c r="X348" s="8"/>
      <c r="Y348" s="8"/>
      <c r="Z348" s="8"/>
      <c r="AA348" s="8"/>
      <c r="AB348" s="8"/>
    </row>
    <row r="349" ht="12.75" customHeight="1" spans="1:28" x14ac:dyDescent="0.25">
      <c r="A349" s="8"/>
      <c r="B349" s="8"/>
      <c r="C349" s="8"/>
      <c r="D349" s="8"/>
      <c r="E349" s="8"/>
      <c r="F349" s="8"/>
      <c r="G349" s="695"/>
      <c r="H349" s="695"/>
      <c r="I349" s="695"/>
      <c r="J349" s="695"/>
      <c r="K349" s="695"/>
      <c r="L349" s="695"/>
      <c r="M349" s="695"/>
      <c r="N349" s="695"/>
      <c r="O349" s="695"/>
      <c r="P349" s="695"/>
      <c r="Q349" s="695"/>
      <c r="R349" s="695"/>
      <c r="S349" s="695"/>
      <c r="T349" s="8"/>
      <c r="U349" s="8"/>
      <c r="V349" s="8"/>
      <c r="W349" s="8"/>
      <c r="X349" s="8"/>
      <c r="Y349" s="8"/>
      <c r="Z349" s="8"/>
      <c r="AA349" s="8"/>
      <c r="AB349" s="8"/>
    </row>
    <row r="350" ht="12.75" customHeight="1" spans="1:28" x14ac:dyDescent="0.25">
      <c r="A350" s="8"/>
      <c r="B350" s="8"/>
      <c r="C350" s="8"/>
      <c r="D350" s="8"/>
      <c r="E350" s="8"/>
      <c r="F350" s="8"/>
      <c r="G350" s="695"/>
      <c r="H350" s="695"/>
      <c r="I350" s="695"/>
      <c r="J350" s="695"/>
      <c r="K350" s="695"/>
      <c r="L350" s="695"/>
      <c r="M350" s="695"/>
      <c r="N350" s="695"/>
      <c r="O350" s="695"/>
      <c r="P350" s="695"/>
      <c r="Q350" s="695"/>
      <c r="R350" s="695"/>
      <c r="S350" s="695"/>
      <c r="T350" s="8"/>
      <c r="U350" s="8"/>
      <c r="V350" s="8"/>
      <c r="W350" s="8"/>
      <c r="X350" s="8"/>
      <c r="Y350" s="8"/>
      <c r="Z350" s="8"/>
      <c r="AA350" s="8"/>
      <c r="AB350" s="8"/>
    </row>
    <row r="351" ht="12.75" customHeight="1" spans="1:28" x14ac:dyDescent="0.25">
      <c r="A351" s="8"/>
      <c r="B351" s="8"/>
      <c r="C351" s="8"/>
      <c r="D351" s="8"/>
      <c r="E351" s="8"/>
      <c r="F351" s="8"/>
      <c r="G351" s="695"/>
      <c r="H351" s="695"/>
      <c r="I351" s="695"/>
      <c r="J351" s="695"/>
      <c r="K351" s="695"/>
      <c r="L351" s="695"/>
      <c r="M351" s="695"/>
      <c r="N351" s="695"/>
      <c r="O351" s="695"/>
      <c r="P351" s="695"/>
      <c r="Q351" s="695"/>
      <c r="R351" s="695"/>
      <c r="S351" s="695"/>
      <c r="T351" s="8"/>
      <c r="U351" s="8"/>
      <c r="V351" s="8"/>
      <c r="W351" s="8"/>
      <c r="X351" s="8"/>
      <c r="Y351" s="8"/>
      <c r="Z351" s="8"/>
      <c r="AA351" s="8"/>
      <c r="AB351" s="8"/>
    </row>
    <row r="352" ht="12.75" customHeight="1" spans="1:28" x14ac:dyDescent="0.25">
      <c r="A352" s="8"/>
      <c r="B352" s="8"/>
      <c r="C352" s="8"/>
      <c r="D352" s="8"/>
      <c r="E352" s="8"/>
      <c r="F352" s="8"/>
      <c r="G352" s="695"/>
      <c r="H352" s="695"/>
      <c r="I352" s="695"/>
      <c r="J352" s="695"/>
      <c r="K352" s="695"/>
      <c r="L352" s="695"/>
      <c r="M352" s="695"/>
      <c r="N352" s="695"/>
      <c r="O352" s="695"/>
      <c r="P352" s="695"/>
      <c r="Q352" s="695"/>
      <c r="R352" s="695"/>
      <c r="S352" s="695"/>
      <c r="T352" s="8"/>
      <c r="U352" s="8"/>
      <c r="V352" s="8"/>
      <c r="W352" s="8"/>
      <c r="X352" s="8"/>
      <c r="Y352" s="8"/>
      <c r="Z352" s="8"/>
      <c r="AA352" s="8"/>
      <c r="AB352" s="8"/>
    </row>
    <row r="353" ht="12.75" customHeight="1" spans="1:28" x14ac:dyDescent="0.25">
      <c r="A353" s="8"/>
      <c r="B353" s="8"/>
      <c r="C353" s="8"/>
      <c r="D353" s="8"/>
      <c r="E353" s="8"/>
      <c r="F353" s="8"/>
      <c r="G353" s="695"/>
      <c r="H353" s="695"/>
      <c r="I353" s="695"/>
      <c r="J353" s="695"/>
      <c r="K353" s="695"/>
      <c r="L353" s="695"/>
      <c r="M353" s="695"/>
      <c r="N353" s="695"/>
      <c r="O353" s="695"/>
      <c r="P353" s="695"/>
      <c r="Q353" s="695"/>
      <c r="R353" s="695"/>
      <c r="S353" s="695"/>
      <c r="T353" s="8"/>
      <c r="U353" s="8"/>
      <c r="V353" s="8"/>
      <c r="W353" s="8"/>
      <c r="X353" s="8"/>
      <c r="Y353" s="8"/>
      <c r="Z353" s="8"/>
      <c r="AA353" s="8"/>
      <c r="AB353" s="8"/>
    </row>
    <row r="354" ht="12.75" customHeight="1" spans="1:28" x14ac:dyDescent="0.25">
      <c r="A354" s="8"/>
      <c r="B354" s="8"/>
      <c r="C354" s="8"/>
      <c r="D354" s="8"/>
      <c r="E354" s="8"/>
      <c r="F354" s="8"/>
      <c r="G354" s="695"/>
      <c r="H354" s="695"/>
      <c r="I354" s="695"/>
      <c r="J354" s="695"/>
      <c r="K354" s="695"/>
      <c r="L354" s="695"/>
      <c r="M354" s="695"/>
      <c r="N354" s="695"/>
      <c r="O354" s="695"/>
      <c r="P354" s="695"/>
      <c r="Q354" s="695"/>
      <c r="R354" s="695"/>
      <c r="S354" s="695"/>
      <c r="T354" s="8"/>
      <c r="U354" s="8"/>
      <c r="V354" s="8"/>
      <c r="W354" s="8"/>
      <c r="X354" s="8"/>
      <c r="Y354" s="8"/>
      <c r="Z354" s="8"/>
      <c r="AA354" s="8"/>
      <c r="AB354" s="8"/>
    </row>
    <row r="355" ht="12.75" customHeight="1" spans="1:28" x14ac:dyDescent="0.25">
      <c r="A355" s="8"/>
      <c r="B355" s="8"/>
      <c r="C355" s="8"/>
      <c r="D355" s="8"/>
      <c r="E355" s="8"/>
      <c r="F355" s="8"/>
      <c r="G355" s="695"/>
      <c r="H355" s="695"/>
      <c r="I355" s="695"/>
      <c r="J355" s="695"/>
      <c r="K355" s="695"/>
      <c r="L355" s="695"/>
      <c r="M355" s="695"/>
      <c r="N355" s="695"/>
      <c r="O355" s="695"/>
      <c r="P355" s="695"/>
      <c r="Q355" s="695"/>
      <c r="R355" s="695"/>
      <c r="S355" s="695"/>
      <c r="T355" s="8"/>
      <c r="U355" s="8"/>
      <c r="V355" s="8"/>
      <c r="W355" s="8"/>
      <c r="X355" s="8"/>
      <c r="Y355" s="8"/>
      <c r="Z355" s="8"/>
      <c r="AA355" s="8"/>
      <c r="AB355" s="8"/>
    </row>
    <row r="356" ht="12.75" customHeight="1" spans="1:28" x14ac:dyDescent="0.25">
      <c r="A356" s="8"/>
      <c r="B356" s="8"/>
      <c r="C356" s="8"/>
      <c r="D356" s="8"/>
      <c r="E356" s="8"/>
      <c r="F356" s="8"/>
      <c r="G356" s="695"/>
      <c r="H356" s="695"/>
      <c r="I356" s="695"/>
      <c r="J356" s="695"/>
      <c r="K356" s="695"/>
      <c r="L356" s="695"/>
      <c r="M356" s="695"/>
      <c r="N356" s="695"/>
      <c r="O356" s="695"/>
      <c r="P356" s="695"/>
      <c r="Q356" s="695"/>
      <c r="R356" s="695"/>
      <c r="S356" s="695"/>
      <c r="T356" s="8"/>
      <c r="U356" s="8"/>
      <c r="V356" s="8"/>
      <c r="W356" s="8"/>
      <c r="X356" s="8"/>
      <c r="Y356" s="8"/>
      <c r="Z356" s="8"/>
      <c r="AA356" s="8"/>
      <c r="AB356" s="8"/>
    </row>
    <row r="357" ht="12.75" customHeight="1" spans="1:28" x14ac:dyDescent="0.25">
      <c r="A357" s="8"/>
      <c r="B357" s="8"/>
      <c r="C357" s="8"/>
      <c r="D357" s="8"/>
      <c r="E357" s="8"/>
      <c r="F357" s="8"/>
      <c r="G357" s="695"/>
      <c r="H357" s="695"/>
      <c r="I357" s="695"/>
      <c r="J357" s="695"/>
      <c r="K357" s="695"/>
      <c r="L357" s="695"/>
      <c r="M357" s="695"/>
      <c r="N357" s="695"/>
      <c r="O357" s="695"/>
      <c r="P357" s="695"/>
      <c r="Q357" s="695"/>
      <c r="R357" s="695"/>
      <c r="S357" s="695"/>
      <c r="T357" s="8"/>
      <c r="U357" s="8"/>
      <c r="V357" s="8"/>
      <c r="W357" s="8"/>
      <c r="X357" s="8"/>
      <c r="Y357" s="8"/>
      <c r="Z357" s="8"/>
      <c r="AA357" s="8"/>
      <c r="AB357" s="8"/>
    </row>
    <row r="358" ht="12.75" customHeight="1" spans="1:28" x14ac:dyDescent="0.25">
      <c r="A358" s="8"/>
      <c r="B358" s="8"/>
      <c r="C358" s="8"/>
      <c r="D358" s="8"/>
      <c r="E358" s="8"/>
      <c r="F358" s="8"/>
      <c r="G358" s="695"/>
      <c r="H358" s="695"/>
      <c r="I358" s="695"/>
      <c r="J358" s="695"/>
      <c r="K358" s="695"/>
      <c r="L358" s="695"/>
      <c r="M358" s="695"/>
      <c r="N358" s="695"/>
      <c r="O358" s="695"/>
      <c r="P358" s="695"/>
      <c r="Q358" s="695"/>
      <c r="R358" s="695"/>
      <c r="S358" s="695"/>
      <c r="T358" s="8"/>
      <c r="U358" s="8"/>
      <c r="V358" s="8"/>
      <c r="W358" s="8"/>
      <c r="X358" s="8"/>
      <c r="Y358" s="8"/>
      <c r="Z358" s="8"/>
      <c r="AA358" s="8"/>
      <c r="AB358" s="8"/>
    </row>
    <row r="359" ht="12.75" customHeight="1" spans="1:28" x14ac:dyDescent="0.25">
      <c r="A359" s="8"/>
      <c r="B359" s="8"/>
      <c r="C359" s="8"/>
      <c r="D359" s="8"/>
      <c r="E359" s="8"/>
      <c r="F359" s="8"/>
      <c r="G359" s="695"/>
      <c r="H359" s="695"/>
      <c r="I359" s="695"/>
      <c r="J359" s="695"/>
      <c r="K359" s="695"/>
      <c r="L359" s="695"/>
      <c r="M359" s="695"/>
      <c r="N359" s="695"/>
      <c r="O359" s="695"/>
      <c r="P359" s="695"/>
      <c r="Q359" s="695"/>
      <c r="R359" s="695"/>
      <c r="S359" s="695"/>
      <c r="T359" s="8"/>
      <c r="U359" s="8"/>
      <c r="V359" s="8"/>
      <c r="W359" s="8"/>
      <c r="X359" s="8"/>
      <c r="Y359" s="8"/>
      <c r="Z359" s="8"/>
      <c r="AA359" s="8"/>
      <c r="AB359" s="8"/>
    </row>
    <row r="360" ht="12.75" customHeight="1" spans="1:28" x14ac:dyDescent="0.25">
      <c r="A360" s="8"/>
      <c r="B360" s="8"/>
      <c r="C360" s="8"/>
      <c r="D360" s="8"/>
      <c r="E360" s="8"/>
      <c r="F360" s="8"/>
      <c r="G360" s="695"/>
      <c r="H360" s="695"/>
      <c r="I360" s="695"/>
      <c r="J360" s="695"/>
      <c r="K360" s="695"/>
      <c r="L360" s="695"/>
      <c r="M360" s="695"/>
      <c r="N360" s="695"/>
      <c r="O360" s="695"/>
      <c r="P360" s="695"/>
      <c r="Q360" s="695"/>
      <c r="R360" s="695"/>
      <c r="S360" s="695"/>
      <c r="T360" s="8"/>
      <c r="U360" s="8"/>
      <c r="V360" s="8"/>
      <c r="W360" s="8"/>
      <c r="X360" s="8"/>
      <c r="Y360" s="8"/>
      <c r="Z360" s="8"/>
      <c r="AA360" s="8"/>
      <c r="AB360" s="8"/>
    </row>
    <row r="361" ht="12.75" customHeight="1" spans="1:28" x14ac:dyDescent="0.25">
      <c r="A361" s="8"/>
      <c r="B361" s="8"/>
      <c r="C361" s="8"/>
      <c r="D361" s="8"/>
      <c r="E361" s="8"/>
      <c r="F361" s="8"/>
      <c r="G361" s="695"/>
      <c r="H361" s="695"/>
      <c r="I361" s="695"/>
      <c r="J361" s="695"/>
      <c r="K361" s="695"/>
      <c r="L361" s="695"/>
      <c r="M361" s="695"/>
      <c r="N361" s="695"/>
      <c r="O361" s="695"/>
      <c r="P361" s="695"/>
      <c r="Q361" s="695"/>
      <c r="R361" s="695"/>
      <c r="S361" s="695"/>
      <c r="T361" s="8"/>
      <c r="U361" s="8"/>
      <c r="V361" s="8"/>
      <c r="W361" s="8"/>
      <c r="X361" s="8"/>
      <c r="Y361" s="8"/>
      <c r="Z361" s="8"/>
      <c r="AA361" s="8"/>
      <c r="AB361" s="8"/>
    </row>
    <row r="362" ht="12.75" customHeight="1" spans="1:28" x14ac:dyDescent="0.25">
      <c r="A362" s="8"/>
      <c r="B362" s="8"/>
      <c r="C362" s="8"/>
      <c r="D362" s="8"/>
      <c r="E362" s="8"/>
      <c r="F362" s="8"/>
      <c r="G362" s="695"/>
      <c r="H362" s="695"/>
      <c r="I362" s="695"/>
      <c r="J362" s="695"/>
      <c r="K362" s="695"/>
      <c r="L362" s="695"/>
      <c r="M362" s="695"/>
      <c r="N362" s="695"/>
      <c r="O362" s="695"/>
      <c r="P362" s="695"/>
      <c r="Q362" s="695"/>
      <c r="R362" s="695"/>
      <c r="S362" s="695"/>
      <c r="T362" s="8"/>
      <c r="U362" s="8"/>
      <c r="V362" s="8"/>
      <c r="W362" s="8"/>
      <c r="X362" s="8"/>
      <c r="Y362" s="8"/>
      <c r="Z362" s="8"/>
      <c r="AA362" s="8"/>
      <c r="AB362" s="8"/>
    </row>
    <row r="363" ht="12.75" customHeight="1" spans="1:28" x14ac:dyDescent="0.25">
      <c r="A363" s="8"/>
      <c r="B363" s="8"/>
      <c r="C363" s="8"/>
      <c r="D363" s="8"/>
      <c r="E363" s="8"/>
      <c r="F363" s="8"/>
      <c r="G363" s="695"/>
      <c r="H363" s="695"/>
      <c r="I363" s="695"/>
      <c r="J363" s="695"/>
      <c r="K363" s="695"/>
      <c r="L363" s="695"/>
      <c r="M363" s="695"/>
      <c r="N363" s="695"/>
      <c r="O363" s="695"/>
      <c r="P363" s="695"/>
      <c r="Q363" s="695"/>
      <c r="R363" s="695"/>
      <c r="S363" s="695"/>
      <c r="T363" s="8"/>
      <c r="U363" s="8"/>
      <c r="V363" s="8"/>
      <c r="W363" s="8"/>
      <c r="X363" s="8"/>
      <c r="Y363" s="8"/>
      <c r="Z363" s="8"/>
      <c r="AA363" s="8"/>
      <c r="AB363" s="8"/>
    </row>
    <row r="364" ht="12.75" customHeight="1" spans="1:28" x14ac:dyDescent="0.25">
      <c r="A364" s="8"/>
      <c r="B364" s="8"/>
      <c r="C364" s="8"/>
      <c r="D364" s="8"/>
      <c r="E364" s="8"/>
      <c r="F364" s="8"/>
      <c r="G364" s="695"/>
      <c r="H364" s="695"/>
      <c r="I364" s="695"/>
      <c r="J364" s="695"/>
      <c r="K364" s="695"/>
      <c r="L364" s="695"/>
      <c r="M364" s="695"/>
      <c r="N364" s="695"/>
      <c r="O364" s="695"/>
      <c r="P364" s="695"/>
      <c r="Q364" s="695"/>
      <c r="R364" s="695"/>
      <c r="S364" s="695"/>
      <c r="T364" s="8"/>
      <c r="U364" s="8"/>
      <c r="V364" s="8"/>
      <c r="W364" s="8"/>
      <c r="X364" s="8"/>
      <c r="Y364" s="8"/>
      <c r="Z364" s="8"/>
      <c r="AA364" s="8"/>
      <c r="AB364" s="8"/>
    </row>
    <row r="365" ht="12.75" customHeight="1" spans="1:28" x14ac:dyDescent="0.25">
      <c r="A365" s="8"/>
      <c r="B365" s="8"/>
      <c r="C365" s="8"/>
      <c r="D365" s="8"/>
      <c r="E365" s="8"/>
      <c r="F365" s="8"/>
      <c r="G365" s="695"/>
      <c r="H365" s="695"/>
      <c r="I365" s="695"/>
      <c r="J365" s="695"/>
      <c r="K365" s="695"/>
      <c r="L365" s="695"/>
      <c r="M365" s="695"/>
      <c r="N365" s="695"/>
      <c r="O365" s="695"/>
      <c r="P365" s="695"/>
      <c r="Q365" s="695"/>
      <c r="R365" s="695"/>
      <c r="S365" s="695"/>
      <c r="T365" s="8"/>
      <c r="U365" s="8"/>
      <c r="V365" s="8"/>
      <c r="W365" s="8"/>
      <c r="X365" s="8"/>
      <c r="Y365" s="8"/>
      <c r="Z365" s="8"/>
      <c r="AA365" s="8"/>
      <c r="AB365" s="8"/>
    </row>
    <row r="366" ht="12.75" customHeight="1" spans="1:28" x14ac:dyDescent="0.25">
      <c r="A366" s="8"/>
      <c r="B366" s="8"/>
      <c r="C366" s="8"/>
      <c r="D366" s="8"/>
      <c r="E366" s="8"/>
      <c r="F366" s="8"/>
      <c r="G366" s="695"/>
      <c r="H366" s="695"/>
      <c r="I366" s="695"/>
      <c r="J366" s="695"/>
      <c r="K366" s="695"/>
      <c r="L366" s="695"/>
      <c r="M366" s="695"/>
      <c r="N366" s="695"/>
      <c r="O366" s="695"/>
      <c r="P366" s="695"/>
      <c r="Q366" s="695"/>
      <c r="R366" s="695"/>
      <c r="S366" s="695"/>
      <c r="T366" s="8"/>
      <c r="U366" s="8"/>
      <c r="V366" s="8"/>
      <c r="W366" s="8"/>
      <c r="X366" s="8"/>
      <c r="Y366" s="8"/>
      <c r="Z366" s="8"/>
      <c r="AA366" s="8"/>
      <c r="AB366" s="8"/>
    </row>
    <row r="367" ht="12.75" customHeight="1" spans="1:28" x14ac:dyDescent="0.25">
      <c r="A367" s="8"/>
      <c r="B367" s="8"/>
      <c r="C367" s="8"/>
      <c r="D367" s="8"/>
      <c r="E367" s="8"/>
      <c r="F367" s="8"/>
      <c r="G367" s="695"/>
      <c r="H367" s="695"/>
      <c r="I367" s="695"/>
      <c r="J367" s="695"/>
      <c r="K367" s="695"/>
      <c r="L367" s="695"/>
      <c r="M367" s="695"/>
      <c r="N367" s="695"/>
      <c r="O367" s="695"/>
      <c r="P367" s="695"/>
      <c r="Q367" s="695"/>
      <c r="R367" s="695"/>
      <c r="S367" s="695"/>
      <c r="T367" s="8"/>
      <c r="U367" s="8"/>
      <c r="V367" s="8"/>
      <c r="W367" s="8"/>
      <c r="X367" s="8"/>
      <c r="Y367" s="8"/>
      <c r="Z367" s="8"/>
      <c r="AA367" s="8"/>
      <c r="AB367" s="8"/>
    </row>
    <row r="368" ht="12.75" customHeight="1" spans="1:28" x14ac:dyDescent="0.25">
      <c r="A368" s="8"/>
      <c r="B368" s="8"/>
      <c r="C368" s="8"/>
      <c r="D368" s="8"/>
      <c r="E368" s="8"/>
      <c r="F368" s="8"/>
      <c r="G368" s="695"/>
      <c r="H368" s="695"/>
      <c r="I368" s="695"/>
      <c r="J368" s="695"/>
      <c r="K368" s="695"/>
      <c r="L368" s="695"/>
      <c r="M368" s="695"/>
      <c r="N368" s="695"/>
      <c r="O368" s="695"/>
      <c r="P368" s="695"/>
      <c r="Q368" s="695"/>
      <c r="R368" s="695"/>
      <c r="S368" s="695"/>
      <c r="T368" s="8"/>
      <c r="U368" s="8"/>
      <c r="V368" s="8"/>
      <c r="W368" s="8"/>
      <c r="X368" s="8"/>
      <c r="Y368" s="8"/>
      <c r="Z368" s="8"/>
      <c r="AA368" s="8"/>
      <c r="AB368" s="8"/>
    </row>
    <row r="369" ht="12.75" customHeight="1" spans="1:28" x14ac:dyDescent="0.25">
      <c r="A369" s="8"/>
      <c r="B369" s="8"/>
      <c r="C369" s="8"/>
      <c r="D369" s="8"/>
      <c r="E369" s="8"/>
      <c r="F369" s="8"/>
      <c r="G369" s="695"/>
      <c r="H369" s="695"/>
      <c r="I369" s="695"/>
      <c r="J369" s="695"/>
      <c r="K369" s="695"/>
      <c r="L369" s="695"/>
      <c r="M369" s="695"/>
      <c r="N369" s="695"/>
      <c r="O369" s="695"/>
      <c r="P369" s="695"/>
      <c r="Q369" s="695"/>
      <c r="R369" s="695"/>
      <c r="S369" s="695"/>
      <c r="T369" s="8"/>
      <c r="U369" s="8"/>
      <c r="V369" s="8"/>
      <c r="W369" s="8"/>
      <c r="X369" s="8"/>
      <c r="Y369" s="8"/>
      <c r="Z369" s="8"/>
      <c r="AA369" s="8"/>
      <c r="AB369" s="8"/>
    </row>
    <row r="370" ht="12.75" customHeight="1" spans="1:28" x14ac:dyDescent="0.25">
      <c r="A370" s="8"/>
      <c r="B370" s="8"/>
      <c r="C370" s="8"/>
      <c r="D370" s="8"/>
      <c r="E370" s="8"/>
      <c r="F370" s="8"/>
      <c r="G370" s="695"/>
      <c r="H370" s="695"/>
      <c r="I370" s="695"/>
      <c r="J370" s="695"/>
      <c r="K370" s="695"/>
      <c r="L370" s="695"/>
      <c r="M370" s="695"/>
      <c r="N370" s="695"/>
      <c r="O370" s="695"/>
      <c r="P370" s="695"/>
      <c r="Q370" s="695"/>
      <c r="R370" s="695"/>
      <c r="S370" s="695"/>
      <c r="T370" s="8"/>
      <c r="U370" s="8"/>
      <c r="V370" s="8"/>
      <c r="W370" s="8"/>
      <c r="X370" s="8"/>
      <c r="Y370" s="8"/>
      <c r="Z370" s="8"/>
      <c r="AA370" s="8"/>
      <c r="AB370" s="8"/>
    </row>
    <row r="371" ht="12.75" customHeight="1" spans="1:28" x14ac:dyDescent="0.25">
      <c r="A371" s="8"/>
      <c r="B371" s="8"/>
      <c r="C371" s="8"/>
      <c r="D371" s="8"/>
      <c r="E371" s="8"/>
      <c r="F371" s="8"/>
      <c r="G371" s="695"/>
      <c r="H371" s="695"/>
      <c r="I371" s="695"/>
      <c r="J371" s="695"/>
      <c r="K371" s="695"/>
      <c r="L371" s="695"/>
      <c r="M371" s="695"/>
      <c r="N371" s="695"/>
      <c r="O371" s="695"/>
      <c r="P371" s="695"/>
      <c r="Q371" s="695"/>
      <c r="R371" s="695"/>
      <c r="S371" s="695"/>
      <c r="T371" s="8"/>
      <c r="U371" s="8"/>
      <c r="V371" s="8"/>
      <c r="W371" s="8"/>
      <c r="X371" s="8"/>
      <c r="Y371" s="8"/>
      <c r="Z371" s="8"/>
      <c r="AA371" s="8"/>
      <c r="AB371" s="8"/>
    </row>
    <row r="372" ht="12.75" customHeight="1" spans="1:28" x14ac:dyDescent="0.25">
      <c r="A372" s="8"/>
      <c r="B372" s="8"/>
      <c r="C372" s="8"/>
      <c r="D372" s="8"/>
      <c r="E372" s="8"/>
      <c r="F372" s="8"/>
      <c r="G372" s="695"/>
      <c r="H372" s="695"/>
      <c r="I372" s="695"/>
      <c r="J372" s="695"/>
      <c r="K372" s="695"/>
      <c r="L372" s="695"/>
      <c r="M372" s="695"/>
      <c r="N372" s="695"/>
      <c r="O372" s="695"/>
      <c r="P372" s="695"/>
      <c r="Q372" s="695"/>
      <c r="R372" s="695"/>
      <c r="S372" s="695"/>
      <c r="T372" s="8"/>
      <c r="U372" s="8"/>
      <c r="V372" s="8"/>
      <c r="W372" s="8"/>
      <c r="X372" s="8"/>
      <c r="Y372" s="8"/>
      <c r="Z372" s="8"/>
      <c r="AA372" s="8"/>
      <c r="AB372" s="8"/>
    </row>
    <row r="373" ht="12.75" customHeight="1" spans="1:28" x14ac:dyDescent="0.25">
      <c r="A373" s="8"/>
      <c r="B373" s="8"/>
      <c r="C373" s="8"/>
      <c r="D373" s="8"/>
      <c r="E373" s="8"/>
      <c r="F373" s="8"/>
      <c r="G373" s="695"/>
      <c r="H373" s="695"/>
      <c r="I373" s="695"/>
      <c r="J373" s="695"/>
      <c r="K373" s="695"/>
      <c r="L373" s="695"/>
      <c r="M373" s="695"/>
      <c r="N373" s="695"/>
      <c r="O373" s="695"/>
      <c r="P373" s="695"/>
      <c r="Q373" s="695"/>
      <c r="R373" s="695"/>
      <c r="S373" s="695"/>
      <c r="T373" s="8"/>
      <c r="U373" s="8"/>
      <c r="V373" s="8"/>
      <c r="W373" s="8"/>
      <c r="X373" s="8"/>
      <c r="Y373" s="8"/>
      <c r="Z373" s="8"/>
      <c r="AA373" s="8"/>
      <c r="AB373" s="8"/>
    </row>
    <row r="374" ht="12.75" customHeight="1" spans="1:28" x14ac:dyDescent="0.25">
      <c r="A374" s="8"/>
      <c r="B374" s="8"/>
      <c r="C374" s="8"/>
      <c r="D374" s="8"/>
      <c r="E374" s="8"/>
      <c r="F374" s="8"/>
      <c r="G374" s="695"/>
      <c r="H374" s="695"/>
      <c r="I374" s="695"/>
      <c r="J374" s="695"/>
      <c r="K374" s="695"/>
      <c r="L374" s="695"/>
      <c r="M374" s="695"/>
      <c r="N374" s="695"/>
      <c r="O374" s="695"/>
      <c r="P374" s="695"/>
      <c r="Q374" s="695"/>
      <c r="R374" s="695"/>
      <c r="S374" s="695"/>
      <c r="T374" s="8"/>
      <c r="U374" s="8"/>
      <c r="V374" s="8"/>
      <c r="W374" s="8"/>
      <c r="X374" s="8"/>
      <c r="Y374" s="8"/>
      <c r="Z374" s="8"/>
      <c r="AA374" s="8"/>
      <c r="AB374" s="8"/>
    </row>
    <row r="375" ht="12.75" customHeight="1" spans="1:28" x14ac:dyDescent="0.25">
      <c r="A375" s="8"/>
      <c r="B375" s="8"/>
      <c r="C375" s="8"/>
      <c r="D375" s="8"/>
      <c r="E375" s="8"/>
      <c r="F375" s="8"/>
      <c r="G375" s="695"/>
      <c r="H375" s="695"/>
      <c r="I375" s="695"/>
      <c r="J375" s="695"/>
      <c r="K375" s="695"/>
      <c r="L375" s="695"/>
      <c r="M375" s="695"/>
      <c r="N375" s="695"/>
      <c r="O375" s="695"/>
      <c r="P375" s="695"/>
      <c r="Q375" s="695"/>
      <c r="R375" s="695"/>
      <c r="S375" s="695"/>
      <c r="T375" s="8"/>
      <c r="U375" s="8"/>
      <c r="V375" s="8"/>
      <c r="W375" s="8"/>
      <c r="X375" s="8"/>
      <c r="Y375" s="8"/>
      <c r="Z375" s="8"/>
      <c r="AA375" s="8"/>
      <c r="AB375" s="8"/>
    </row>
    <row r="376" ht="12.75" customHeight="1" spans="1:28" x14ac:dyDescent="0.25">
      <c r="A376" s="8"/>
      <c r="B376" s="8"/>
      <c r="C376" s="8"/>
      <c r="D376" s="8"/>
      <c r="E376" s="8"/>
      <c r="F376" s="8"/>
      <c r="G376" s="695"/>
      <c r="H376" s="695"/>
      <c r="I376" s="695"/>
      <c r="J376" s="695"/>
      <c r="K376" s="695"/>
      <c r="L376" s="695"/>
      <c r="M376" s="695"/>
      <c r="N376" s="695"/>
      <c r="O376" s="695"/>
      <c r="P376" s="695"/>
      <c r="Q376" s="695"/>
      <c r="R376" s="695"/>
      <c r="S376" s="695"/>
      <c r="T376" s="8"/>
      <c r="U376" s="8"/>
      <c r="V376" s="8"/>
      <c r="W376" s="8"/>
      <c r="X376" s="8"/>
      <c r="Y376" s="8"/>
      <c r="Z376" s="8"/>
      <c r="AA376" s="8"/>
      <c r="AB376" s="8"/>
    </row>
    <row r="377" ht="12.75" customHeight="1" spans="1:28" x14ac:dyDescent="0.25">
      <c r="A377" s="8"/>
      <c r="B377" s="8"/>
      <c r="C377" s="8"/>
      <c r="D377" s="8"/>
      <c r="E377" s="8"/>
      <c r="F377" s="8"/>
      <c r="G377" s="695"/>
      <c r="H377" s="695"/>
      <c r="I377" s="695"/>
      <c r="J377" s="695"/>
      <c r="K377" s="695"/>
      <c r="L377" s="695"/>
      <c r="M377" s="695"/>
      <c r="N377" s="695"/>
      <c r="O377" s="695"/>
      <c r="P377" s="695"/>
      <c r="Q377" s="695"/>
      <c r="R377" s="695"/>
      <c r="S377" s="695"/>
      <c r="T377" s="8"/>
      <c r="U377" s="8"/>
      <c r="V377" s="8"/>
      <c r="W377" s="8"/>
      <c r="X377" s="8"/>
      <c r="Y377" s="8"/>
      <c r="Z377" s="8"/>
      <c r="AA377" s="8"/>
      <c r="AB377" s="8"/>
    </row>
    <row r="378" ht="12.75" customHeight="1" spans="1:28" x14ac:dyDescent="0.25">
      <c r="A378" s="8"/>
      <c r="B378" s="8"/>
      <c r="C378" s="8"/>
      <c r="D378" s="8"/>
      <c r="E378" s="8"/>
      <c r="F378" s="8"/>
      <c r="G378" s="695"/>
      <c r="H378" s="695"/>
      <c r="I378" s="695"/>
      <c r="J378" s="695"/>
      <c r="K378" s="695"/>
      <c r="L378" s="695"/>
      <c r="M378" s="695"/>
      <c r="N378" s="695"/>
      <c r="O378" s="695"/>
      <c r="P378" s="695"/>
      <c r="Q378" s="695"/>
      <c r="R378" s="695"/>
      <c r="S378" s="695"/>
      <c r="T378" s="8"/>
      <c r="U378" s="8"/>
      <c r="V378" s="8"/>
      <c r="W378" s="8"/>
      <c r="X378" s="8"/>
      <c r="Y378" s="8"/>
      <c r="Z378" s="8"/>
      <c r="AA378" s="8"/>
      <c r="AB378" s="8"/>
    </row>
    <row r="379" ht="12.75" customHeight="1" spans="1:28" x14ac:dyDescent="0.25">
      <c r="A379" s="8"/>
      <c r="B379" s="8"/>
      <c r="C379" s="8"/>
      <c r="D379" s="8"/>
      <c r="E379" s="8"/>
      <c r="F379" s="8"/>
      <c r="G379" s="695"/>
      <c r="H379" s="695"/>
      <c r="I379" s="695"/>
      <c r="J379" s="695"/>
      <c r="K379" s="695"/>
      <c r="L379" s="695"/>
      <c r="M379" s="695"/>
      <c r="N379" s="695"/>
      <c r="O379" s="695"/>
      <c r="P379" s="695"/>
      <c r="Q379" s="695"/>
      <c r="R379" s="695"/>
      <c r="S379" s="695"/>
      <c r="T379" s="8"/>
      <c r="U379" s="8"/>
      <c r="V379" s="8"/>
      <c r="W379" s="8"/>
      <c r="X379" s="8"/>
      <c r="Y379" s="8"/>
      <c r="Z379" s="8"/>
      <c r="AA379" s="8"/>
      <c r="AB379" s="8"/>
    </row>
    <row r="380" ht="12.75" customHeight="1" spans="1:28" x14ac:dyDescent="0.25">
      <c r="A380" s="8"/>
      <c r="B380" s="8"/>
      <c r="C380" s="8"/>
      <c r="D380" s="8"/>
      <c r="E380" s="8"/>
      <c r="F380" s="8"/>
      <c r="G380" s="695"/>
      <c r="H380" s="695"/>
      <c r="I380" s="695"/>
      <c r="J380" s="695"/>
      <c r="K380" s="695"/>
      <c r="L380" s="695"/>
      <c r="M380" s="695"/>
      <c r="N380" s="695"/>
      <c r="O380" s="695"/>
      <c r="P380" s="695"/>
      <c r="Q380" s="695"/>
      <c r="R380" s="695"/>
      <c r="S380" s="695"/>
      <c r="T380" s="8"/>
      <c r="U380" s="8"/>
      <c r="V380" s="8"/>
      <c r="W380" s="8"/>
      <c r="X380" s="8"/>
      <c r="Y380" s="8"/>
      <c r="Z380" s="8"/>
      <c r="AA380" s="8"/>
      <c r="AB380" s="8"/>
    </row>
    <row r="381" ht="12.75" customHeight="1" spans="1:28" x14ac:dyDescent="0.25">
      <c r="A381" s="8"/>
      <c r="B381" s="8"/>
      <c r="C381" s="8"/>
      <c r="D381" s="8"/>
      <c r="E381" s="8"/>
      <c r="F381" s="8"/>
      <c r="G381" s="695"/>
      <c r="H381" s="695"/>
      <c r="I381" s="695"/>
      <c r="J381" s="695"/>
      <c r="K381" s="695"/>
      <c r="L381" s="695"/>
      <c r="M381" s="695"/>
      <c r="N381" s="695"/>
      <c r="O381" s="695"/>
      <c r="P381" s="695"/>
      <c r="Q381" s="695"/>
      <c r="R381" s="695"/>
      <c r="S381" s="695"/>
      <c r="T381" s="8"/>
      <c r="U381" s="8"/>
      <c r="V381" s="8"/>
      <c r="W381" s="8"/>
      <c r="X381" s="8"/>
      <c r="Y381" s="8"/>
      <c r="Z381" s="8"/>
      <c r="AA381" s="8"/>
      <c r="AB381" s="8"/>
    </row>
    <row r="382" ht="12.75" customHeight="1" spans="1:28" x14ac:dyDescent="0.25">
      <c r="A382" s="8"/>
      <c r="B382" s="8"/>
      <c r="C382" s="8"/>
      <c r="D382" s="8"/>
      <c r="E382" s="8"/>
      <c r="F382" s="8"/>
      <c r="G382" s="695"/>
      <c r="H382" s="695"/>
      <c r="I382" s="695"/>
      <c r="J382" s="695"/>
      <c r="K382" s="695"/>
      <c r="L382" s="695"/>
      <c r="M382" s="695"/>
      <c r="N382" s="695"/>
      <c r="O382" s="695"/>
      <c r="P382" s="695"/>
      <c r="Q382" s="695"/>
      <c r="R382" s="695"/>
      <c r="S382" s="695"/>
      <c r="T382" s="8"/>
      <c r="U382" s="8"/>
      <c r="V382" s="8"/>
      <c r="W382" s="8"/>
      <c r="X382" s="8"/>
      <c r="Y382" s="8"/>
      <c r="Z382" s="8"/>
      <c r="AA382" s="8"/>
      <c r="AB382" s="8"/>
    </row>
    <row r="383" ht="12.75" customHeight="1" spans="1:28" x14ac:dyDescent="0.25">
      <c r="A383" s="8"/>
      <c r="B383" s="8"/>
      <c r="C383" s="8"/>
      <c r="D383" s="8"/>
      <c r="E383" s="8"/>
      <c r="F383" s="8"/>
      <c r="G383" s="695"/>
      <c r="H383" s="695"/>
      <c r="I383" s="695"/>
      <c r="J383" s="695"/>
      <c r="K383" s="695"/>
      <c r="L383" s="695"/>
      <c r="M383" s="695"/>
      <c r="N383" s="695"/>
      <c r="O383" s="695"/>
      <c r="P383" s="695"/>
      <c r="Q383" s="695"/>
      <c r="R383" s="695"/>
      <c r="S383" s="695"/>
      <c r="T383" s="8"/>
      <c r="U383" s="8"/>
      <c r="V383" s="8"/>
      <c r="W383" s="8"/>
      <c r="X383" s="8"/>
      <c r="Y383" s="8"/>
      <c r="Z383" s="8"/>
      <c r="AA383" s="8"/>
      <c r="AB383" s="8"/>
    </row>
    <row r="384" ht="12.75" customHeight="1" spans="1:28" x14ac:dyDescent="0.25">
      <c r="A384" s="8"/>
      <c r="B384" s="8"/>
      <c r="C384" s="8"/>
      <c r="D384" s="8"/>
      <c r="E384" s="8"/>
      <c r="F384" s="8"/>
      <c r="G384" s="695"/>
      <c r="H384" s="695"/>
      <c r="I384" s="695"/>
      <c r="J384" s="695"/>
      <c r="K384" s="695"/>
      <c r="L384" s="695"/>
      <c r="M384" s="695"/>
      <c r="N384" s="695"/>
      <c r="O384" s="695"/>
      <c r="P384" s="695"/>
      <c r="Q384" s="695"/>
      <c r="R384" s="695"/>
      <c r="S384" s="695"/>
      <c r="T384" s="8"/>
      <c r="U384" s="8"/>
      <c r="V384" s="8"/>
      <c r="W384" s="8"/>
      <c r="X384" s="8"/>
      <c r="Y384" s="8"/>
      <c r="Z384" s="8"/>
      <c r="AA384" s="8"/>
      <c r="AB384" s="8"/>
    </row>
    <row r="385" ht="12.75" customHeight="1" spans="1:28" x14ac:dyDescent="0.25">
      <c r="A385" s="8"/>
      <c r="B385" s="8"/>
      <c r="C385" s="8"/>
      <c r="D385" s="8"/>
      <c r="E385" s="8"/>
      <c r="F385" s="8"/>
      <c r="G385" s="695"/>
      <c r="H385" s="695"/>
      <c r="I385" s="695"/>
      <c r="J385" s="695"/>
      <c r="K385" s="695"/>
      <c r="L385" s="695"/>
      <c r="M385" s="695"/>
      <c r="N385" s="695"/>
      <c r="O385" s="695"/>
      <c r="P385" s="695"/>
      <c r="Q385" s="695"/>
      <c r="R385" s="695"/>
      <c r="S385" s="695"/>
      <c r="T385" s="8"/>
      <c r="U385" s="8"/>
      <c r="V385" s="8"/>
      <c r="W385" s="8"/>
      <c r="X385" s="8"/>
      <c r="Y385" s="8"/>
      <c r="Z385" s="8"/>
      <c r="AA385" s="8"/>
      <c r="AB385" s="8"/>
    </row>
    <row r="386" ht="12.75" customHeight="1" spans="1:28" x14ac:dyDescent="0.25">
      <c r="A386" s="8"/>
      <c r="B386" s="8"/>
      <c r="C386" s="8"/>
      <c r="D386" s="8"/>
      <c r="E386" s="8"/>
      <c r="F386" s="8"/>
      <c r="G386" s="695"/>
      <c r="H386" s="695"/>
      <c r="I386" s="695"/>
      <c r="J386" s="695"/>
      <c r="K386" s="695"/>
      <c r="L386" s="695"/>
      <c r="M386" s="695"/>
      <c r="N386" s="695"/>
      <c r="O386" s="695"/>
      <c r="P386" s="695"/>
      <c r="Q386" s="695"/>
      <c r="R386" s="695"/>
      <c r="S386" s="695"/>
      <c r="T386" s="8"/>
      <c r="U386" s="8"/>
      <c r="V386" s="8"/>
      <c r="W386" s="8"/>
      <c r="X386" s="8"/>
      <c r="Y386" s="8"/>
      <c r="Z386" s="8"/>
      <c r="AA386" s="8"/>
      <c r="AB386" s="8"/>
    </row>
    <row r="387" ht="12.75" customHeight="1" spans="1:28" x14ac:dyDescent="0.25">
      <c r="A387" s="8"/>
      <c r="B387" s="8"/>
      <c r="C387" s="8"/>
      <c r="D387" s="8"/>
      <c r="E387" s="8"/>
      <c r="F387" s="8"/>
      <c r="G387" s="695"/>
      <c r="H387" s="695"/>
      <c r="I387" s="695"/>
      <c r="J387" s="695"/>
      <c r="K387" s="695"/>
      <c r="L387" s="695"/>
      <c r="M387" s="695"/>
      <c r="N387" s="695"/>
      <c r="O387" s="695"/>
      <c r="P387" s="695"/>
      <c r="Q387" s="695"/>
      <c r="R387" s="695"/>
      <c r="S387" s="695"/>
      <c r="T387" s="8"/>
      <c r="U387" s="8"/>
      <c r="V387" s="8"/>
      <c r="W387" s="8"/>
      <c r="X387" s="8"/>
      <c r="Y387" s="8"/>
      <c r="Z387" s="8"/>
      <c r="AA387" s="8"/>
      <c r="AB387" s="8"/>
    </row>
    <row r="388" ht="12.75" customHeight="1" spans="1:28" x14ac:dyDescent="0.25">
      <c r="A388" s="8"/>
      <c r="B388" s="8"/>
      <c r="C388" s="8"/>
      <c r="D388" s="8"/>
      <c r="E388" s="8"/>
      <c r="F388" s="8"/>
      <c r="G388" s="695"/>
      <c r="H388" s="695"/>
      <c r="I388" s="695"/>
      <c r="J388" s="695"/>
      <c r="K388" s="695"/>
      <c r="L388" s="695"/>
      <c r="M388" s="695"/>
      <c r="N388" s="695"/>
      <c r="O388" s="695"/>
      <c r="P388" s="695"/>
      <c r="Q388" s="695"/>
      <c r="R388" s="695"/>
      <c r="S388" s="695"/>
      <c r="T388" s="8"/>
      <c r="U388" s="8"/>
      <c r="V388" s="8"/>
      <c r="W388" s="8"/>
      <c r="X388" s="8"/>
      <c r="Y388" s="8"/>
      <c r="Z388" s="8"/>
      <c r="AA388" s="8"/>
      <c r="AB388" s="8"/>
    </row>
    <row r="389" ht="12.75" customHeight="1" spans="1:28" x14ac:dyDescent="0.25">
      <c r="A389" s="8"/>
      <c r="B389" s="8"/>
      <c r="C389" s="8"/>
      <c r="D389" s="8"/>
      <c r="E389" s="8"/>
      <c r="F389" s="8"/>
      <c r="G389" s="695"/>
      <c r="H389" s="695"/>
      <c r="I389" s="695"/>
      <c r="J389" s="695"/>
      <c r="K389" s="695"/>
      <c r="L389" s="695"/>
      <c r="M389" s="695"/>
      <c r="N389" s="695"/>
      <c r="O389" s="695"/>
      <c r="P389" s="695"/>
      <c r="Q389" s="695"/>
      <c r="R389" s="695"/>
      <c r="S389" s="695"/>
      <c r="T389" s="8"/>
      <c r="U389" s="8"/>
      <c r="V389" s="8"/>
      <c r="W389" s="8"/>
      <c r="X389" s="8"/>
      <c r="Y389" s="8"/>
      <c r="Z389" s="8"/>
      <c r="AA389" s="8"/>
      <c r="AB389" s="8"/>
    </row>
    <row r="390" ht="12.75" customHeight="1" spans="1:28" x14ac:dyDescent="0.25">
      <c r="A390" s="8"/>
      <c r="B390" s="8"/>
      <c r="C390" s="8"/>
      <c r="D390" s="8"/>
      <c r="E390" s="8"/>
      <c r="F390" s="8"/>
      <c r="G390" s="695"/>
      <c r="H390" s="695"/>
      <c r="I390" s="695"/>
      <c r="J390" s="695"/>
      <c r="K390" s="695"/>
      <c r="L390" s="695"/>
      <c r="M390" s="695"/>
      <c r="N390" s="695"/>
      <c r="O390" s="695"/>
      <c r="P390" s="695"/>
      <c r="Q390" s="695"/>
      <c r="R390" s="695"/>
      <c r="S390" s="695"/>
      <c r="T390" s="8"/>
      <c r="U390" s="8"/>
      <c r="V390" s="8"/>
      <c r="W390" s="8"/>
      <c r="X390" s="8"/>
      <c r="Y390" s="8"/>
      <c r="Z390" s="8"/>
      <c r="AA390" s="8"/>
      <c r="AB390" s="8"/>
    </row>
    <row r="391" ht="12.75" customHeight="1" spans="1:28" x14ac:dyDescent="0.25">
      <c r="A391" s="8"/>
      <c r="B391" s="8"/>
      <c r="C391" s="8"/>
      <c r="D391" s="8"/>
      <c r="E391" s="8"/>
      <c r="F391" s="8"/>
      <c r="G391" s="695"/>
      <c r="H391" s="695"/>
      <c r="I391" s="695"/>
      <c r="J391" s="695"/>
      <c r="K391" s="695"/>
      <c r="L391" s="695"/>
      <c r="M391" s="695"/>
      <c r="N391" s="695"/>
      <c r="O391" s="695"/>
      <c r="P391" s="695"/>
      <c r="Q391" s="695"/>
      <c r="R391" s="695"/>
      <c r="S391" s="695"/>
      <c r="T391" s="8"/>
      <c r="U391" s="8"/>
      <c r="V391" s="8"/>
      <c r="W391" s="8"/>
      <c r="X391" s="8"/>
      <c r="Y391" s="8"/>
      <c r="Z391" s="8"/>
      <c r="AA391" s="8"/>
      <c r="AB391" s="8"/>
    </row>
    <row r="392" ht="12.75" customHeight="1" spans="1:28" x14ac:dyDescent="0.25">
      <c r="A392" s="8"/>
      <c r="B392" s="8"/>
      <c r="C392" s="8"/>
      <c r="D392" s="8"/>
      <c r="E392" s="8"/>
      <c r="F392" s="8"/>
      <c r="G392" s="695"/>
      <c r="H392" s="695"/>
      <c r="I392" s="695"/>
      <c r="J392" s="695"/>
      <c r="K392" s="695"/>
      <c r="L392" s="695"/>
      <c r="M392" s="695"/>
      <c r="N392" s="695"/>
      <c r="O392" s="695"/>
      <c r="P392" s="695"/>
      <c r="Q392" s="695"/>
      <c r="R392" s="695"/>
      <c r="S392" s="695"/>
      <c r="T392" s="8"/>
      <c r="U392" s="8"/>
      <c r="V392" s="8"/>
      <c r="W392" s="8"/>
      <c r="X392" s="8"/>
      <c r="Y392" s="8"/>
      <c r="Z392" s="8"/>
      <c r="AA392" s="8"/>
      <c r="AB392" s="8"/>
    </row>
    <row r="393" ht="12.75" customHeight="1" spans="1:28" x14ac:dyDescent="0.25">
      <c r="A393" s="8"/>
      <c r="B393" s="8"/>
      <c r="C393" s="8"/>
      <c r="D393" s="8"/>
      <c r="E393" s="8"/>
      <c r="F393" s="8"/>
      <c r="G393" s="695"/>
      <c r="H393" s="695"/>
      <c r="I393" s="695"/>
      <c r="J393" s="695"/>
      <c r="K393" s="695"/>
      <c r="L393" s="695"/>
      <c r="M393" s="695"/>
      <c r="N393" s="695"/>
      <c r="O393" s="695"/>
      <c r="P393" s="695"/>
      <c r="Q393" s="695"/>
      <c r="R393" s="695"/>
      <c r="S393" s="695"/>
      <c r="T393" s="8"/>
      <c r="U393" s="8"/>
      <c r="V393" s="8"/>
      <c r="W393" s="8"/>
      <c r="X393" s="8"/>
      <c r="Y393" s="8"/>
      <c r="Z393" s="8"/>
      <c r="AA393" s="8"/>
      <c r="AB393" s="8"/>
    </row>
    <row r="394" ht="12.75" customHeight="1" spans="1:28" x14ac:dyDescent="0.25">
      <c r="A394" s="8"/>
      <c r="B394" s="8"/>
      <c r="C394" s="8"/>
      <c r="D394" s="8"/>
      <c r="E394" s="8"/>
      <c r="F394" s="8"/>
      <c r="G394" s="695"/>
      <c r="H394" s="695"/>
      <c r="I394" s="695"/>
      <c r="J394" s="695"/>
      <c r="K394" s="695"/>
      <c r="L394" s="695"/>
      <c r="M394" s="695"/>
      <c r="N394" s="695"/>
      <c r="O394" s="695"/>
      <c r="P394" s="695"/>
      <c r="Q394" s="695"/>
      <c r="R394" s="695"/>
      <c r="S394" s="695"/>
      <c r="T394" s="8"/>
      <c r="U394" s="8"/>
      <c r="V394" s="8"/>
      <c r="W394" s="8"/>
      <c r="X394" s="8"/>
      <c r="Y394" s="8"/>
      <c r="Z394" s="8"/>
      <c r="AA394" s="8"/>
      <c r="AB394" s="8"/>
    </row>
    <row r="395" ht="12.75" customHeight="1" spans="1:28" x14ac:dyDescent="0.25">
      <c r="A395" s="8"/>
      <c r="B395" s="8"/>
      <c r="C395" s="8"/>
      <c r="D395" s="8"/>
      <c r="E395" s="8"/>
      <c r="F395" s="8"/>
      <c r="G395" s="695"/>
      <c r="H395" s="695"/>
      <c r="I395" s="695"/>
      <c r="J395" s="695"/>
      <c r="K395" s="695"/>
      <c r="L395" s="695"/>
      <c r="M395" s="695"/>
      <c r="N395" s="695"/>
      <c r="O395" s="695"/>
      <c r="P395" s="695"/>
      <c r="Q395" s="695"/>
      <c r="R395" s="695"/>
      <c r="S395" s="695"/>
      <c r="T395" s="8"/>
      <c r="U395" s="8"/>
      <c r="V395" s="8"/>
      <c r="W395" s="8"/>
      <c r="X395" s="8"/>
      <c r="Y395" s="8"/>
      <c r="Z395" s="8"/>
      <c r="AA395" s="8"/>
      <c r="AB395" s="8"/>
    </row>
    <row r="396" ht="12.75" customHeight="1" spans="1:28" x14ac:dyDescent="0.25">
      <c r="A396" s="8"/>
      <c r="B396" s="8"/>
      <c r="C396" s="8"/>
      <c r="D396" s="8"/>
      <c r="E396" s="8"/>
      <c r="F396" s="8"/>
      <c r="G396" s="695"/>
      <c r="H396" s="695"/>
      <c r="I396" s="695"/>
      <c r="J396" s="695"/>
      <c r="K396" s="695"/>
      <c r="L396" s="695"/>
      <c r="M396" s="695"/>
      <c r="N396" s="695"/>
      <c r="O396" s="695"/>
      <c r="P396" s="695"/>
      <c r="Q396" s="695"/>
      <c r="R396" s="695"/>
      <c r="S396" s="695"/>
      <c r="T396" s="8"/>
      <c r="U396" s="8"/>
      <c r="V396" s="8"/>
      <c r="W396" s="8"/>
      <c r="X396" s="8"/>
      <c r="Y396" s="8"/>
      <c r="Z396" s="8"/>
      <c r="AA396" s="8"/>
      <c r="AB396" s="8"/>
    </row>
    <row r="397" ht="12.75" customHeight="1" spans="1:28" x14ac:dyDescent="0.25">
      <c r="A397" s="8"/>
      <c r="B397" s="8"/>
      <c r="C397" s="8"/>
      <c r="D397" s="8"/>
      <c r="E397" s="8"/>
      <c r="F397" s="8"/>
      <c r="G397" s="695"/>
      <c r="H397" s="695"/>
      <c r="I397" s="695"/>
      <c r="J397" s="695"/>
      <c r="K397" s="695"/>
      <c r="L397" s="695"/>
      <c r="M397" s="695"/>
      <c r="N397" s="695"/>
      <c r="O397" s="695"/>
      <c r="P397" s="695"/>
      <c r="Q397" s="695"/>
      <c r="R397" s="695"/>
      <c r="S397" s="695"/>
      <c r="T397" s="8"/>
      <c r="U397" s="8"/>
      <c r="V397" s="8"/>
      <c r="W397" s="8"/>
      <c r="X397" s="8"/>
      <c r="Y397" s="8"/>
      <c r="Z397" s="8"/>
      <c r="AA397" s="8"/>
      <c r="AB397" s="8"/>
    </row>
    <row r="398" ht="12.75" customHeight="1" spans="1:28" x14ac:dyDescent="0.25">
      <c r="A398" s="8"/>
      <c r="B398" s="8"/>
      <c r="C398" s="8"/>
      <c r="D398" s="8"/>
      <c r="E398" s="8"/>
      <c r="F398" s="8"/>
      <c r="G398" s="695"/>
      <c r="H398" s="695"/>
      <c r="I398" s="695"/>
      <c r="J398" s="695"/>
      <c r="K398" s="695"/>
      <c r="L398" s="695"/>
      <c r="M398" s="695"/>
      <c r="N398" s="695"/>
      <c r="O398" s="695"/>
      <c r="P398" s="695"/>
      <c r="Q398" s="695"/>
      <c r="R398" s="695"/>
      <c r="S398" s="695"/>
      <c r="T398" s="8"/>
      <c r="U398" s="8"/>
      <c r="V398" s="8"/>
      <c r="W398" s="8"/>
      <c r="X398" s="8"/>
      <c r="Y398" s="8"/>
      <c r="Z398" s="8"/>
      <c r="AA398" s="8"/>
      <c r="AB398" s="8"/>
    </row>
    <row r="399" ht="12.75" customHeight="1" spans="1:28" x14ac:dyDescent="0.25">
      <c r="A399" s="8"/>
      <c r="B399" s="8"/>
      <c r="C399" s="8"/>
      <c r="D399" s="8"/>
      <c r="E399" s="8"/>
      <c r="F399" s="8"/>
      <c r="G399" s="695"/>
      <c r="H399" s="695"/>
      <c r="I399" s="695"/>
      <c r="J399" s="695"/>
      <c r="K399" s="695"/>
      <c r="L399" s="695"/>
      <c r="M399" s="695"/>
      <c r="N399" s="695"/>
      <c r="O399" s="695"/>
      <c r="P399" s="695"/>
      <c r="Q399" s="695"/>
      <c r="R399" s="695"/>
      <c r="S399" s="695"/>
      <c r="T399" s="8"/>
      <c r="U399" s="8"/>
      <c r="V399" s="8"/>
      <c r="W399" s="8"/>
      <c r="X399" s="8"/>
      <c r="Y399" s="8"/>
      <c r="Z399" s="8"/>
      <c r="AA399" s="8"/>
      <c r="AB399" s="8"/>
    </row>
    <row r="400" ht="12.75" customHeight="1" spans="1:28" x14ac:dyDescent="0.25">
      <c r="A400" s="8"/>
      <c r="B400" s="8"/>
      <c r="C400" s="8"/>
      <c r="D400" s="8"/>
      <c r="E400" s="8"/>
      <c r="F400" s="8"/>
      <c r="G400" s="695"/>
      <c r="H400" s="695"/>
      <c r="I400" s="695"/>
      <c r="J400" s="695"/>
      <c r="K400" s="695"/>
      <c r="L400" s="695"/>
      <c r="M400" s="695"/>
      <c r="N400" s="695"/>
      <c r="O400" s="695"/>
      <c r="P400" s="695"/>
      <c r="Q400" s="695"/>
      <c r="R400" s="695"/>
      <c r="S400" s="695"/>
      <c r="T400" s="8"/>
      <c r="U400" s="8"/>
      <c r="V400" s="8"/>
      <c r="W400" s="8"/>
      <c r="X400" s="8"/>
      <c r="Y400" s="8"/>
      <c r="Z400" s="8"/>
      <c r="AA400" s="8"/>
      <c r="AB400" s="8"/>
    </row>
    <row r="401" ht="12.75" customHeight="1" spans="1:28" x14ac:dyDescent="0.25">
      <c r="A401" s="8"/>
      <c r="B401" s="8"/>
      <c r="C401" s="8"/>
      <c r="D401" s="8"/>
      <c r="E401" s="8"/>
      <c r="F401" s="8"/>
      <c r="G401" s="695"/>
      <c r="H401" s="695"/>
      <c r="I401" s="695"/>
      <c r="J401" s="695"/>
      <c r="K401" s="695"/>
      <c r="L401" s="695"/>
      <c r="M401" s="695"/>
      <c r="N401" s="695"/>
      <c r="O401" s="695"/>
      <c r="P401" s="695"/>
      <c r="Q401" s="695"/>
      <c r="R401" s="695"/>
      <c r="S401" s="695"/>
      <c r="T401" s="8"/>
      <c r="U401" s="8"/>
      <c r="V401" s="8"/>
      <c r="W401" s="8"/>
      <c r="X401" s="8"/>
      <c r="Y401" s="8"/>
      <c r="Z401" s="8"/>
      <c r="AA401" s="8"/>
      <c r="AB401" s="8"/>
    </row>
    <row r="402" ht="12.75" customHeight="1" spans="1:28" x14ac:dyDescent="0.25">
      <c r="A402" s="8"/>
      <c r="B402" s="8"/>
      <c r="C402" s="8"/>
      <c r="D402" s="8"/>
      <c r="E402" s="8"/>
      <c r="F402" s="8"/>
      <c r="G402" s="695"/>
      <c r="H402" s="695"/>
      <c r="I402" s="695"/>
      <c r="J402" s="695"/>
      <c r="K402" s="695"/>
      <c r="L402" s="695"/>
      <c r="M402" s="695"/>
      <c r="N402" s="695"/>
      <c r="O402" s="695"/>
      <c r="P402" s="695"/>
      <c r="Q402" s="695"/>
      <c r="R402" s="695"/>
      <c r="S402" s="695"/>
      <c r="T402" s="8"/>
      <c r="U402" s="8"/>
      <c r="V402" s="8"/>
      <c r="W402" s="8"/>
      <c r="X402" s="8"/>
      <c r="Y402" s="8"/>
      <c r="Z402" s="8"/>
      <c r="AA402" s="8"/>
      <c r="AB402" s="8"/>
    </row>
    <row r="403" ht="12.75" customHeight="1" spans="1:28" x14ac:dyDescent="0.25">
      <c r="A403" s="8"/>
      <c r="B403" s="8"/>
      <c r="C403" s="8"/>
      <c r="D403" s="8"/>
      <c r="E403" s="8"/>
      <c r="F403" s="8"/>
      <c r="G403" s="695"/>
      <c r="H403" s="695"/>
      <c r="I403" s="695"/>
      <c r="J403" s="695"/>
      <c r="K403" s="695"/>
      <c r="L403" s="695"/>
      <c r="M403" s="695"/>
      <c r="N403" s="695"/>
      <c r="O403" s="695"/>
      <c r="P403" s="695"/>
      <c r="Q403" s="695"/>
      <c r="R403" s="695"/>
      <c r="S403" s="695"/>
      <c r="T403" s="8"/>
      <c r="U403" s="8"/>
      <c r="V403" s="8"/>
      <c r="W403" s="8"/>
      <c r="X403" s="8"/>
      <c r="Y403" s="8"/>
      <c r="Z403" s="8"/>
      <c r="AA403" s="8"/>
      <c r="AB403" s="8"/>
    </row>
    <row r="404" ht="12.75" customHeight="1" spans="1:28" x14ac:dyDescent="0.25">
      <c r="A404" s="8"/>
      <c r="B404" s="8"/>
      <c r="C404" s="8"/>
      <c r="D404" s="8"/>
      <c r="E404" s="8"/>
      <c r="F404" s="8"/>
      <c r="G404" s="695"/>
      <c r="H404" s="695"/>
      <c r="I404" s="695"/>
      <c r="J404" s="695"/>
      <c r="K404" s="695"/>
      <c r="L404" s="695"/>
      <c r="M404" s="695"/>
      <c r="N404" s="695"/>
      <c r="O404" s="695"/>
      <c r="P404" s="695"/>
      <c r="Q404" s="695"/>
      <c r="R404" s="695"/>
      <c r="S404" s="695"/>
      <c r="T404" s="8"/>
      <c r="U404" s="8"/>
      <c r="V404" s="8"/>
      <c r="W404" s="8"/>
      <c r="X404" s="8"/>
      <c r="Y404" s="8"/>
      <c r="Z404" s="8"/>
      <c r="AA404" s="8"/>
      <c r="AB404" s="8"/>
    </row>
    <row r="405" ht="12.75" customHeight="1" spans="1:28" x14ac:dyDescent="0.25">
      <c r="A405" s="8"/>
      <c r="B405" s="8"/>
      <c r="C405" s="8"/>
      <c r="D405" s="8"/>
      <c r="E405" s="8"/>
      <c r="F405" s="8"/>
      <c r="G405" s="695"/>
      <c r="H405" s="695"/>
      <c r="I405" s="695"/>
      <c r="J405" s="695"/>
      <c r="K405" s="695"/>
      <c r="L405" s="695"/>
      <c r="M405" s="695"/>
      <c r="N405" s="695"/>
      <c r="O405" s="695"/>
      <c r="P405" s="695"/>
      <c r="Q405" s="695"/>
      <c r="R405" s="695"/>
      <c r="S405" s="695"/>
      <c r="T405" s="8"/>
      <c r="U405" s="8"/>
      <c r="V405" s="8"/>
      <c r="W405" s="8"/>
      <c r="X405" s="8"/>
      <c r="Y405" s="8"/>
      <c r="Z405" s="8"/>
      <c r="AA405" s="8"/>
      <c r="AB405" s="8"/>
    </row>
    <row r="406" ht="12.75" customHeight="1" spans="1:28" x14ac:dyDescent="0.25">
      <c r="A406" s="8"/>
      <c r="B406" s="8"/>
      <c r="C406" s="8"/>
      <c r="D406" s="8"/>
      <c r="E406" s="8"/>
      <c r="F406" s="8"/>
      <c r="G406" s="695"/>
      <c r="H406" s="695"/>
      <c r="I406" s="695"/>
      <c r="J406" s="695"/>
      <c r="K406" s="695"/>
      <c r="L406" s="695"/>
      <c r="M406" s="695"/>
      <c r="N406" s="695"/>
      <c r="O406" s="695"/>
      <c r="P406" s="695"/>
      <c r="Q406" s="695"/>
      <c r="R406" s="695"/>
      <c r="S406" s="695"/>
      <c r="T406" s="8"/>
      <c r="U406" s="8"/>
      <c r="V406" s="8"/>
      <c r="W406" s="8"/>
      <c r="X406" s="8"/>
      <c r="Y406" s="8"/>
      <c r="Z406" s="8"/>
      <c r="AA406" s="8"/>
      <c r="AB406" s="8"/>
    </row>
    <row r="407" ht="12.75" customHeight="1" spans="1:28" x14ac:dyDescent="0.25">
      <c r="A407" s="8"/>
      <c r="B407" s="8"/>
      <c r="C407" s="8"/>
      <c r="D407" s="8"/>
      <c r="E407" s="8"/>
      <c r="F407" s="8"/>
      <c r="G407" s="695"/>
      <c r="H407" s="695"/>
      <c r="I407" s="695"/>
      <c r="J407" s="695"/>
      <c r="K407" s="695"/>
      <c r="L407" s="695"/>
      <c r="M407" s="695"/>
      <c r="N407" s="695"/>
      <c r="O407" s="695"/>
      <c r="P407" s="695"/>
      <c r="Q407" s="695"/>
      <c r="R407" s="695"/>
      <c r="S407" s="695"/>
      <c r="T407" s="8"/>
      <c r="U407" s="8"/>
      <c r="V407" s="8"/>
      <c r="W407" s="8"/>
      <c r="X407" s="8"/>
      <c r="Y407" s="8"/>
      <c r="Z407" s="8"/>
      <c r="AA407" s="8"/>
      <c r="AB407" s="8"/>
    </row>
    <row r="408" ht="12.75" customHeight="1" spans="1:28" x14ac:dyDescent="0.25">
      <c r="A408" s="8"/>
      <c r="B408" s="8"/>
      <c r="C408" s="8"/>
      <c r="D408" s="8"/>
      <c r="E408" s="8"/>
      <c r="F408" s="8"/>
      <c r="G408" s="695"/>
      <c r="H408" s="695"/>
      <c r="I408" s="695"/>
      <c r="J408" s="695"/>
      <c r="K408" s="695"/>
      <c r="L408" s="695"/>
      <c r="M408" s="695"/>
      <c r="N408" s="695"/>
      <c r="O408" s="695"/>
      <c r="P408" s="695"/>
      <c r="Q408" s="695"/>
      <c r="R408" s="695"/>
      <c r="S408" s="695"/>
      <c r="T408" s="8"/>
      <c r="U408" s="8"/>
      <c r="V408" s="8"/>
      <c r="W408" s="8"/>
      <c r="X408" s="8"/>
      <c r="Y408" s="8"/>
      <c r="Z408" s="8"/>
      <c r="AA408" s="8"/>
      <c r="AB408" s="8"/>
    </row>
    <row r="409" ht="12.75" customHeight="1" spans="1:28" x14ac:dyDescent="0.25">
      <c r="A409" s="8"/>
      <c r="B409" s="8"/>
      <c r="C409" s="8"/>
      <c r="D409" s="8"/>
      <c r="E409" s="8"/>
      <c r="F409" s="8"/>
      <c r="G409" s="695"/>
      <c r="H409" s="695"/>
      <c r="I409" s="695"/>
      <c r="J409" s="695"/>
      <c r="K409" s="695"/>
      <c r="L409" s="695"/>
      <c r="M409" s="695"/>
      <c r="N409" s="695"/>
      <c r="O409" s="695"/>
      <c r="P409" s="695"/>
      <c r="Q409" s="695"/>
      <c r="R409" s="695"/>
      <c r="S409" s="695"/>
      <c r="T409" s="8"/>
      <c r="U409" s="8"/>
      <c r="V409" s="8"/>
      <c r="W409" s="8"/>
      <c r="X409" s="8"/>
      <c r="Y409" s="8"/>
      <c r="Z409" s="8"/>
      <c r="AA409" s="8"/>
      <c r="AB409" s="8"/>
    </row>
    <row r="410" ht="12.75" customHeight="1" spans="1:28" x14ac:dyDescent="0.25">
      <c r="A410" s="8"/>
      <c r="B410" s="8"/>
      <c r="C410" s="8"/>
      <c r="D410" s="8"/>
      <c r="E410" s="8"/>
      <c r="F410" s="8"/>
      <c r="G410" s="695"/>
      <c r="H410" s="695"/>
      <c r="I410" s="695"/>
      <c r="J410" s="695"/>
      <c r="K410" s="695"/>
      <c r="L410" s="695"/>
      <c r="M410" s="695"/>
      <c r="N410" s="695"/>
      <c r="O410" s="695"/>
      <c r="P410" s="695"/>
      <c r="Q410" s="695"/>
      <c r="R410" s="695"/>
      <c r="S410" s="695"/>
      <c r="T410" s="8"/>
      <c r="U410" s="8"/>
      <c r="V410" s="8"/>
      <c r="W410" s="8"/>
      <c r="X410" s="8"/>
      <c r="Y410" s="8"/>
      <c r="Z410" s="8"/>
      <c r="AA410" s="8"/>
      <c r="AB410" s="8"/>
    </row>
    <row r="411" ht="12.75" customHeight="1" spans="1:28" x14ac:dyDescent="0.25">
      <c r="A411" s="8"/>
      <c r="B411" s="8"/>
      <c r="C411" s="8"/>
      <c r="D411" s="8"/>
      <c r="E411" s="8"/>
      <c r="F411" s="8"/>
      <c r="G411" s="695"/>
      <c r="H411" s="695"/>
      <c r="I411" s="695"/>
      <c r="J411" s="695"/>
      <c r="K411" s="695"/>
      <c r="L411" s="695"/>
      <c r="M411" s="695"/>
      <c r="N411" s="695"/>
      <c r="O411" s="695"/>
      <c r="P411" s="695"/>
      <c r="Q411" s="695"/>
      <c r="R411" s="695"/>
      <c r="S411" s="695"/>
      <c r="T411" s="8"/>
      <c r="U411" s="8"/>
      <c r="V411" s="8"/>
      <c r="W411" s="8"/>
      <c r="X411" s="8"/>
      <c r="Y411" s="8"/>
      <c r="Z411" s="8"/>
      <c r="AA411" s="8"/>
      <c r="AB411" s="8"/>
    </row>
    <row r="412" ht="12.75" customHeight="1" spans="1:28" x14ac:dyDescent="0.25">
      <c r="A412" s="8"/>
      <c r="B412" s="8"/>
      <c r="C412" s="8"/>
      <c r="D412" s="8"/>
      <c r="E412" s="8"/>
      <c r="F412" s="8"/>
      <c r="G412" s="695"/>
      <c r="H412" s="695"/>
      <c r="I412" s="695"/>
      <c r="J412" s="695"/>
      <c r="K412" s="695"/>
      <c r="L412" s="695"/>
      <c r="M412" s="695"/>
      <c r="N412" s="695"/>
      <c r="O412" s="695"/>
      <c r="P412" s="695"/>
      <c r="Q412" s="695"/>
      <c r="R412" s="695"/>
      <c r="S412" s="695"/>
      <c r="T412" s="8"/>
      <c r="U412" s="8"/>
      <c r="V412" s="8"/>
      <c r="W412" s="8"/>
      <c r="X412" s="8"/>
      <c r="Y412" s="8"/>
      <c r="Z412" s="8"/>
      <c r="AA412" s="8"/>
      <c r="AB412" s="8"/>
    </row>
    <row r="413" ht="12.75" customHeight="1" spans="1:28" x14ac:dyDescent="0.25">
      <c r="A413" s="8"/>
      <c r="B413" s="8"/>
      <c r="C413" s="8"/>
      <c r="D413" s="8"/>
      <c r="E413" s="8"/>
      <c r="F413" s="8"/>
      <c r="G413" s="695"/>
      <c r="H413" s="695"/>
      <c r="I413" s="695"/>
      <c r="J413" s="695"/>
      <c r="K413" s="695"/>
      <c r="L413" s="695"/>
      <c r="M413" s="695"/>
      <c r="N413" s="695"/>
      <c r="O413" s="695"/>
      <c r="P413" s="695"/>
      <c r="Q413" s="695"/>
      <c r="R413" s="695"/>
      <c r="S413" s="695"/>
      <c r="T413" s="8"/>
      <c r="U413" s="8"/>
      <c r="V413" s="8"/>
      <c r="W413" s="8"/>
      <c r="X413" s="8"/>
      <c r="Y413" s="8"/>
      <c r="Z413" s="8"/>
      <c r="AA413" s="8"/>
      <c r="AB413" s="8"/>
    </row>
    <row r="414" ht="12.75" customHeight="1" spans="1:28" x14ac:dyDescent="0.25">
      <c r="A414" s="8"/>
      <c r="B414" s="8"/>
      <c r="C414" s="8"/>
      <c r="D414" s="8"/>
      <c r="E414" s="8"/>
      <c r="F414" s="8"/>
      <c r="G414" s="695"/>
      <c r="H414" s="695"/>
      <c r="I414" s="695"/>
      <c r="J414" s="695"/>
      <c r="K414" s="695"/>
      <c r="L414" s="695"/>
      <c r="M414" s="695"/>
      <c r="N414" s="695"/>
      <c r="O414" s="695"/>
      <c r="P414" s="695"/>
      <c r="Q414" s="695"/>
      <c r="R414" s="695"/>
      <c r="S414" s="695"/>
      <c r="T414" s="8"/>
      <c r="U414" s="8"/>
      <c r="V414" s="8"/>
      <c r="W414" s="8"/>
      <c r="X414" s="8"/>
      <c r="Y414" s="8"/>
      <c r="Z414" s="8"/>
      <c r="AA414" s="8"/>
      <c r="AB414" s="8"/>
    </row>
    <row r="415" ht="12.75" customHeight="1" spans="1:28" x14ac:dyDescent="0.25">
      <c r="A415" s="8"/>
      <c r="B415" s="8"/>
      <c r="C415" s="8"/>
      <c r="D415" s="8"/>
      <c r="E415" s="8"/>
      <c r="F415" s="8"/>
      <c r="G415" s="695"/>
      <c r="H415" s="695"/>
      <c r="I415" s="695"/>
      <c r="J415" s="695"/>
      <c r="K415" s="695"/>
      <c r="L415" s="695"/>
      <c r="M415" s="695"/>
      <c r="N415" s="695"/>
      <c r="O415" s="695"/>
      <c r="P415" s="695"/>
      <c r="Q415" s="695"/>
      <c r="R415" s="695"/>
      <c r="S415" s="695"/>
      <c r="T415" s="8"/>
      <c r="U415" s="8"/>
      <c r="V415" s="8"/>
      <c r="W415" s="8"/>
      <c r="X415" s="8"/>
      <c r="Y415" s="8"/>
      <c r="Z415" s="8"/>
      <c r="AA415" s="8"/>
      <c r="AB415" s="8"/>
    </row>
    <row r="416" ht="12.75" customHeight="1" spans="1:28" x14ac:dyDescent="0.25">
      <c r="A416" s="8"/>
      <c r="B416" s="8"/>
      <c r="C416" s="8"/>
      <c r="D416" s="8"/>
      <c r="E416" s="8"/>
      <c r="F416" s="8"/>
      <c r="G416" s="695"/>
      <c r="H416" s="695"/>
      <c r="I416" s="695"/>
      <c r="J416" s="695"/>
      <c r="K416" s="695"/>
      <c r="L416" s="695"/>
      <c r="M416" s="695"/>
      <c r="N416" s="695"/>
      <c r="O416" s="695"/>
      <c r="P416" s="695"/>
      <c r="Q416" s="695"/>
      <c r="R416" s="695"/>
      <c r="S416" s="695"/>
      <c r="T416" s="8"/>
      <c r="U416" s="8"/>
      <c r="V416" s="8"/>
      <c r="W416" s="8"/>
      <c r="X416" s="8"/>
      <c r="Y416" s="8"/>
      <c r="Z416" s="8"/>
      <c r="AA416" s="8"/>
      <c r="AB416" s="8"/>
    </row>
    <row r="417" ht="12.75" customHeight="1" spans="1:28" x14ac:dyDescent="0.25">
      <c r="A417" s="8"/>
      <c r="B417" s="8"/>
      <c r="C417" s="8"/>
      <c r="D417" s="8"/>
      <c r="E417" s="8"/>
      <c r="F417" s="8"/>
      <c r="G417" s="695"/>
      <c r="H417" s="695"/>
      <c r="I417" s="695"/>
      <c r="J417" s="695"/>
      <c r="K417" s="695"/>
      <c r="L417" s="695"/>
      <c r="M417" s="695"/>
      <c r="N417" s="695"/>
      <c r="O417" s="695"/>
      <c r="P417" s="695"/>
      <c r="Q417" s="695"/>
      <c r="R417" s="695"/>
      <c r="S417" s="695"/>
      <c r="T417" s="8"/>
      <c r="U417" s="8"/>
      <c r="V417" s="8"/>
      <c r="W417" s="8"/>
      <c r="X417" s="8"/>
      <c r="Y417" s="8"/>
      <c r="Z417" s="8"/>
      <c r="AA417" s="8"/>
      <c r="AB417" s="8"/>
    </row>
    <row r="418" ht="12.75" customHeight="1" spans="1:28" x14ac:dyDescent="0.25">
      <c r="A418" s="8"/>
      <c r="B418" s="8"/>
      <c r="C418" s="8"/>
      <c r="D418" s="8"/>
      <c r="E418" s="8"/>
      <c r="F418" s="8"/>
      <c r="G418" s="695"/>
      <c r="H418" s="695"/>
      <c r="I418" s="695"/>
      <c r="J418" s="695"/>
      <c r="K418" s="695"/>
      <c r="L418" s="695"/>
      <c r="M418" s="695"/>
      <c r="N418" s="695"/>
      <c r="O418" s="695"/>
      <c r="P418" s="695"/>
      <c r="Q418" s="695"/>
      <c r="R418" s="695"/>
      <c r="S418" s="695"/>
      <c r="T418" s="8"/>
      <c r="U418" s="8"/>
      <c r="V418" s="8"/>
      <c r="W418" s="8"/>
      <c r="X418" s="8"/>
      <c r="Y418" s="8"/>
      <c r="Z418" s="8"/>
      <c r="AA418" s="8"/>
      <c r="AB418" s="8"/>
    </row>
    <row r="419" ht="12.75" customHeight="1" spans="1:28" x14ac:dyDescent="0.25">
      <c r="A419" s="8"/>
      <c r="B419" s="8"/>
      <c r="C419" s="8"/>
      <c r="D419" s="8"/>
      <c r="E419" s="8"/>
      <c r="F419" s="8"/>
      <c r="G419" s="695"/>
      <c r="H419" s="695"/>
      <c r="I419" s="695"/>
      <c r="J419" s="695"/>
      <c r="K419" s="695"/>
      <c r="L419" s="695"/>
      <c r="M419" s="695"/>
      <c r="N419" s="695"/>
      <c r="O419" s="695"/>
      <c r="P419" s="695"/>
      <c r="Q419" s="695"/>
      <c r="R419" s="695"/>
      <c r="S419" s="695"/>
      <c r="T419" s="8"/>
      <c r="U419" s="8"/>
      <c r="V419" s="8"/>
      <c r="W419" s="8"/>
      <c r="X419" s="8"/>
      <c r="Y419" s="8"/>
      <c r="Z419" s="8"/>
      <c r="AA419" s="8"/>
      <c r="AB419" s="8"/>
    </row>
    <row r="420" ht="12.75" customHeight="1" spans="1:28" x14ac:dyDescent="0.25">
      <c r="A420" s="8"/>
      <c r="B420" s="8"/>
      <c r="C420" s="8"/>
      <c r="D420" s="8"/>
      <c r="E420" s="8"/>
      <c r="F420" s="8"/>
      <c r="G420" s="695"/>
      <c r="H420" s="695"/>
      <c r="I420" s="695"/>
      <c r="J420" s="695"/>
      <c r="K420" s="695"/>
      <c r="L420" s="695"/>
      <c r="M420" s="695"/>
      <c r="N420" s="695"/>
      <c r="O420" s="695"/>
      <c r="P420" s="695"/>
      <c r="Q420" s="695"/>
      <c r="R420" s="695"/>
      <c r="S420" s="695"/>
      <c r="T420" s="8"/>
      <c r="U420" s="8"/>
      <c r="V420" s="8"/>
      <c r="W420" s="8"/>
      <c r="X420" s="8"/>
      <c r="Y420" s="8"/>
      <c r="Z420" s="8"/>
      <c r="AA420" s="8"/>
      <c r="AB420" s="8"/>
    </row>
    <row r="421" ht="12.75" customHeight="1" spans="1:28" x14ac:dyDescent="0.25">
      <c r="A421" s="8"/>
      <c r="B421" s="8"/>
      <c r="C421" s="8"/>
      <c r="D421" s="8"/>
      <c r="E421" s="8"/>
      <c r="F421" s="8"/>
      <c r="G421" s="695"/>
      <c r="H421" s="695"/>
      <c r="I421" s="695"/>
      <c r="J421" s="695"/>
      <c r="K421" s="695"/>
      <c r="L421" s="695"/>
      <c r="M421" s="695"/>
      <c r="N421" s="695"/>
      <c r="O421" s="695"/>
      <c r="P421" s="695"/>
      <c r="Q421" s="695"/>
      <c r="R421" s="695"/>
      <c r="S421" s="695"/>
      <c r="T421" s="8"/>
      <c r="U421" s="8"/>
      <c r="V421" s="8"/>
      <c r="W421" s="8"/>
      <c r="X421" s="8"/>
      <c r="Y421" s="8"/>
      <c r="Z421" s="8"/>
      <c r="AA421" s="8"/>
      <c r="AB421" s="8"/>
    </row>
    <row r="422" ht="12.75" customHeight="1" spans="1:28" x14ac:dyDescent="0.25">
      <c r="A422" s="8"/>
      <c r="B422" s="8"/>
      <c r="C422" s="8"/>
      <c r="D422" s="8"/>
      <c r="E422" s="8"/>
      <c r="F422" s="8"/>
      <c r="G422" s="695"/>
      <c r="H422" s="695"/>
      <c r="I422" s="695"/>
      <c r="J422" s="695"/>
      <c r="K422" s="695"/>
      <c r="L422" s="695"/>
      <c r="M422" s="695"/>
      <c r="N422" s="695"/>
      <c r="O422" s="695"/>
      <c r="P422" s="695"/>
      <c r="Q422" s="695"/>
      <c r="R422" s="695"/>
      <c r="S422" s="695"/>
      <c r="T422" s="8"/>
      <c r="U422" s="8"/>
      <c r="V422" s="8"/>
      <c r="W422" s="8"/>
      <c r="X422" s="8"/>
      <c r="Y422" s="8"/>
      <c r="Z422" s="8"/>
      <c r="AA422" s="8"/>
      <c r="AB422" s="8"/>
    </row>
    <row r="423" ht="12.75" customHeight="1" spans="1:28" x14ac:dyDescent="0.25">
      <c r="A423" s="8"/>
      <c r="B423" s="8"/>
      <c r="C423" s="8"/>
      <c r="D423" s="8"/>
      <c r="E423" s="8"/>
      <c r="F423" s="8"/>
      <c r="G423" s="695"/>
      <c r="H423" s="695"/>
      <c r="I423" s="695"/>
      <c r="J423" s="695"/>
      <c r="K423" s="695"/>
      <c r="L423" s="695"/>
      <c r="M423" s="695"/>
      <c r="N423" s="695"/>
      <c r="O423" s="695"/>
      <c r="P423" s="695"/>
      <c r="Q423" s="695"/>
      <c r="R423" s="695"/>
      <c r="S423" s="695"/>
      <c r="T423" s="8"/>
      <c r="U423" s="8"/>
      <c r="V423" s="8"/>
      <c r="W423" s="8"/>
      <c r="X423" s="8"/>
      <c r="Y423" s="8"/>
      <c r="Z423" s="8"/>
      <c r="AA423" s="8"/>
      <c r="AB423" s="8"/>
    </row>
    <row r="424" ht="12.75" customHeight="1" spans="1:28" x14ac:dyDescent="0.25">
      <c r="A424" s="8"/>
      <c r="B424" s="8"/>
      <c r="C424" s="8"/>
      <c r="D424" s="8"/>
      <c r="E424" s="8"/>
      <c r="F424" s="8"/>
      <c r="G424" s="695"/>
      <c r="H424" s="695"/>
      <c r="I424" s="695"/>
      <c r="J424" s="695"/>
      <c r="K424" s="695"/>
      <c r="L424" s="695"/>
      <c r="M424" s="695"/>
      <c r="N424" s="695"/>
      <c r="O424" s="695"/>
      <c r="P424" s="695"/>
      <c r="Q424" s="695"/>
      <c r="R424" s="695"/>
      <c r="S424" s="695"/>
      <c r="T424" s="8"/>
      <c r="U424" s="8"/>
      <c r="V424" s="8"/>
      <c r="W424" s="8"/>
      <c r="X424" s="8"/>
      <c r="Y424" s="8"/>
      <c r="Z424" s="8"/>
      <c r="AA424" s="8"/>
      <c r="AB424" s="8"/>
    </row>
    <row r="425" ht="12.75" customHeight="1" spans="1:28" x14ac:dyDescent="0.25">
      <c r="A425" s="8"/>
      <c r="B425" s="8"/>
      <c r="C425" s="8"/>
      <c r="D425" s="8"/>
      <c r="E425" s="8"/>
      <c r="F425" s="8"/>
      <c r="G425" s="695"/>
      <c r="H425" s="695"/>
      <c r="I425" s="695"/>
      <c r="J425" s="695"/>
      <c r="K425" s="695"/>
      <c r="L425" s="695"/>
      <c r="M425" s="695"/>
      <c r="N425" s="695"/>
      <c r="O425" s="695"/>
      <c r="P425" s="695"/>
      <c r="Q425" s="695"/>
      <c r="R425" s="695"/>
      <c r="S425" s="695"/>
      <c r="T425" s="8"/>
      <c r="U425" s="8"/>
      <c r="V425" s="8"/>
      <c r="W425" s="8"/>
      <c r="X425" s="8"/>
      <c r="Y425" s="8"/>
      <c r="Z425" s="8"/>
      <c r="AA425" s="8"/>
      <c r="AB425" s="8"/>
    </row>
    <row r="426" ht="12.75" customHeight="1" spans="1:28" x14ac:dyDescent="0.25">
      <c r="A426" s="8"/>
      <c r="B426" s="8"/>
      <c r="C426" s="8"/>
      <c r="D426" s="8"/>
      <c r="E426" s="8"/>
      <c r="F426" s="8"/>
      <c r="G426" s="695"/>
      <c r="H426" s="695"/>
      <c r="I426" s="695"/>
      <c r="J426" s="695"/>
      <c r="K426" s="695"/>
      <c r="L426" s="695"/>
      <c r="M426" s="695"/>
      <c r="N426" s="695"/>
      <c r="O426" s="695"/>
      <c r="P426" s="695"/>
      <c r="Q426" s="695"/>
      <c r="R426" s="695"/>
      <c r="S426" s="695"/>
      <c r="T426" s="8"/>
      <c r="U426" s="8"/>
      <c r="V426" s="8"/>
      <c r="W426" s="8"/>
      <c r="X426" s="8"/>
      <c r="Y426" s="8"/>
      <c r="Z426" s="8"/>
      <c r="AA426" s="8"/>
      <c r="AB426" s="8"/>
    </row>
    <row r="427" ht="12.75" customHeight="1" spans="1:28" x14ac:dyDescent="0.25">
      <c r="A427" s="8"/>
      <c r="B427" s="8"/>
      <c r="C427" s="8"/>
      <c r="D427" s="8"/>
      <c r="E427" s="8"/>
      <c r="F427" s="8"/>
      <c r="G427" s="695"/>
      <c r="H427" s="695"/>
      <c r="I427" s="695"/>
      <c r="J427" s="695"/>
      <c r="K427" s="695"/>
      <c r="L427" s="695"/>
      <c r="M427" s="695"/>
      <c r="N427" s="695"/>
      <c r="O427" s="695"/>
      <c r="P427" s="695"/>
      <c r="Q427" s="695"/>
      <c r="R427" s="695"/>
      <c r="S427" s="695"/>
      <c r="T427" s="8"/>
      <c r="U427" s="8"/>
      <c r="V427" s="8"/>
      <c r="W427" s="8"/>
      <c r="X427" s="8"/>
      <c r="Y427" s="8"/>
      <c r="Z427" s="8"/>
      <c r="AA427" s="8"/>
      <c r="AB427" s="8"/>
    </row>
    <row r="428" ht="12.75" customHeight="1" spans="1:28" x14ac:dyDescent="0.25">
      <c r="A428" s="8"/>
      <c r="B428" s="8"/>
      <c r="C428" s="8"/>
      <c r="D428" s="8"/>
      <c r="E428" s="8"/>
      <c r="F428" s="8"/>
      <c r="G428" s="695"/>
      <c r="H428" s="695"/>
      <c r="I428" s="695"/>
      <c r="J428" s="695"/>
      <c r="K428" s="695"/>
      <c r="L428" s="695"/>
      <c r="M428" s="695"/>
      <c r="N428" s="695"/>
      <c r="O428" s="695"/>
      <c r="P428" s="695"/>
      <c r="Q428" s="695"/>
      <c r="R428" s="695"/>
      <c r="S428" s="695"/>
      <c r="T428" s="8"/>
      <c r="U428" s="8"/>
      <c r="V428" s="8"/>
      <c r="W428" s="8"/>
      <c r="X428" s="8"/>
      <c r="Y428" s="8"/>
      <c r="Z428" s="8"/>
      <c r="AA428" s="8"/>
      <c r="AB428" s="8"/>
    </row>
    <row r="429" ht="12.75" customHeight="1" spans="1:28" x14ac:dyDescent="0.25">
      <c r="A429" s="8"/>
      <c r="B429" s="8"/>
      <c r="C429" s="8"/>
      <c r="D429" s="8"/>
      <c r="E429" s="8"/>
      <c r="F429" s="8"/>
      <c r="G429" s="695"/>
      <c r="H429" s="695"/>
      <c r="I429" s="695"/>
      <c r="J429" s="695"/>
      <c r="K429" s="695"/>
      <c r="L429" s="695"/>
      <c r="M429" s="695"/>
      <c r="N429" s="695"/>
      <c r="O429" s="695"/>
      <c r="P429" s="695"/>
      <c r="Q429" s="695"/>
      <c r="R429" s="695"/>
      <c r="S429" s="695"/>
      <c r="T429" s="8"/>
      <c r="U429" s="8"/>
      <c r="V429" s="8"/>
      <c r="W429" s="8"/>
      <c r="X429" s="8"/>
      <c r="Y429" s="8"/>
      <c r="Z429" s="8"/>
      <c r="AA429" s="8"/>
      <c r="AB429" s="8"/>
    </row>
    <row r="430" ht="12.75" customHeight="1" spans="1:28" x14ac:dyDescent="0.25">
      <c r="A430" s="8"/>
      <c r="B430" s="8"/>
      <c r="C430" s="8"/>
      <c r="D430" s="8"/>
      <c r="E430" s="8"/>
      <c r="F430" s="8"/>
      <c r="G430" s="695"/>
      <c r="H430" s="695"/>
      <c r="I430" s="695"/>
      <c r="J430" s="695"/>
      <c r="K430" s="695"/>
      <c r="L430" s="695"/>
      <c r="M430" s="695"/>
      <c r="N430" s="695"/>
      <c r="O430" s="695"/>
      <c r="P430" s="695"/>
      <c r="Q430" s="695"/>
      <c r="R430" s="695"/>
      <c r="S430" s="695"/>
      <c r="T430" s="8"/>
      <c r="U430" s="8"/>
      <c r="V430" s="8"/>
      <c r="W430" s="8"/>
      <c r="X430" s="8"/>
      <c r="Y430" s="8"/>
      <c r="Z430" s="8"/>
      <c r="AA430" s="8"/>
      <c r="AB430" s="8"/>
    </row>
    <row r="431" ht="12.75" customHeight="1" spans="1:28" x14ac:dyDescent="0.25">
      <c r="A431" s="8"/>
      <c r="B431" s="8"/>
      <c r="C431" s="8"/>
      <c r="D431" s="8"/>
      <c r="E431" s="8"/>
      <c r="F431" s="8"/>
      <c r="G431" s="695"/>
      <c r="H431" s="695"/>
      <c r="I431" s="695"/>
      <c r="J431" s="695"/>
      <c r="K431" s="695"/>
      <c r="L431" s="695"/>
      <c r="M431" s="695"/>
      <c r="N431" s="695"/>
      <c r="O431" s="695"/>
      <c r="P431" s="695"/>
      <c r="Q431" s="695"/>
      <c r="R431" s="695"/>
      <c r="S431" s="695"/>
      <c r="T431" s="8"/>
      <c r="U431" s="8"/>
      <c r="V431" s="8"/>
      <c r="W431" s="8"/>
      <c r="X431" s="8"/>
      <c r="Y431" s="8"/>
      <c r="Z431" s="8"/>
      <c r="AA431" s="8"/>
      <c r="AB431" s="8"/>
    </row>
    <row r="432" ht="12.75" customHeight="1" spans="1:28" x14ac:dyDescent="0.25">
      <c r="A432" s="8"/>
      <c r="B432" s="8"/>
      <c r="C432" s="8"/>
      <c r="D432" s="8"/>
      <c r="E432" s="8"/>
      <c r="F432" s="8"/>
      <c r="G432" s="695"/>
      <c r="H432" s="695"/>
      <c r="I432" s="695"/>
      <c r="J432" s="695"/>
      <c r="K432" s="695"/>
      <c r="L432" s="695"/>
      <c r="M432" s="695"/>
      <c r="N432" s="695"/>
      <c r="O432" s="695"/>
      <c r="P432" s="695"/>
      <c r="Q432" s="695"/>
      <c r="R432" s="695"/>
      <c r="S432" s="695"/>
      <c r="T432" s="8"/>
      <c r="U432" s="8"/>
      <c r="V432" s="8"/>
      <c r="W432" s="8"/>
      <c r="X432" s="8"/>
      <c r="Y432" s="8"/>
      <c r="Z432" s="8"/>
      <c r="AA432" s="8"/>
      <c r="AB432" s="8"/>
    </row>
    <row r="433" ht="12.75" customHeight="1" spans="1:28" x14ac:dyDescent="0.25">
      <c r="A433" s="8"/>
      <c r="B433" s="8"/>
      <c r="C433" s="8"/>
      <c r="D433" s="8"/>
      <c r="E433" s="8"/>
      <c r="F433" s="8"/>
      <c r="G433" s="695"/>
      <c r="H433" s="695"/>
      <c r="I433" s="695"/>
      <c r="J433" s="695"/>
      <c r="K433" s="695"/>
      <c r="L433" s="695"/>
      <c r="M433" s="695"/>
      <c r="N433" s="695"/>
      <c r="O433" s="695"/>
      <c r="P433" s="695"/>
      <c r="Q433" s="695"/>
      <c r="R433" s="695"/>
      <c r="S433" s="695"/>
      <c r="T433" s="8"/>
      <c r="U433" s="8"/>
      <c r="V433" s="8"/>
      <c r="W433" s="8"/>
      <c r="X433" s="8"/>
      <c r="Y433" s="8"/>
      <c r="Z433" s="8"/>
      <c r="AA433" s="8"/>
      <c r="AB433" s="8"/>
    </row>
    <row r="434" ht="12.75" customHeight="1" spans="1:28" x14ac:dyDescent="0.25">
      <c r="A434" s="8"/>
      <c r="B434" s="8"/>
      <c r="C434" s="8"/>
      <c r="D434" s="8"/>
      <c r="E434" s="8"/>
      <c r="F434" s="8"/>
      <c r="G434" s="695"/>
      <c r="H434" s="695"/>
      <c r="I434" s="695"/>
      <c r="J434" s="695"/>
      <c r="K434" s="695"/>
      <c r="L434" s="695"/>
      <c r="M434" s="695"/>
      <c r="N434" s="695"/>
      <c r="O434" s="695"/>
      <c r="P434" s="695"/>
      <c r="Q434" s="695"/>
      <c r="R434" s="695"/>
      <c r="S434" s="695"/>
      <c r="T434" s="8"/>
      <c r="U434" s="8"/>
      <c r="V434" s="8"/>
      <c r="W434" s="8"/>
      <c r="X434" s="8"/>
      <c r="Y434" s="8"/>
      <c r="Z434" s="8"/>
      <c r="AA434" s="8"/>
      <c r="AB434" s="8"/>
    </row>
    <row r="435" ht="12.75" customHeight="1" spans="1:28" x14ac:dyDescent="0.25">
      <c r="A435" s="8"/>
      <c r="B435" s="8"/>
      <c r="C435" s="8"/>
      <c r="D435" s="8"/>
      <c r="E435" s="8"/>
      <c r="F435" s="8"/>
      <c r="G435" s="695"/>
      <c r="H435" s="695"/>
      <c r="I435" s="695"/>
      <c r="J435" s="695"/>
      <c r="K435" s="695"/>
      <c r="L435" s="695"/>
      <c r="M435" s="695"/>
      <c r="N435" s="695"/>
      <c r="O435" s="695"/>
      <c r="P435" s="695"/>
      <c r="Q435" s="695"/>
      <c r="R435" s="695"/>
      <c r="S435" s="695"/>
      <c r="T435" s="8"/>
      <c r="U435" s="8"/>
      <c r="V435" s="8"/>
      <c r="W435" s="8"/>
      <c r="X435" s="8"/>
      <c r="Y435" s="8"/>
      <c r="Z435" s="8"/>
      <c r="AA435" s="8"/>
      <c r="AB435" s="8"/>
    </row>
    <row r="436" ht="12.75" customHeight="1" spans="1:28" x14ac:dyDescent="0.25">
      <c r="A436" s="8"/>
      <c r="B436" s="8"/>
      <c r="C436" s="8"/>
      <c r="D436" s="8"/>
      <c r="E436" s="8"/>
      <c r="F436" s="8"/>
      <c r="G436" s="695"/>
      <c r="H436" s="695"/>
      <c r="I436" s="695"/>
      <c r="J436" s="695"/>
      <c r="K436" s="695"/>
      <c r="L436" s="695"/>
      <c r="M436" s="695"/>
      <c r="N436" s="695"/>
      <c r="O436" s="695"/>
      <c r="P436" s="695"/>
      <c r="Q436" s="695"/>
      <c r="R436" s="695"/>
      <c r="S436" s="695"/>
      <c r="T436" s="8"/>
      <c r="U436" s="8"/>
      <c r="V436" s="8"/>
      <c r="W436" s="8"/>
      <c r="X436" s="8"/>
      <c r="Y436" s="8"/>
      <c r="Z436" s="8"/>
      <c r="AA436" s="8"/>
      <c r="AB436" s="8"/>
    </row>
    <row r="437" ht="12.75" customHeight="1" spans="1:28" x14ac:dyDescent="0.25">
      <c r="A437" s="8"/>
      <c r="B437" s="8"/>
      <c r="C437" s="8"/>
      <c r="D437" s="8"/>
      <c r="E437" s="8"/>
      <c r="F437" s="8"/>
      <c r="G437" s="695"/>
      <c r="H437" s="695"/>
      <c r="I437" s="695"/>
      <c r="J437" s="695"/>
      <c r="K437" s="695"/>
      <c r="L437" s="695"/>
      <c r="M437" s="695"/>
      <c r="N437" s="695"/>
      <c r="O437" s="695"/>
      <c r="P437" s="695"/>
      <c r="Q437" s="695"/>
      <c r="R437" s="695"/>
      <c r="S437" s="695"/>
      <c r="T437" s="8"/>
      <c r="U437" s="8"/>
      <c r="V437" s="8"/>
      <c r="W437" s="8"/>
      <c r="X437" s="8"/>
      <c r="Y437" s="8"/>
      <c r="Z437" s="8"/>
      <c r="AA437" s="8"/>
      <c r="AB437" s="8"/>
    </row>
    <row r="438" ht="12.75" customHeight="1" spans="1:28" x14ac:dyDescent="0.25">
      <c r="A438" s="8"/>
      <c r="B438" s="8"/>
      <c r="C438" s="8"/>
      <c r="D438" s="8"/>
      <c r="E438" s="8"/>
      <c r="F438" s="8"/>
      <c r="G438" s="695"/>
      <c r="H438" s="695"/>
      <c r="I438" s="695"/>
      <c r="J438" s="695"/>
      <c r="K438" s="695"/>
      <c r="L438" s="695"/>
      <c r="M438" s="695"/>
      <c r="N438" s="695"/>
      <c r="O438" s="695"/>
      <c r="P438" s="695"/>
      <c r="Q438" s="695"/>
      <c r="R438" s="695"/>
      <c r="S438" s="695"/>
      <c r="T438" s="8"/>
      <c r="U438" s="8"/>
      <c r="V438" s="8"/>
      <c r="W438" s="8"/>
      <c r="X438" s="8"/>
      <c r="Y438" s="8"/>
      <c r="Z438" s="8"/>
      <c r="AA438" s="8"/>
      <c r="AB438" s="8"/>
    </row>
    <row r="439" ht="12.75" customHeight="1" spans="1:28" x14ac:dyDescent="0.25">
      <c r="A439" s="8"/>
      <c r="B439" s="8"/>
      <c r="C439" s="8"/>
      <c r="D439" s="8"/>
      <c r="E439" s="8"/>
      <c r="F439" s="8"/>
      <c r="G439" s="695"/>
      <c r="H439" s="695"/>
      <c r="I439" s="695"/>
      <c r="J439" s="695"/>
      <c r="K439" s="695"/>
      <c r="L439" s="695"/>
      <c r="M439" s="695"/>
      <c r="N439" s="695"/>
      <c r="O439" s="695"/>
      <c r="P439" s="695"/>
      <c r="Q439" s="695"/>
      <c r="R439" s="695"/>
      <c r="S439" s="695"/>
      <c r="T439" s="8"/>
      <c r="U439" s="8"/>
      <c r="V439" s="8"/>
      <c r="W439" s="8"/>
      <c r="X439" s="8"/>
      <c r="Y439" s="8"/>
      <c r="Z439" s="8"/>
      <c r="AA439" s="8"/>
      <c r="AB439" s="8"/>
    </row>
    <row r="440" ht="12.75" customHeight="1" spans="1:28" x14ac:dyDescent="0.25">
      <c r="A440" s="8"/>
      <c r="B440" s="8"/>
      <c r="C440" s="8"/>
      <c r="D440" s="8"/>
      <c r="E440" s="8"/>
      <c r="F440" s="8"/>
      <c r="G440" s="695"/>
      <c r="H440" s="695"/>
      <c r="I440" s="695"/>
      <c r="J440" s="695"/>
      <c r="K440" s="695"/>
      <c r="L440" s="695"/>
      <c r="M440" s="695"/>
      <c r="N440" s="695"/>
      <c r="O440" s="695"/>
      <c r="P440" s="695"/>
      <c r="Q440" s="695"/>
      <c r="R440" s="695"/>
      <c r="S440" s="695"/>
      <c r="T440" s="8"/>
      <c r="U440" s="8"/>
      <c r="V440" s="8"/>
      <c r="W440" s="8"/>
      <c r="X440" s="8"/>
      <c r="Y440" s="8"/>
      <c r="Z440" s="8"/>
      <c r="AA440" s="8"/>
      <c r="AB440" s="8"/>
    </row>
    <row r="441" ht="12.75" customHeight="1" spans="1:28" x14ac:dyDescent="0.25">
      <c r="A441" s="8"/>
      <c r="B441" s="8"/>
      <c r="C441" s="8"/>
      <c r="D441" s="8"/>
      <c r="E441" s="8"/>
      <c r="F441" s="8"/>
      <c r="G441" s="695"/>
      <c r="H441" s="695"/>
      <c r="I441" s="695"/>
      <c r="J441" s="695"/>
      <c r="K441" s="695"/>
      <c r="L441" s="695"/>
      <c r="M441" s="695"/>
      <c r="N441" s="695"/>
      <c r="O441" s="695"/>
      <c r="P441" s="695"/>
      <c r="Q441" s="695"/>
      <c r="R441" s="695"/>
      <c r="S441" s="695"/>
      <c r="T441" s="8"/>
      <c r="U441" s="8"/>
      <c r="V441" s="8"/>
      <c r="W441" s="8"/>
      <c r="X441" s="8"/>
      <c r="Y441" s="8"/>
      <c r="Z441" s="8"/>
      <c r="AA441" s="8"/>
      <c r="AB441" s="8"/>
    </row>
    <row r="442" ht="12.75" customHeight="1" spans="1:28" x14ac:dyDescent="0.25">
      <c r="A442" s="8"/>
      <c r="B442" s="8"/>
      <c r="C442" s="8"/>
      <c r="D442" s="8"/>
      <c r="E442" s="8"/>
      <c r="F442" s="8"/>
      <c r="G442" s="695"/>
      <c r="H442" s="695"/>
      <c r="I442" s="695"/>
      <c r="J442" s="695"/>
      <c r="K442" s="695"/>
      <c r="L442" s="695"/>
      <c r="M442" s="695"/>
      <c r="N442" s="695"/>
      <c r="O442" s="695"/>
      <c r="P442" s="695"/>
      <c r="Q442" s="695"/>
      <c r="R442" s="695"/>
      <c r="S442" s="695"/>
      <c r="T442" s="8"/>
      <c r="U442" s="8"/>
      <c r="V442" s="8"/>
      <c r="W442" s="8"/>
      <c r="X442" s="8"/>
      <c r="Y442" s="8"/>
      <c r="Z442" s="8"/>
      <c r="AA442" s="8"/>
      <c r="AB442" s="8"/>
    </row>
    <row r="443" ht="12.75" customHeight="1" spans="1:28" x14ac:dyDescent="0.25">
      <c r="A443" s="8"/>
      <c r="B443" s="8"/>
      <c r="C443" s="8"/>
      <c r="D443" s="8"/>
      <c r="E443" s="8"/>
      <c r="F443" s="8"/>
      <c r="G443" s="695"/>
      <c r="H443" s="695"/>
      <c r="I443" s="695"/>
      <c r="J443" s="695"/>
      <c r="K443" s="695"/>
      <c r="L443" s="695"/>
      <c r="M443" s="695"/>
      <c r="N443" s="695"/>
      <c r="O443" s="695"/>
      <c r="P443" s="695"/>
      <c r="Q443" s="695"/>
      <c r="R443" s="695"/>
      <c r="S443" s="695"/>
      <c r="T443" s="8"/>
      <c r="U443" s="8"/>
      <c r="V443" s="8"/>
      <c r="W443" s="8"/>
      <c r="X443" s="8"/>
      <c r="Y443" s="8"/>
      <c r="Z443" s="8"/>
      <c r="AA443" s="8"/>
      <c r="AB443" s="8"/>
    </row>
    <row r="444" ht="12.75" customHeight="1" spans="1:28" x14ac:dyDescent="0.25">
      <c r="A444" s="8"/>
      <c r="B444" s="8"/>
      <c r="C444" s="8"/>
      <c r="D444" s="8"/>
      <c r="E444" s="8"/>
      <c r="F444" s="8"/>
      <c r="G444" s="695"/>
      <c r="H444" s="695"/>
      <c r="I444" s="695"/>
      <c r="J444" s="695"/>
      <c r="K444" s="695"/>
      <c r="L444" s="695"/>
      <c r="M444" s="695"/>
      <c r="N444" s="695"/>
      <c r="O444" s="695"/>
      <c r="P444" s="695"/>
      <c r="Q444" s="695"/>
      <c r="R444" s="695"/>
      <c r="S444" s="695"/>
      <c r="T444" s="8"/>
      <c r="U444" s="8"/>
      <c r="V444" s="8"/>
      <c r="W444" s="8"/>
      <c r="X444" s="8"/>
      <c r="Y444" s="8"/>
      <c r="Z444" s="8"/>
      <c r="AA444" s="8"/>
      <c r="AB444" s="8"/>
    </row>
    <row r="445" ht="12.75" customHeight="1" spans="1:28" x14ac:dyDescent="0.25">
      <c r="A445" s="8"/>
      <c r="B445" s="8"/>
      <c r="C445" s="8"/>
      <c r="D445" s="8"/>
      <c r="E445" s="8"/>
      <c r="F445" s="8"/>
      <c r="G445" s="695"/>
      <c r="H445" s="695"/>
      <c r="I445" s="695"/>
      <c r="J445" s="695"/>
      <c r="K445" s="695"/>
      <c r="L445" s="695"/>
      <c r="M445" s="695"/>
      <c r="N445" s="695"/>
      <c r="O445" s="695"/>
      <c r="P445" s="695"/>
      <c r="Q445" s="695"/>
      <c r="R445" s="695"/>
      <c r="S445" s="695"/>
      <c r="T445" s="8"/>
      <c r="U445" s="8"/>
      <c r="V445" s="8"/>
      <c r="W445" s="8"/>
      <c r="X445" s="8"/>
      <c r="Y445" s="8"/>
      <c r="Z445" s="8"/>
      <c r="AA445" s="8"/>
      <c r="AB445" s="8"/>
    </row>
    <row r="446" ht="12.75" customHeight="1" spans="1:28" x14ac:dyDescent="0.25">
      <c r="A446" s="8"/>
      <c r="B446" s="8"/>
      <c r="C446" s="8"/>
      <c r="D446" s="8"/>
      <c r="E446" s="8"/>
      <c r="F446" s="8"/>
      <c r="G446" s="695"/>
      <c r="H446" s="695"/>
      <c r="I446" s="695"/>
      <c r="J446" s="695"/>
      <c r="K446" s="695"/>
      <c r="L446" s="695"/>
      <c r="M446" s="695"/>
      <c r="N446" s="695"/>
      <c r="O446" s="695"/>
      <c r="P446" s="695"/>
      <c r="Q446" s="695"/>
      <c r="R446" s="695"/>
      <c r="S446" s="695"/>
      <c r="T446" s="8"/>
      <c r="U446" s="8"/>
      <c r="V446" s="8"/>
      <c r="W446" s="8"/>
      <c r="X446" s="8"/>
      <c r="Y446" s="8"/>
      <c r="Z446" s="8"/>
      <c r="AA446" s="8"/>
      <c r="AB446" s="8"/>
    </row>
    <row r="447" ht="12.75" customHeight="1" spans="1:28" x14ac:dyDescent="0.25">
      <c r="A447" s="8"/>
      <c r="B447" s="8"/>
      <c r="C447" s="8"/>
      <c r="D447" s="8"/>
      <c r="E447" s="8"/>
      <c r="F447" s="8"/>
      <c r="G447" s="695"/>
      <c r="H447" s="695"/>
      <c r="I447" s="695"/>
      <c r="J447" s="695"/>
      <c r="K447" s="695"/>
      <c r="L447" s="695"/>
      <c r="M447" s="695"/>
      <c r="N447" s="695"/>
      <c r="O447" s="695"/>
      <c r="P447" s="695"/>
      <c r="Q447" s="695"/>
      <c r="R447" s="695"/>
      <c r="S447" s="695"/>
      <c r="T447" s="8"/>
      <c r="U447" s="8"/>
      <c r="V447" s="8"/>
      <c r="W447" s="8"/>
      <c r="X447" s="8"/>
      <c r="Y447" s="8"/>
      <c r="Z447" s="8"/>
      <c r="AA447" s="8"/>
      <c r="AB447" s="8"/>
    </row>
    <row r="448" ht="12.75" customHeight="1" spans="1:28" x14ac:dyDescent="0.25">
      <c r="A448" s="8"/>
      <c r="B448" s="8"/>
      <c r="C448" s="8"/>
      <c r="D448" s="8"/>
      <c r="E448" s="8"/>
      <c r="F448" s="8"/>
      <c r="G448" s="695"/>
      <c r="H448" s="695"/>
      <c r="I448" s="695"/>
      <c r="J448" s="695"/>
      <c r="K448" s="695"/>
      <c r="L448" s="695"/>
      <c r="M448" s="695"/>
      <c r="N448" s="695"/>
      <c r="O448" s="695"/>
      <c r="P448" s="695"/>
      <c r="Q448" s="695"/>
      <c r="R448" s="695"/>
      <c r="S448" s="695"/>
      <c r="T448" s="8"/>
      <c r="U448" s="8"/>
      <c r="V448" s="8"/>
      <c r="W448" s="8"/>
      <c r="X448" s="8"/>
      <c r="Y448" s="8"/>
      <c r="Z448" s="8"/>
      <c r="AA448" s="8"/>
      <c r="AB448" s="8"/>
    </row>
    <row r="449" ht="12.75" customHeight="1" spans="1:28" x14ac:dyDescent="0.25">
      <c r="A449" s="8"/>
      <c r="B449" s="8"/>
      <c r="C449" s="8"/>
      <c r="D449" s="8"/>
      <c r="E449" s="8"/>
      <c r="F449" s="8"/>
      <c r="G449" s="695"/>
      <c r="H449" s="695"/>
      <c r="I449" s="695"/>
      <c r="J449" s="695"/>
      <c r="K449" s="695"/>
      <c r="L449" s="695"/>
      <c r="M449" s="695"/>
      <c r="N449" s="695"/>
      <c r="O449" s="695"/>
      <c r="P449" s="695"/>
      <c r="Q449" s="695"/>
      <c r="R449" s="695"/>
      <c r="S449" s="695"/>
      <c r="T449" s="8"/>
      <c r="U449" s="8"/>
      <c r="V449" s="8"/>
      <c r="W449" s="8"/>
      <c r="X449" s="8"/>
      <c r="Y449" s="8"/>
      <c r="Z449" s="8"/>
      <c r="AA449" s="8"/>
      <c r="AB449" s="8"/>
    </row>
    <row r="450" ht="12.75" customHeight="1" spans="1:28" x14ac:dyDescent="0.25">
      <c r="A450" s="8"/>
      <c r="B450" s="8"/>
      <c r="C450" s="8"/>
      <c r="D450" s="8"/>
      <c r="E450" s="8"/>
      <c r="F450" s="8"/>
      <c r="G450" s="695"/>
      <c r="H450" s="695"/>
      <c r="I450" s="695"/>
      <c r="J450" s="695"/>
      <c r="K450" s="695"/>
      <c r="L450" s="695"/>
      <c r="M450" s="695"/>
      <c r="N450" s="695"/>
      <c r="O450" s="695"/>
      <c r="P450" s="695"/>
      <c r="Q450" s="695"/>
      <c r="R450" s="695"/>
      <c r="S450" s="695"/>
      <c r="T450" s="8"/>
      <c r="U450" s="8"/>
      <c r="V450" s="8"/>
      <c r="W450" s="8"/>
      <c r="X450" s="8"/>
      <c r="Y450" s="8"/>
      <c r="Z450" s="8"/>
      <c r="AA450" s="8"/>
      <c r="AB450" s="8"/>
    </row>
    <row r="451" ht="12.75" customHeight="1" spans="1:28" x14ac:dyDescent="0.25">
      <c r="A451" s="8"/>
      <c r="B451" s="8"/>
      <c r="C451" s="8"/>
      <c r="D451" s="8"/>
      <c r="E451" s="8"/>
      <c r="F451" s="8"/>
      <c r="G451" s="695"/>
      <c r="H451" s="695"/>
      <c r="I451" s="695"/>
      <c r="J451" s="695"/>
      <c r="K451" s="695"/>
      <c r="L451" s="695"/>
      <c r="M451" s="695"/>
      <c r="N451" s="695"/>
      <c r="O451" s="695"/>
      <c r="P451" s="695"/>
      <c r="Q451" s="695"/>
      <c r="R451" s="695"/>
      <c r="S451" s="695"/>
      <c r="T451" s="8"/>
      <c r="U451" s="8"/>
      <c r="V451" s="8"/>
      <c r="W451" s="8"/>
      <c r="X451" s="8"/>
      <c r="Y451" s="8"/>
      <c r="Z451" s="8"/>
      <c r="AA451" s="8"/>
      <c r="AB451" s="8"/>
    </row>
    <row r="452" ht="12.75" customHeight="1" spans="1:28" x14ac:dyDescent="0.25">
      <c r="A452" s="8"/>
      <c r="B452" s="8"/>
      <c r="C452" s="8"/>
      <c r="D452" s="8"/>
      <c r="E452" s="8"/>
      <c r="F452" s="8"/>
      <c r="G452" s="695"/>
      <c r="H452" s="695"/>
      <c r="I452" s="695"/>
      <c r="J452" s="695"/>
      <c r="K452" s="695"/>
      <c r="L452" s="695"/>
      <c r="M452" s="695"/>
      <c r="N452" s="695"/>
      <c r="O452" s="695"/>
      <c r="P452" s="695"/>
      <c r="Q452" s="695"/>
      <c r="R452" s="695"/>
      <c r="S452" s="695"/>
      <c r="T452" s="8"/>
      <c r="U452" s="8"/>
      <c r="V452" s="8"/>
      <c r="W452" s="8"/>
      <c r="X452" s="8"/>
      <c r="Y452" s="8"/>
      <c r="Z452" s="8"/>
      <c r="AA452" s="8"/>
      <c r="AB452" s="8"/>
    </row>
    <row r="453" ht="12.75" customHeight="1" spans="1:28" x14ac:dyDescent="0.25">
      <c r="A453" s="8"/>
      <c r="B453" s="8"/>
      <c r="C453" s="8"/>
      <c r="D453" s="8"/>
      <c r="E453" s="8"/>
      <c r="F453" s="8"/>
      <c r="G453" s="695"/>
      <c r="H453" s="695"/>
      <c r="I453" s="695"/>
      <c r="J453" s="695"/>
      <c r="K453" s="695"/>
      <c r="L453" s="695"/>
      <c r="M453" s="695"/>
      <c r="N453" s="695"/>
      <c r="O453" s="695"/>
      <c r="P453" s="695"/>
      <c r="Q453" s="695"/>
      <c r="R453" s="695"/>
      <c r="S453" s="695"/>
      <c r="T453" s="8"/>
      <c r="U453" s="8"/>
      <c r="V453" s="8"/>
      <c r="W453" s="8"/>
      <c r="X453" s="8"/>
      <c r="Y453" s="8"/>
      <c r="Z453" s="8"/>
      <c r="AA453" s="8"/>
      <c r="AB453" s="8"/>
    </row>
    <row r="454" ht="12.75" customHeight="1" spans="1:28" x14ac:dyDescent="0.25">
      <c r="A454" s="8"/>
      <c r="B454" s="8"/>
      <c r="C454" s="8"/>
      <c r="D454" s="8"/>
      <c r="E454" s="8"/>
      <c r="F454" s="8"/>
      <c r="G454" s="695"/>
      <c r="H454" s="695"/>
      <c r="I454" s="695"/>
      <c r="J454" s="695"/>
      <c r="K454" s="695"/>
      <c r="L454" s="695"/>
      <c r="M454" s="695"/>
      <c r="N454" s="695"/>
      <c r="O454" s="695"/>
      <c r="P454" s="695"/>
      <c r="Q454" s="695"/>
      <c r="R454" s="695"/>
      <c r="S454" s="695"/>
      <c r="T454" s="8"/>
      <c r="U454" s="8"/>
      <c r="V454" s="8"/>
      <c r="W454" s="8"/>
      <c r="X454" s="8"/>
      <c r="Y454" s="8"/>
      <c r="Z454" s="8"/>
      <c r="AA454" s="8"/>
      <c r="AB454" s="8"/>
    </row>
    <row r="455" ht="12.75" customHeight="1" spans="1:28" x14ac:dyDescent="0.25">
      <c r="A455" s="8"/>
      <c r="B455" s="8"/>
      <c r="C455" s="8"/>
      <c r="D455" s="8"/>
      <c r="E455" s="8"/>
      <c r="F455" s="8"/>
      <c r="G455" s="695"/>
      <c r="H455" s="695"/>
      <c r="I455" s="695"/>
      <c r="J455" s="695"/>
      <c r="K455" s="695"/>
      <c r="L455" s="695"/>
      <c r="M455" s="695"/>
      <c r="N455" s="695"/>
      <c r="O455" s="695"/>
      <c r="P455" s="695"/>
      <c r="Q455" s="695"/>
      <c r="R455" s="695"/>
      <c r="S455" s="695"/>
      <c r="T455" s="8"/>
      <c r="U455" s="8"/>
      <c r="V455" s="8"/>
      <c r="W455" s="8"/>
      <c r="X455" s="8"/>
      <c r="Y455" s="8"/>
      <c r="Z455" s="8"/>
      <c r="AA455" s="8"/>
      <c r="AB455" s="8"/>
    </row>
    <row r="456" ht="12.75" customHeight="1" spans="1:28" x14ac:dyDescent="0.25">
      <c r="A456" s="8"/>
      <c r="B456" s="8"/>
      <c r="C456" s="8"/>
      <c r="D456" s="8"/>
      <c r="E456" s="8"/>
      <c r="F456" s="8"/>
      <c r="G456" s="695"/>
      <c r="H456" s="695"/>
      <c r="I456" s="695"/>
      <c r="J456" s="695"/>
      <c r="K456" s="695"/>
      <c r="L456" s="695"/>
      <c r="M456" s="695"/>
      <c r="N456" s="695"/>
      <c r="O456" s="695"/>
      <c r="P456" s="695"/>
      <c r="Q456" s="695"/>
      <c r="R456" s="695"/>
      <c r="S456" s="695"/>
      <c r="T456" s="8"/>
      <c r="U456" s="8"/>
      <c r="V456" s="8"/>
      <c r="W456" s="8"/>
      <c r="X456" s="8"/>
      <c r="Y456" s="8"/>
      <c r="Z456" s="8"/>
      <c r="AA456" s="8"/>
      <c r="AB456" s="8"/>
    </row>
    <row r="457" ht="12.75" customHeight="1" spans="1:28" x14ac:dyDescent="0.25">
      <c r="A457" s="8"/>
      <c r="B457" s="8"/>
      <c r="C457" s="8"/>
      <c r="D457" s="8"/>
      <c r="E457" s="8"/>
      <c r="F457" s="8"/>
      <c r="G457" s="695"/>
      <c r="H457" s="695"/>
      <c r="I457" s="695"/>
      <c r="J457" s="695"/>
      <c r="K457" s="695"/>
      <c r="L457" s="695"/>
      <c r="M457" s="695"/>
      <c r="N457" s="695"/>
      <c r="O457" s="695"/>
      <c r="P457" s="695"/>
      <c r="Q457" s="695"/>
      <c r="R457" s="695"/>
      <c r="S457" s="695"/>
      <c r="T457" s="8"/>
      <c r="U457" s="8"/>
      <c r="V457" s="8"/>
      <c r="W457" s="8"/>
      <c r="X457" s="8"/>
      <c r="Y457" s="8"/>
      <c r="Z457" s="8"/>
      <c r="AA457" s="8"/>
      <c r="AB457" s="8"/>
    </row>
    <row r="458" ht="12.75" customHeight="1" spans="1:28" x14ac:dyDescent="0.25">
      <c r="A458" s="8"/>
      <c r="B458" s="8"/>
      <c r="C458" s="8"/>
      <c r="D458" s="8"/>
      <c r="E458" s="8"/>
      <c r="F458" s="8"/>
      <c r="G458" s="695"/>
      <c r="H458" s="695"/>
      <c r="I458" s="695"/>
      <c r="J458" s="695"/>
      <c r="K458" s="695"/>
      <c r="L458" s="695"/>
      <c r="M458" s="695"/>
      <c r="N458" s="695"/>
      <c r="O458" s="695"/>
      <c r="P458" s="695"/>
      <c r="Q458" s="695"/>
      <c r="R458" s="695"/>
      <c r="S458" s="695"/>
      <c r="T458" s="8"/>
      <c r="U458" s="8"/>
      <c r="V458" s="8"/>
      <c r="W458" s="8"/>
      <c r="X458" s="8"/>
      <c r="Y458" s="8"/>
      <c r="Z458" s="8"/>
      <c r="AA458" s="8"/>
      <c r="AB458" s="8"/>
    </row>
    <row r="459" ht="12.75" customHeight="1" spans="1:28" x14ac:dyDescent="0.25">
      <c r="A459" s="8"/>
      <c r="B459" s="8"/>
      <c r="C459" s="8"/>
      <c r="D459" s="8"/>
      <c r="E459" s="8"/>
      <c r="F459" s="8"/>
      <c r="G459" s="695"/>
      <c r="H459" s="695"/>
      <c r="I459" s="695"/>
      <c r="J459" s="695"/>
      <c r="K459" s="695"/>
      <c r="L459" s="695"/>
      <c r="M459" s="695"/>
      <c r="N459" s="695"/>
      <c r="O459" s="695"/>
      <c r="P459" s="695"/>
      <c r="Q459" s="695"/>
      <c r="R459" s="695"/>
      <c r="S459" s="695"/>
      <c r="T459" s="8"/>
      <c r="U459" s="8"/>
      <c r="V459" s="8"/>
      <c r="W459" s="8"/>
      <c r="X459" s="8"/>
      <c r="Y459" s="8"/>
      <c r="Z459" s="8"/>
      <c r="AA459" s="8"/>
      <c r="AB459" s="8"/>
    </row>
    <row r="460" ht="12.75" customHeight="1" spans="1:28" x14ac:dyDescent="0.25">
      <c r="A460" s="8"/>
      <c r="B460" s="8"/>
      <c r="C460" s="8"/>
      <c r="D460" s="8"/>
      <c r="E460" s="8"/>
      <c r="F460" s="8"/>
      <c r="G460" s="695"/>
      <c r="H460" s="695"/>
      <c r="I460" s="695"/>
      <c r="J460" s="695"/>
      <c r="K460" s="695"/>
      <c r="L460" s="695"/>
      <c r="M460" s="695"/>
      <c r="N460" s="695"/>
      <c r="O460" s="695"/>
      <c r="P460" s="695"/>
      <c r="Q460" s="695"/>
      <c r="R460" s="695"/>
      <c r="S460" s="695"/>
      <c r="T460" s="8"/>
      <c r="U460" s="8"/>
      <c r="V460" s="8"/>
      <c r="W460" s="8"/>
      <c r="X460" s="8"/>
      <c r="Y460" s="8"/>
      <c r="Z460" s="8"/>
      <c r="AA460" s="8"/>
      <c r="AB460" s="8"/>
    </row>
    <row r="461" ht="12.75" customHeight="1" spans="1:28" x14ac:dyDescent="0.25">
      <c r="A461" s="8"/>
      <c r="B461" s="8"/>
      <c r="C461" s="8"/>
      <c r="D461" s="8"/>
      <c r="E461" s="8"/>
      <c r="F461" s="8"/>
      <c r="G461" s="695"/>
      <c r="H461" s="695"/>
      <c r="I461" s="695"/>
      <c r="J461" s="695"/>
      <c r="K461" s="695"/>
      <c r="L461" s="695"/>
      <c r="M461" s="695"/>
      <c r="N461" s="695"/>
      <c r="O461" s="695"/>
      <c r="P461" s="695"/>
      <c r="Q461" s="695"/>
      <c r="R461" s="695"/>
      <c r="S461" s="695"/>
      <c r="T461" s="8"/>
      <c r="U461" s="8"/>
      <c r="V461" s="8"/>
      <c r="W461" s="8"/>
      <c r="X461" s="8"/>
      <c r="Y461" s="8"/>
      <c r="Z461" s="8"/>
      <c r="AA461" s="8"/>
      <c r="AB461" s="8"/>
    </row>
    <row r="462" ht="12.75" customHeight="1" spans="1:28" x14ac:dyDescent="0.25">
      <c r="A462" s="8"/>
      <c r="B462" s="8"/>
      <c r="C462" s="8"/>
      <c r="D462" s="8"/>
      <c r="E462" s="8"/>
      <c r="F462" s="8"/>
      <c r="G462" s="695"/>
      <c r="H462" s="695"/>
      <c r="I462" s="695"/>
      <c r="J462" s="695"/>
      <c r="K462" s="695"/>
      <c r="L462" s="695"/>
      <c r="M462" s="695"/>
      <c r="N462" s="695"/>
      <c r="O462" s="695"/>
      <c r="P462" s="695"/>
      <c r="Q462" s="695"/>
      <c r="R462" s="695"/>
      <c r="S462" s="695"/>
      <c r="T462" s="8"/>
      <c r="U462" s="8"/>
      <c r="V462" s="8"/>
      <c r="W462" s="8"/>
      <c r="X462" s="8"/>
      <c r="Y462" s="8"/>
      <c r="Z462" s="8"/>
      <c r="AA462" s="8"/>
      <c r="AB462" s="8"/>
    </row>
    <row r="463" ht="12.75" customHeight="1" spans="1:28" x14ac:dyDescent="0.25">
      <c r="A463" s="8"/>
      <c r="B463" s="8"/>
      <c r="C463" s="8"/>
      <c r="D463" s="8"/>
      <c r="E463" s="8"/>
      <c r="F463" s="8"/>
      <c r="G463" s="695"/>
      <c r="H463" s="695"/>
      <c r="I463" s="695"/>
      <c r="J463" s="695"/>
      <c r="K463" s="695"/>
      <c r="L463" s="695"/>
      <c r="M463" s="695"/>
      <c r="N463" s="695"/>
      <c r="O463" s="695"/>
      <c r="P463" s="695"/>
      <c r="Q463" s="695"/>
      <c r="R463" s="695"/>
      <c r="S463" s="695"/>
      <c r="T463" s="8"/>
      <c r="U463" s="8"/>
      <c r="V463" s="8"/>
      <c r="W463" s="8"/>
      <c r="X463" s="8"/>
      <c r="Y463" s="8"/>
      <c r="Z463" s="8"/>
      <c r="AA463" s="8"/>
      <c r="AB463" s="8"/>
    </row>
    <row r="464" ht="12.75" customHeight="1" spans="1:28" x14ac:dyDescent="0.25">
      <c r="A464" s="8"/>
      <c r="B464" s="8"/>
      <c r="C464" s="8"/>
      <c r="D464" s="8"/>
      <c r="E464" s="8"/>
      <c r="F464" s="8"/>
      <c r="G464" s="695"/>
      <c r="H464" s="695"/>
      <c r="I464" s="695"/>
      <c r="J464" s="695"/>
      <c r="K464" s="695"/>
      <c r="L464" s="695"/>
      <c r="M464" s="695"/>
      <c r="N464" s="695"/>
      <c r="O464" s="695"/>
      <c r="P464" s="695"/>
      <c r="Q464" s="695"/>
      <c r="R464" s="695"/>
      <c r="S464" s="695"/>
      <c r="T464" s="8"/>
      <c r="U464" s="8"/>
      <c r="V464" s="8"/>
      <c r="W464" s="8"/>
      <c r="X464" s="8"/>
      <c r="Y464" s="8"/>
      <c r="Z464" s="8"/>
      <c r="AA464" s="8"/>
      <c r="AB464" s="8"/>
    </row>
    <row r="465" ht="12.75" customHeight="1" spans="1:28" x14ac:dyDescent="0.25">
      <c r="A465" s="8"/>
      <c r="B465" s="8"/>
      <c r="C465" s="8"/>
      <c r="D465" s="8"/>
      <c r="E465" s="8"/>
      <c r="F465" s="8"/>
      <c r="G465" s="695"/>
      <c r="H465" s="695"/>
      <c r="I465" s="695"/>
      <c r="J465" s="695"/>
      <c r="K465" s="695"/>
      <c r="L465" s="695"/>
      <c r="M465" s="695"/>
      <c r="N465" s="695"/>
      <c r="O465" s="695"/>
      <c r="P465" s="695"/>
      <c r="Q465" s="695"/>
      <c r="R465" s="695"/>
      <c r="S465" s="695"/>
      <c r="T465" s="8"/>
      <c r="U465" s="8"/>
      <c r="V465" s="8"/>
      <c r="W465" s="8"/>
      <c r="X465" s="8"/>
      <c r="Y465" s="8"/>
      <c r="Z465" s="8"/>
      <c r="AA465" s="8"/>
      <c r="AB465" s="8"/>
    </row>
    <row r="466" ht="12.75" customHeight="1" spans="1:28" x14ac:dyDescent="0.25">
      <c r="A466" s="8"/>
      <c r="B466" s="8"/>
      <c r="C466" s="8"/>
      <c r="D466" s="8"/>
      <c r="E466" s="8"/>
      <c r="F466" s="8"/>
      <c r="G466" s="695"/>
      <c r="H466" s="695"/>
      <c r="I466" s="695"/>
      <c r="J466" s="695"/>
      <c r="K466" s="695"/>
      <c r="L466" s="695"/>
      <c r="M466" s="695"/>
      <c r="N466" s="695"/>
      <c r="O466" s="695"/>
      <c r="P466" s="695"/>
      <c r="Q466" s="695"/>
      <c r="R466" s="695"/>
      <c r="S466" s="695"/>
      <c r="T466" s="8"/>
      <c r="U466" s="8"/>
      <c r="V466" s="8"/>
      <c r="W466" s="8"/>
      <c r="X466" s="8"/>
      <c r="Y466" s="8"/>
      <c r="Z466" s="8"/>
      <c r="AA466" s="8"/>
      <c r="AB466" s="8"/>
    </row>
    <row r="467" ht="12.75" customHeight="1" spans="1:28" x14ac:dyDescent="0.25">
      <c r="A467" s="8"/>
      <c r="B467" s="8"/>
      <c r="C467" s="8"/>
      <c r="D467" s="8"/>
      <c r="E467" s="8"/>
      <c r="F467" s="8"/>
      <c r="G467" s="695"/>
      <c r="H467" s="695"/>
      <c r="I467" s="695"/>
      <c r="J467" s="695"/>
      <c r="K467" s="695"/>
      <c r="L467" s="695"/>
      <c r="M467" s="695"/>
      <c r="N467" s="695"/>
      <c r="O467" s="695"/>
      <c r="P467" s="695"/>
      <c r="Q467" s="695"/>
      <c r="R467" s="695"/>
      <c r="S467" s="695"/>
      <c r="T467" s="8"/>
      <c r="U467" s="8"/>
      <c r="V467" s="8"/>
      <c r="W467" s="8"/>
      <c r="X467" s="8"/>
      <c r="Y467" s="8"/>
      <c r="Z467" s="8"/>
      <c r="AA467" s="8"/>
      <c r="AB467" s="8"/>
    </row>
    <row r="468" ht="12.75" customHeight="1" spans="1:28" x14ac:dyDescent="0.25">
      <c r="A468" s="8"/>
      <c r="B468" s="8"/>
      <c r="C468" s="8"/>
      <c r="D468" s="8"/>
      <c r="E468" s="8"/>
      <c r="F468" s="8"/>
      <c r="G468" s="695"/>
      <c r="H468" s="695"/>
      <c r="I468" s="695"/>
      <c r="J468" s="695"/>
      <c r="K468" s="695"/>
      <c r="L468" s="695"/>
      <c r="M468" s="695"/>
      <c r="N468" s="695"/>
      <c r="O468" s="695"/>
      <c r="P468" s="695"/>
      <c r="Q468" s="695"/>
      <c r="R468" s="695"/>
      <c r="S468" s="695"/>
      <c r="T468" s="8"/>
      <c r="U468" s="8"/>
      <c r="V468" s="8"/>
      <c r="W468" s="8"/>
      <c r="X468" s="8"/>
      <c r="Y468" s="8"/>
      <c r="Z468" s="8"/>
      <c r="AA468" s="8"/>
      <c r="AB468" s="8"/>
    </row>
    <row r="469" ht="12.75" customHeight="1" spans="1:28" x14ac:dyDescent="0.25">
      <c r="A469" s="8"/>
      <c r="B469" s="8"/>
      <c r="C469" s="8"/>
      <c r="D469" s="8"/>
      <c r="E469" s="8"/>
      <c r="F469" s="8"/>
      <c r="G469" s="695"/>
      <c r="H469" s="695"/>
      <c r="I469" s="695"/>
      <c r="J469" s="695"/>
      <c r="K469" s="695"/>
      <c r="L469" s="695"/>
      <c r="M469" s="695"/>
      <c r="N469" s="695"/>
      <c r="O469" s="695"/>
      <c r="P469" s="695"/>
      <c r="Q469" s="695"/>
      <c r="R469" s="695"/>
      <c r="S469" s="695"/>
      <c r="T469" s="8"/>
      <c r="U469" s="8"/>
      <c r="V469" s="8"/>
      <c r="W469" s="8"/>
      <c r="X469" s="8"/>
      <c r="Y469" s="8"/>
      <c r="Z469" s="8"/>
      <c r="AA469" s="8"/>
      <c r="AB469" s="8"/>
    </row>
    <row r="470" ht="12.75" customHeight="1" spans="1:28" x14ac:dyDescent="0.25">
      <c r="A470" s="8"/>
      <c r="B470" s="8"/>
      <c r="C470" s="8"/>
      <c r="D470" s="8"/>
      <c r="E470" s="8"/>
      <c r="F470" s="8"/>
      <c r="G470" s="695"/>
      <c r="H470" s="695"/>
      <c r="I470" s="695"/>
      <c r="J470" s="695"/>
      <c r="K470" s="695"/>
      <c r="L470" s="695"/>
      <c r="M470" s="695"/>
      <c r="N470" s="695"/>
      <c r="O470" s="695"/>
      <c r="P470" s="695"/>
      <c r="Q470" s="695"/>
      <c r="R470" s="695"/>
      <c r="S470" s="695"/>
      <c r="T470" s="8"/>
      <c r="U470" s="8"/>
      <c r="V470" s="8"/>
      <c r="W470" s="8"/>
      <c r="X470" s="8"/>
      <c r="Y470" s="8"/>
      <c r="Z470" s="8"/>
      <c r="AA470" s="8"/>
      <c r="AB470" s="8"/>
    </row>
    <row r="471" ht="12.75" customHeight="1" spans="1:28" x14ac:dyDescent="0.25">
      <c r="A471" s="8"/>
      <c r="B471" s="8"/>
      <c r="C471" s="8"/>
      <c r="D471" s="8"/>
      <c r="E471" s="8"/>
      <c r="F471" s="8"/>
      <c r="G471" s="695"/>
      <c r="H471" s="695"/>
      <c r="I471" s="695"/>
      <c r="J471" s="695"/>
      <c r="K471" s="695"/>
      <c r="L471" s="695"/>
      <c r="M471" s="695"/>
      <c r="N471" s="695"/>
      <c r="O471" s="695"/>
      <c r="P471" s="695"/>
      <c r="Q471" s="695"/>
      <c r="R471" s="695"/>
      <c r="S471" s="695"/>
      <c r="T471" s="8"/>
      <c r="U471" s="8"/>
      <c r="V471" s="8"/>
      <c r="W471" s="8"/>
      <c r="X471" s="8"/>
      <c r="Y471" s="8"/>
      <c r="Z471" s="8"/>
      <c r="AA471" s="8"/>
      <c r="AB471" s="8"/>
    </row>
    <row r="472" ht="12.75" customHeight="1" spans="1:28" x14ac:dyDescent="0.25">
      <c r="A472" s="8"/>
      <c r="B472" s="8"/>
      <c r="C472" s="8"/>
      <c r="D472" s="8"/>
      <c r="E472" s="8"/>
      <c r="F472" s="8"/>
      <c r="G472" s="695"/>
      <c r="H472" s="695"/>
      <c r="I472" s="695"/>
      <c r="J472" s="695"/>
      <c r="K472" s="695"/>
      <c r="L472" s="695"/>
      <c r="M472" s="695"/>
      <c r="N472" s="695"/>
      <c r="O472" s="695"/>
      <c r="P472" s="695"/>
      <c r="Q472" s="695"/>
      <c r="R472" s="695"/>
      <c r="S472" s="695"/>
      <c r="T472" s="8"/>
      <c r="U472" s="8"/>
      <c r="V472" s="8"/>
      <c r="W472" s="8"/>
      <c r="X472" s="8"/>
      <c r="Y472" s="8"/>
      <c r="Z472" s="8"/>
      <c r="AA472" s="8"/>
      <c r="AB472" s="8"/>
    </row>
    <row r="473" ht="12.75" customHeight="1" spans="1:28" x14ac:dyDescent="0.25">
      <c r="A473" s="8"/>
      <c r="B473" s="8"/>
      <c r="C473" s="8"/>
      <c r="D473" s="8"/>
      <c r="E473" s="8"/>
      <c r="F473" s="8"/>
      <c r="G473" s="695"/>
      <c r="H473" s="695"/>
      <c r="I473" s="695"/>
      <c r="J473" s="695"/>
      <c r="K473" s="695"/>
      <c r="L473" s="695"/>
      <c r="M473" s="695"/>
      <c r="N473" s="695"/>
      <c r="O473" s="695"/>
      <c r="P473" s="695"/>
      <c r="Q473" s="695"/>
      <c r="R473" s="695"/>
      <c r="S473" s="695"/>
      <c r="T473" s="8"/>
      <c r="U473" s="8"/>
      <c r="V473" s="8"/>
      <c r="W473" s="8"/>
      <c r="X473" s="8"/>
      <c r="Y473" s="8"/>
      <c r="Z473" s="8"/>
      <c r="AA473" s="8"/>
      <c r="AB473" s="8"/>
    </row>
    <row r="474" ht="12.75" customHeight="1" spans="1:28" x14ac:dyDescent="0.25">
      <c r="A474" s="8"/>
      <c r="B474" s="8"/>
      <c r="C474" s="8"/>
      <c r="D474" s="8"/>
      <c r="E474" s="8"/>
      <c r="F474" s="8"/>
      <c r="G474" s="695"/>
      <c r="H474" s="695"/>
      <c r="I474" s="695"/>
      <c r="J474" s="695"/>
      <c r="K474" s="695"/>
      <c r="L474" s="695"/>
      <c r="M474" s="695"/>
      <c r="N474" s="695"/>
      <c r="O474" s="695"/>
      <c r="P474" s="695"/>
      <c r="Q474" s="695"/>
      <c r="R474" s="695"/>
      <c r="S474" s="695"/>
      <c r="T474" s="8"/>
      <c r="U474" s="8"/>
      <c r="V474" s="8"/>
      <c r="W474" s="8"/>
      <c r="X474" s="8"/>
      <c r="Y474" s="8"/>
      <c r="Z474" s="8"/>
      <c r="AA474" s="8"/>
      <c r="AB474" s="8"/>
    </row>
    <row r="475" ht="12.75" customHeight="1" spans="1:28" x14ac:dyDescent="0.25">
      <c r="A475" s="8"/>
      <c r="B475" s="8"/>
      <c r="C475" s="8"/>
      <c r="D475" s="8"/>
      <c r="E475" s="8"/>
      <c r="F475" s="8"/>
      <c r="G475" s="695"/>
      <c r="H475" s="695"/>
      <c r="I475" s="695"/>
      <c r="J475" s="695"/>
      <c r="K475" s="695"/>
      <c r="L475" s="695"/>
      <c r="M475" s="695"/>
      <c r="N475" s="695"/>
      <c r="O475" s="695"/>
      <c r="P475" s="695"/>
      <c r="Q475" s="695"/>
      <c r="R475" s="695"/>
      <c r="S475" s="695"/>
      <c r="T475" s="8"/>
      <c r="U475" s="8"/>
      <c r="V475" s="8"/>
      <c r="W475" s="8"/>
      <c r="X475" s="8"/>
      <c r="Y475" s="8"/>
      <c r="Z475" s="8"/>
      <c r="AA475" s="8"/>
      <c r="AB475" s="8"/>
    </row>
    <row r="476" ht="12.75" customHeight="1" spans="1:28" x14ac:dyDescent="0.25">
      <c r="A476" s="8"/>
      <c r="B476" s="8"/>
      <c r="C476" s="8"/>
      <c r="D476" s="8"/>
      <c r="E476" s="8"/>
      <c r="F476" s="8"/>
      <c r="G476" s="695"/>
      <c r="H476" s="695"/>
      <c r="I476" s="695"/>
      <c r="J476" s="695"/>
      <c r="K476" s="695"/>
      <c r="L476" s="695"/>
      <c r="M476" s="695"/>
      <c r="N476" s="695"/>
      <c r="O476" s="695"/>
      <c r="P476" s="695"/>
      <c r="Q476" s="695"/>
      <c r="R476" s="695"/>
      <c r="S476" s="695"/>
      <c r="T476" s="8"/>
      <c r="U476" s="8"/>
      <c r="V476" s="8"/>
      <c r="W476" s="8"/>
      <c r="X476" s="8"/>
      <c r="Y476" s="8"/>
      <c r="Z476" s="8"/>
      <c r="AA476" s="8"/>
      <c r="AB476" s="8"/>
    </row>
    <row r="477" ht="12.75" customHeight="1" spans="1:28" x14ac:dyDescent="0.25">
      <c r="A477" s="8"/>
      <c r="B477" s="8"/>
      <c r="C477" s="8"/>
      <c r="D477" s="8"/>
      <c r="E477" s="8"/>
      <c r="F477" s="8"/>
      <c r="G477" s="695"/>
      <c r="H477" s="695"/>
      <c r="I477" s="695"/>
      <c r="J477" s="695"/>
      <c r="K477" s="695"/>
      <c r="L477" s="695"/>
      <c r="M477" s="695"/>
      <c r="N477" s="695"/>
      <c r="O477" s="695"/>
      <c r="P477" s="695"/>
      <c r="Q477" s="695"/>
      <c r="R477" s="695"/>
      <c r="S477" s="695"/>
      <c r="T477" s="8"/>
      <c r="U477" s="8"/>
      <c r="V477" s="8"/>
      <c r="W477" s="8"/>
      <c r="X477" s="8"/>
      <c r="Y477" s="8"/>
      <c r="Z477" s="8"/>
      <c r="AA477" s="8"/>
      <c r="AB477" s="8"/>
    </row>
    <row r="478" ht="12.75" customHeight="1" spans="1:28" x14ac:dyDescent="0.25">
      <c r="A478" s="8"/>
      <c r="B478" s="8"/>
      <c r="C478" s="8"/>
      <c r="D478" s="8"/>
      <c r="E478" s="8"/>
      <c r="F478" s="8"/>
      <c r="G478" s="695"/>
      <c r="H478" s="695"/>
      <c r="I478" s="695"/>
      <c r="J478" s="695"/>
      <c r="K478" s="695"/>
      <c r="L478" s="695"/>
      <c r="M478" s="695"/>
      <c r="N478" s="695"/>
      <c r="O478" s="695"/>
      <c r="P478" s="695"/>
      <c r="Q478" s="695"/>
      <c r="R478" s="695"/>
      <c r="S478" s="695"/>
      <c r="T478" s="8"/>
      <c r="U478" s="8"/>
      <c r="V478" s="8"/>
      <c r="W478" s="8"/>
      <c r="X478" s="8"/>
      <c r="Y478" s="8"/>
      <c r="Z478" s="8"/>
      <c r="AA478" s="8"/>
      <c r="AB478" s="8"/>
    </row>
    <row r="479" ht="12.75" customHeight="1" spans="1:28" x14ac:dyDescent="0.25">
      <c r="A479" s="8"/>
      <c r="B479" s="8"/>
      <c r="C479" s="8"/>
      <c r="D479" s="8"/>
      <c r="E479" s="8"/>
      <c r="F479" s="8"/>
      <c r="G479" s="695"/>
      <c r="H479" s="695"/>
      <c r="I479" s="695"/>
      <c r="J479" s="695"/>
      <c r="K479" s="695"/>
      <c r="L479" s="695"/>
      <c r="M479" s="695"/>
      <c r="N479" s="695"/>
      <c r="O479" s="695"/>
      <c r="P479" s="695"/>
      <c r="Q479" s="695"/>
      <c r="R479" s="695"/>
      <c r="S479" s="695"/>
      <c r="T479" s="8"/>
      <c r="U479" s="8"/>
      <c r="V479" s="8"/>
      <c r="W479" s="8"/>
      <c r="X479" s="8"/>
      <c r="Y479" s="8"/>
      <c r="Z479" s="8"/>
      <c r="AA479" s="8"/>
      <c r="AB479" s="8"/>
    </row>
    <row r="480" ht="12.75" customHeight="1" spans="1:28" x14ac:dyDescent="0.25">
      <c r="A480" s="8"/>
      <c r="B480" s="8"/>
      <c r="C480" s="8"/>
      <c r="D480" s="8"/>
      <c r="E480" s="8"/>
      <c r="F480" s="8"/>
      <c r="G480" s="695"/>
      <c r="H480" s="695"/>
      <c r="I480" s="695"/>
      <c r="J480" s="695"/>
      <c r="K480" s="695"/>
      <c r="L480" s="695"/>
      <c r="M480" s="695"/>
      <c r="N480" s="695"/>
      <c r="O480" s="695"/>
      <c r="P480" s="695"/>
      <c r="Q480" s="695"/>
      <c r="R480" s="695"/>
      <c r="S480" s="695"/>
      <c r="T480" s="8"/>
      <c r="U480" s="8"/>
      <c r="V480" s="8"/>
      <c r="W480" s="8"/>
      <c r="X480" s="8"/>
      <c r="Y480" s="8"/>
      <c r="Z480" s="8"/>
      <c r="AA480" s="8"/>
      <c r="AB480" s="8"/>
    </row>
    <row r="481" ht="12.75" customHeight="1" spans="1:28" x14ac:dyDescent="0.25">
      <c r="A481" s="8"/>
      <c r="B481" s="8"/>
      <c r="C481" s="8"/>
      <c r="D481" s="8"/>
      <c r="E481" s="8"/>
      <c r="F481" s="8"/>
      <c r="G481" s="695"/>
      <c r="H481" s="695"/>
      <c r="I481" s="695"/>
      <c r="J481" s="695"/>
      <c r="K481" s="695"/>
      <c r="L481" s="695"/>
      <c r="M481" s="695"/>
      <c r="N481" s="695"/>
      <c r="O481" s="695"/>
      <c r="P481" s="695"/>
      <c r="Q481" s="695"/>
      <c r="R481" s="695"/>
      <c r="S481" s="695"/>
      <c r="T481" s="8"/>
      <c r="U481" s="8"/>
      <c r="V481" s="8"/>
      <c r="W481" s="8"/>
      <c r="X481" s="8"/>
      <c r="Y481" s="8"/>
      <c r="Z481" s="8"/>
      <c r="AA481" s="8"/>
      <c r="AB481" s="8"/>
    </row>
    <row r="482" ht="12.75" customHeight="1" spans="1:28" x14ac:dyDescent="0.25">
      <c r="A482" s="8"/>
      <c r="B482" s="8"/>
      <c r="C482" s="8"/>
      <c r="D482" s="8"/>
      <c r="E482" s="8"/>
      <c r="F482" s="8"/>
      <c r="G482" s="695"/>
      <c r="H482" s="695"/>
      <c r="I482" s="695"/>
      <c r="J482" s="695"/>
      <c r="K482" s="695"/>
      <c r="L482" s="695"/>
      <c r="M482" s="695"/>
      <c r="N482" s="695"/>
      <c r="O482" s="695"/>
      <c r="P482" s="695"/>
      <c r="Q482" s="695"/>
      <c r="R482" s="695"/>
      <c r="S482" s="695"/>
      <c r="T482" s="8"/>
      <c r="U482" s="8"/>
      <c r="V482" s="8"/>
      <c r="W482" s="8"/>
      <c r="X482" s="8"/>
      <c r="Y482" s="8"/>
      <c r="Z482" s="8"/>
      <c r="AA482" s="8"/>
      <c r="AB482" s="8"/>
    </row>
    <row r="483" ht="12.75" customHeight="1" spans="1:28" x14ac:dyDescent="0.25">
      <c r="A483" s="8"/>
      <c r="B483" s="8"/>
      <c r="C483" s="8"/>
      <c r="D483" s="8"/>
      <c r="E483" s="8"/>
      <c r="F483" s="8"/>
      <c r="G483" s="695"/>
      <c r="H483" s="695"/>
      <c r="I483" s="695"/>
      <c r="J483" s="695"/>
      <c r="K483" s="695"/>
      <c r="L483" s="695"/>
      <c r="M483" s="695"/>
      <c r="N483" s="695"/>
      <c r="O483" s="695"/>
      <c r="P483" s="695"/>
      <c r="Q483" s="695"/>
      <c r="R483" s="695"/>
      <c r="S483" s="695"/>
      <c r="T483" s="8"/>
      <c r="U483" s="8"/>
      <c r="V483" s="8"/>
      <c r="W483" s="8"/>
      <c r="X483" s="8"/>
      <c r="Y483" s="8"/>
      <c r="Z483" s="8"/>
      <c r="AA483" s="8"/>
      <c r="AB483" s="8"/>
    </row>
    <row r="484" ht="12.75" customHeight="1" spans="1:28" x14ac:dyDescent="0.25">
      <c r="A484" s="8"/>
      <c r="B484" s="8"/>
      <c r="C484" s="8"/>
      <c r="D484" s="8"/>
      <c r="E484" s="8"/>
      <c r="F484" s="8"/>
      <c r="G484" s="695"/>
      <c r="H484" s="695"/>
      <c r="I484" s="695"/>
      <c r="J484" s="695"/>
      <c r="K484" s="695"/>
      <c r="L484" s="695"/>
      <c r="M484" s="695"/>
      <c r="N484" s="695"/>
      <c r="O484" s="695"/>
      <c r="P484" s="695"/>
      <c r="Q484" s="695"/>
      <c r="R484" s="695"/>
      <c r="S484" s="695"/>
      <c r="T484" s="8"/>
      <c r="U484" s="8"/>
      <c r="V484" s="8"/>
      <c r="W484" s="8"/>
      <c r="X484" s="8"/>
      <c r="Y484" s="8"/>
      <c r="Z484" s="8"/>
      <c r="AA484" s="8"/>
      <c r="AB484" s="8"/>
    </row>
    <row r="485" ht="12.75" customHeight="1" spans="1:28" x14ac:dyDescent="0.25">
      <c r="A485" s="8"/>
      <c r="B485" s="8"/>
      <c r="C485" s="8"/>
      <c r="D485" s="8"/>
      <c r="E485" s="8"/>
      <c r="F485" s="8"/>
      <c r="G485" s="695"/>
      <c r="H485" s="695"/>
      <c r="I485" s="695"/>
      <c r="J485" s="695"/>
      <c r="K485" s="695"/>
      <c r="L485" s="695"/>
      <c r="M485" s="695"/>
      <c r="N485" s="695"/>
      <c r="O485" s="695"/>
      <c r="P485" s="695"/>
      <c r="Q485" s="695"/>
      <c r="R485" s="695"/>
      <c r="S485" s="695"/>
      <c r="T485" s="8"/>
      <c r="U485" s="8"/>
      <c r="V485" s="8"/>
      <c r="W485" s="8"/>
      <c r="X485" s="8"/>
      <c r="Y485" s="8"/>
      <c r="Z485" s="8"/>
      <c r="AA485" s="8"/>
      <c r="AB485" s="8"/>
    </row>
    <row r="486" ht="12.75" customHeight="1" spans="1:28" x14ac:dyDescent="0.25">
      <c r="A486" s="8"/>
      <c r="B486" s="8"/>
      <c r="C486" s="8"/>
      <c r="D486" s="8"/>
      <c r="E486" s="8"/>
      <c r="F486" s="8"/>
      <c r="G486" s="695"/>
      <c r="H486" s="695"/>
      <c r="I486" s="695"/>
      <c r="J486" s="695"/>
      <c r="K486" s="695"/>
      <c r="L486" s="695"/>
      <c r="M486" s="695"/>
      <c r="N486" s="695"/>
      <c r="O486" s="695"/>
      <c r="P486" s="695"/>
      <c r="Q486" s="695"/>
      <c r="R486" s="695"/>
      <c r="S486" s="695"/>
      <c r="T486" s="8"/>
      <c r="U486" s="8"/>
      <c r="V486" s="8"/>
      <c r="W486" s="8"/>
      <c r="X486" s="8"/>
      <c r="Y486" s="8"/>
      <c r="Z486" s="8"/>
      <c r="AA486" s="8"/>
      <c r="AB486" s="8"/>
    </row>
    <row r="487" ht="12.75" customHeight="1" spans="1:28" x14ac:dyDescent="0.25">
      <c r="A487" s="8"/>
      <c r="B487" s="8"/>
      <c r="C487" s="8"/>
      <c r="D487" s="8"/>
      <c r="E487" s="8"/>
      <c r="F487" s="8"/>
      <c r="G487" s="695"/>
      <c r="H487" s="695"/>
      <c r="I487" s="695"/>
      <c r="J487" s="695"/>
      <c r="K487" s="695"/>
      <c r="L487" s="695"/>
      <c r="M487" s="695"/>
      <c r="N487" s="695"/>
      <c r="O487" s="695"/>
      <c r="P487" s="695"/>
      <c r="Q487" s="695"/>
      <c r="R487" s="695"/>
      <c r="S487" s="695"/>
      <c r="T487" s="8"/>
      <c r="U487" s="8"/>
      <c r="V487" s="8"/>
      <c r="W487" s="8"/>
      <c r="X487" s="8"/>
      <c r="Y487" s="8"/>
      <c r="Z487" s="8"/>
      <c r="AA487" s="8"/>
      <c r="AB487" s="8"/>
    </row>
    <row r="488" ht="12.75" customHeight="1" spans="1:28" x14ac:dyDescent="0.25">
      <c r="A488" s="8"/>
      <c r="B488" s="8"/>
      <c r="C488" s="8"/>
      <c r="D488" s="8"/>
      <c r="E488" s="8"/>
      <c r="F488" s="8"/>
      <c r="G488" s="695"/>
      <c r="H488" s="695"/>
      <c r="I488" s="695"/>
      <c r="J488" s="695"/>
      <c r="K488" s="695"/>
      <c r="L488" s="695"/>
      <c r="M488" s="695"/>
      <c r="N488" s="695"/>
      <c r="O488" s="695"/>
      <c r="P488" s="695"/>
      <c r="Q488" s="695"/>
      <c r="R488" s="695"/>
      <c r="S488" s="695"/>
      <c r="T488" s="8"/>
      <c r="U488" s="8"/>
      <c r="V488" s="8"/>
      <c r="W488" s="8"/>
      <c r="X488" s="8"/>
      <c r="Y488" s="8"/>
      <c r="Z488" s="8"/>
      <c r="AA488" s="8"/>
      <c r="AB488" s="8"/>
    </row>
    <row r="489" ht="12.75" customHeight="1" spans="1:28" x14ac:dyDescent="0.25">
      <c r="A489" s="8"/>
      <c r="B489" s="8"/>
      <c r="C489" s="8"/>
      <c r="D489" s="8"/>
      <c r="E489" s="8"/>
      <c r="F489" s="8"/>
      <c r="G489" s="695"/>
      <c r="H489" s="695"/>
      <c r="I489" s="695"/>
      <c r="J489" s="695"/>
      <c r="K489" s="695"/>
      <c r="L489" s="695"/>
      <c r="M489" s="695"/>
      <c r="N489" s="695"/>
      <c r="O489" s="695"/>
      <c r="P489" s="695"/>
      <c r="Q489" s="695"/>
      <c r="R489" s="695"/>
      <c r="S489" s="695"/>
      <c r="T489" s="8"/>
      <c r="U489" s="8"/>
      <c r="V489" s="8"/>
      <c r="W489" s="8"/>
      <c r="X489" s="8"/>
      <c r="Y489" s="8"/>
      <c r="Z489" s="8"/>
      <c r="AA489" s="8"/>
      <c r="AB489" s="8"/>
    </row>
    <row r="490" ht="12.75" customHeight="1" spans="1:28" x14ac:dyDescent="0.25">
      <c r="A490" s="8"/>
      <c r="B490" s="8"/>
      <c r="C490" s="8"/>
      <c r="D490" s="8"/>
      <c r="E490" s="8"/>
      <c r="F490" s="8"/>
      <c r="G490" s="695"/>
      <c r="H490" s="695"/>
      <c r="I490" s="695"/>
      <c r="J490" s="695"/>
      <c r="K490" s="695"/>
      <c r="L490" s="695"/>
      <c r="M490" s="695"/>
      <c r="N490" s="695"/>
      <c r="O490" s="695"/>
      <c r="P490" s="695"/>
      <c r="Q490" s="695"/>
      <c r="R490" s="695"/>
      <c r="S490" s="695"/>
      <c r="T490" s="8"/>
      <c r="U490" s="8"/>
      <c r="V490" s="8"/>
      <c r="W490" s="8"/>
      <c r="X490" s="8"/>
      <c r="Y490" s="8"/>
      <c r="Z490" s="8"/>
      <c r="AA490" s="8"/>
      <c r="AB490" s="8"/>
    </row>
    <row r="491" ht="12.75" customHeight="1" spans="1:28" x14ac:dyDescent="0.25">
      <c r="A491" s="8"/>
      <c r="B491" s="8"/>
      <c r="C491" s="8"/>
      <c r="D491" s="8"/>
      <c r="E491" s="8"/>
      <c r="F491" s="8"/>
      <c r="G491" s="695"/>
      <c r="H491" s="695"/>
      <c r="I491" s="695"/>
      <c r="J491" s="695"/>
      <c r="K491" s="695"/>
      <c r="L491" s="695"/>
      <c r="M491" s="695"/>
      <c r="N491" s="695"/>
      <c r="O491" s="695"/>
      <c r="P491" s="695"/>
      <c r="Q491" s="695"/>
      <c r="R491" s="695"/>
      <c r="S491" s="695"/>
      <c r="T491" s="8"/>
      <c r="U491" s="8"/>
      <c r="V491" s="8"/>
      <c r="W491" s="8"/>
      <c r="X491" s="8"/>
      <c r="Y491" s="8"/>
      <c r="Z491" s="8"/>
      <c r="AA491" s="8"/>
      <c r="AB491" s="8"/>
    </row>
    <row r="492" ht="12.75" customHeight="1" spans="1:28" x14ac:dyDescent="0.25">
      <c r="A492" s="8"/>
      <c r="B492" s="8"/>
      <c r="C492" s="8"/>
      <c r="D492" s="8"/>
      <c r="E492" s="8"/>
      <c r="F492" s="8"/>
      <c r="G492" s="695"/>
      <c r="H492" s="695"/>
      <c r="I492" s="695"/>
      <c r="J492" s="695"/>
      <c r="K492" s="695"/>
      <c r="L492" s="695"/>
      <c r="M492" s="695"/>
      <c r="N492" s="695"/>
      <c r="O492" s="695"/>
      <c r="P492" s="695"/>
      <c r="Q492" s="695"/>
      <c r="R492" s="695"/>
      <c r="S492" s="695"/>
      <c r="T492" s="8"/>
      <c r="U492" s="8"/>
      <c r="V492" s="8"/>
      <c r="W492" s="8"/>
      <c r="X492" s="8"/>
      <c r="Y492" s="8"/>
      <c r="Z492" s="8"/>
      <c r="AA492" s="8"/>
      <c r="AB492" s="8"/>
    </row>
    <row r="493" ht="12.75" customHeight="1" spans="1:28" x14ac:dyDescent="0.25">
      <c r="A493" s="8"/>
      <c r="B493" s="8"/>
      <c r="C493" s="8"/>
      <c r="D493" s="8"/>
      <c r="E493" s="8"/>
      <c r="F493" s="8"/>
      <c r="G493" s="695"/>
      <c r="H493" s="695"/>
      <c r="I493" s="695"/>
      <c r="J493" s="695"/>
      <c r="K493" s="695"/>
      <c r="L493" s="695"/>
      <c r="M493" s="695"/>
      <c r="N493" s="695"/>
      <c r="O493" s="695"/>
      <c r="P493" s="695"/>
      <c r="Q493" s="695"/>
      <c r="R493" s="695"/>
      <c r="S493" s="695"/>
      <c r="T493" s="8"/>
      <c r="U493" s="8"/>
      <c r="V493" s="8"/>
      <c r="W493" s="8"/>
      <c r="X493" s="8"/>
      <c r="Y493" s="8"/>
      <c r="Z493" s="8"/>
      <c r="AA493" s="8"/>
      <c r="AB493" s="8"/>
    </row>
    <row r="494" ht="12.75" customHeight="1" spans="1:28" x14ac:dyDescent="0.25">
      <c r="A494" s="8"/>
      <c r="B494" s="8"/>
      <c r="C494" s="8"/>
      <c r="D494" s="8"/>
      <c r="E494" s="8"/>
      <c r="F494" s="8"/>
      <c r="G494" s="695"/>
      <c r="H494" s="695"/>
      <c r="I494" s="695"/>
      <c r="J494" s="695"/>
      <c r="K494" s="695"/>
      <c r="L494" s="695"/>
      <c r="M494" s="695"/>
      <c r="N494" s="695"/>
      <c r="O494" s="695"/>
      <c r="P494" s="695"/>
      <c r="Q494" s="695"/>
      <c r="R494" s="695"/>
      <c r="S494" s="695"/>
      <c r="T494" s="8"/>
      <c r="U494" s="8"/>
      <c r="V494" s="8"/>
      <c r="W494" s="8"/>
      <c r="X494" s="8"/>
      <c r="Y494" s="8"/>
      <c r="Z494" s="8"/>
      <c r="AA494" s="8"/>
      <c r="AB494" s="8"/>
    </row>
    <row r="495" ht="12.75" customHeight="1" spans="1:28" x14ac:dyDescent="0.25">
      <c r="A495" s="8"/>
      <c r="B495" s="8"/>
      <c r="C495" s="8"/>
      <c r="D495" s="8"/>
      <c r="E495" s="8"/>
      <c r="F495" s="8"/>
      <c r="G495" s="695"/>
      <c r="H495" s="695"/>
      <c r="I495" s="695"/>
      <c r="J495" s="695"/>
      <c r="K495" s="695"/>
      <c r="L495" s="695"/>
      <c r="M495" s="695"/>
      <c r="N495" s="695"/>
      <c r="O495" s="695"/>
      <c r="P495" s="695"/>
      <c r="Q495" s="695"/>
      <c r="R495" s="695"/>
      <c r="S495" s="695"/>
      <c r="T495" s="8"/>
      <c r="U495" s="8"/>
      <c r="V495" s="8"/>
      <c r="W495" s="8"/>
      <c r="X495" s="8"/>
      <c r="Y495" s="8"/>
      <c r="Z495" s="8"/>
      <c r="AA495" s="8"/>
      <c r="AB495" s="8"/>
    </row>
    <row r="496" ht="12.75" customHeight="1" spans="1:28" x14ac:dyDescent="0.25">
      <c r="A496" s="8"/>
      <c r="B496" s="8"/>
      <c r="C496" s="8"/>
      <c r="D496" s="8"/>
      <c r="E496" s="8"/>
      <c r="F496" s="8"/>
      <c r="G496" s="695"/>
      <c r="H496" s="695"/>
      <c r="I496" s="695"/>
      <c r="J496" s="695"/>
      <c r="K496" s="695"/>
      <c r="L496" s="695"/>
      <c r="M496" s="695"/>
      <c r="N496" s="695"/>
      <c r="O496" s="695"/>
      <c r="P496" s="695"/>
      <c r="Q496" s="695"/>
      <c r="R496" s="695"/>
      <c r="S496" s="695"/>
      <c r="T496" s="8"/>
      <c r="U496" s="8"/>
      <c r="V496" s="8"/>
      <c r="W496" s="8"/>
      <c r="X496" s="8"/>
      <c r="Y496" s="8"/>
      <c r="Z496" s="8"/>
      <c r="AA496" s="8"/>
      <c r="AB496" s="8"/>
    </row>
    <row r="497" ht="12.75" customHeight="1" spans="1:28" x14ac:dyDescent="0.25">
      <c r="A497" s="8"/>
      <c r="B497" s="8"/>
      <c r="C497" s="8"/>
      <c r="D497" s="8"/>
      <c r="E497" s="8"/>
      <c r="F497" s="8"/>
      <c r="G497" s="695"/>
      <c r="H497" s="695"/>
      <c r="I497" s="695"/>
      <c r="J497" s="695"/>
      <c r="K497" s="695"/>
      <c r="L497" s="695"/>
      <c r="M497" s="695"/>
      <c r="N497" s="695"/>
      <c r="O497" s="695"/>
      <c r="P497" s="695"/>
      <c r="Q497" s="695"/>
      <c r="R497" s="695"/>
      <c r="S497" s="695"/>
      <c r="T497" s="8"/>
      <c r="U497" s="8"/>
      <c r="V497" s="8"/>
      <c r="W497" s="8"/>
      <c r="X497" s="8"/>
      <c r="Y497" s="8"/>
      <c r="Z497" s="8"/>
      <c r="AA497" s="8"/>
      <c r="AB497" s="8"/>
    </row>
    <row r="498" ht="12.75" customHeight="1" spans="1:28" x14ac:dyDescent="0.25">
      <c r="A498" s="8"/>
      <c r="B498" s="8"/>
      <c r="C498" s="8"/>
      <c r="D498" s="8"/>
      <c r="E498" s="8"/>
      <c r="F498" s="8"/>
      <c r="G498" s="695"/>
      <c r="H498" s="695"/>
      <c r="I498" s="695"/>
      <c r="J498" s="695"/>
      <c r="K498" s="695"/>
      <c r="L498" s="695"/>
      <c r="M498" s="695"/>
      <c r="N498" s="695"/>
      <c r="O498" s="695"/>
      <c r="P498" s="695"/>
      <c r="Q498" s="695"/>
      <c r="R498" s="695"/>
      <c r="S498" s="695"/>
      <c r="T498" s="8"/>
      <c r="U498" s="8"/>
      <c r="V498" s="8"/>
      <c r="W498" s="8"/>
      <c r="X498" s="8"/>
      <c r="Y498" s="8"/>
      <c r="Z498" s="8"/>
      <c r="AA498" s="8"/>
      <c r="AB498" s="8"/>
    </row>
    <row r="499" ht="12.75" customHeight="1" spans="1:28" x14ac:dyDescent="0.25">
      <c r="A499" s="8"/>
      <c r="B499" s="8"/>
      <c r="C499" s="8"/>
      <c r="D499" s="8"/>
      <c r="E499" s="8"/>
      <c r="F499" s="8"/>
      <c r="G499" s="695"/>
      <c r="H499" s="695"/>
      <c r="I499" s="695"/>
      <c r="J499" s="695"/>
      <c r="K499" s="695"/>
      <c r="L499" s="695"/>
      <c r="M499" s="695"/>
      <c r="N499" s="695"/>
      <c r="O499" s="695"/>
      <c r="P499" s="695"/>
      <c r="Q499" s="695"/>
      <c r="R499" s="695"/>
      <c r="S499" s="695"/>
      <c r="T499" s="8"/>
      <c r="U499" s="8"/>
      <c r="V499" s="8"/>
      <c r="W499" s="8"/>
      <c r="X499" s="8"/>
      <c r="Y499" s="8"/>
      <c r="Z499" s="8"/>
      <c r="AA499" s="8"/>
      <c r="AB499" s="8"/>
    </row>
    <row r="500" ht="12.75" customHeight="1" spans="1:28" x14ac:dyDescent="0.25">
      <c r="A500" s="8"/>
      <c r="B500" s="8"/>
      <c r="C500" s="8"/>
      <c r="D500" s="8"/>
      <c r="E500" s="8"/>
      <c r="F500" s="8"/>
      <c r="G500" s="695"/>
      <c r="H500" s="695"/>
      <c r="I500" s="695"/>
      <c r="J500" s="695"/>
      <c r="K500" s="695"/>
      <c r="L500" s="695"/>
      <c r="M500" s="695"/>
      <c r="N500" s="695"/>
      <c r="O500" s="695"/>
      <c r="P500" s="695"/>
      <c r="Q500" s="695"/>
      <c r="R500" s="695"/>
      <c r="S500" s="695"/>
      <c r="T500" s="8"/>
      <c r="U500" s="8"/>
      <c r="V500" s="8"/>
      <c r="W500" s="8"/>
      <c r="X500" s="8"/>
      <c r="Y500" s="8"/>
      <c r="Z500" s="8"/>
      <c r="AA500" s="8"/>
      <c r="AB500" s="8"/>
    </row>
    <row r="501" ht="12.75" customHeight="1" spans="1:28" x14ac:dyDescent="0.25">
      <c r="A501" s="8"/>
      <c r="B501" s="8"/>
      <c r="C501" s="8"/>
      <c r="D501" s="8"/>
      <c r="E501" s="8"/>
      <c r="F501" s="8"/>
      <c r="G501" s="695"/>
      <c r="H501" s="695"/>
      <c r="I501" s="695"/>
      <c r="J501" s="695"/>
      <c r="K501" s="695"/>
      <c r="L501" s="695"/>
      <c r="M501" s="695"/>
      <c r="N501" s="695"/>
      <c r="O501" s="695"/>
      <c r="P501" s="695"/>
      <c r="Q501" s="695"/>
      <c r="R501" s="695"/>
      <c r="S501" s="695"/>
      <c r="T501" s="8"/>
      <c r="U501" s="8"/>
      <c r="V501" s="8"/>
      <c r="W501" s="8"/>
      <c r="X501" s="8"/>
      <c r="Y501" s="8"/>
      <c r="Z501" s="8"/>
      <c r="AA501" s="8"/>
      <c r="AB501" s="8"/>
    </row>
    <row r="502" ht="12.75" customHeight="1" spans="1:28" x14ac:dyDescent="0.25">
      <c r="A502" s="8"/>
      <c r="B502" s="8"/>
      <c r="C502" s="8"/>
      <c r="D502" s="8"/>
      <c r="E502" s="8"/>
      <c r="F502" s="8"/>
      <c r="G502" s="695"/>
      <c r="H502" s="695"/>
      <c r="I502" s="695"/>
      <c r="J502" s="695"/>
      <c r="K502" s="695"/>
      <c r="L502" s="695"/>
      <c r="M502" s="695"/>
      <c r="N502" s="695"/>
      <c r="O502" s="695"/>
      <c r="P502" s="695"/>
      <c r="Q502" s="695"/>
      <c r="R502" s="695"/>
      <c r="S502" s="695"/>
      <c r="T502" s="8"/>
      <c r="U502" s="8"/>
      <c r="V502" s="8"/>
      <c r="W502" s="8"/>
      <c r="X502" s="8"/>
      <c r="Y502" s="8"/>
      <c r="Z502" s="8"/>
      <c r="AA502" s="8"/>
      <c r="AB502" s="8"/>
    </row>
    <row r="503" ht="12.75" customHeight="1" spans="1:28" x14ac:dyDescent="0.25">
      <c r="A503" s="8"/>
      <c r="B503" s="8"/>
      <c r="C503" s="8"/>
      <c r="D503" s="8"/>
      <c r="E503" s="8"/>
      <c r="F503" s="8"/>
      <c r="G503" s="695"/>
      <c r="H503" s="695"/>
      <c r="I503" s="695"/>
      <c r="J503" s="695"/>
      <c r="K503" s="695"/>
      <c r="L503" s="695"/>
      <c r="M503" s="695"/>
      <c r="N503" s="695"/>
      <c r="O503" s="695"/>
      <c r="P503" s="695"/>
      <c r="Q503" s="695"/>
      <c r="R503" s="695"/>
      <c r="S503" s="695"/>
      <c r="T503" s="8"/>
      <c r="U503" s="8"/>
      <c r="V503" s="8"/>
      <c r="W503" s="8"/>
      <c r="X503" s="8"/>
      <c r="Y503" s="8"/>
      <c r="Z503" s="8"/>
      <c r="AA503" s="8"/>
      <c r="AB503" s="8"/>
    </row>
    <row r="504" ht="12.75" customHeight="1" spans="1:28" x14ac:dyDescent="0.25">
      <c r="A504" s="8"/>
      <c r="B504" s="8"/>
      <c r="C504" s="8"/>
      <c r="D504" s="8"/>
      <c r="E504" s="8"/>
      <c r="F504" s="8"/>
      <c r="G504" s="695"/>
      <c r="H504" s="695"/>
      <c r="I504" s="695"/>
      <c r="J504" s="695"/>
      <c r="K504" s="695"/>
      <c r="L504" s="695"/>
      <c r="M504" s="695"/>
      <c r="N504" s="695"/>
      <c r="O504" s="695"/>
      <c r="P504" s="695"/>
      <c r="Q504" s="695"/>
      <c r="R504" s="695"/>
      <c r="S504" s="695"/>
      <c r="T504" s="8"/>
      <c r="U504" s="8"/>
      <c r="V504" s="8"/>
      <c r="W504" s="8"/>
      <c r="X504" s="8"/>
      <c r="Y504" s="8"/>
      <c r="Z504" s="8"/>
      <c r="AA504" s="8"/>
      <c r="AB504" s="8"/>
    </row>
    <row r="505" ht="12.75" customHeight="1" spans="1:28" x14ac:dyDescent="0.25">
      <c r="A505" s="8"/>
      <c r="B505" s="8"/>
      <c r="C505" s="8"/>
      <c r="D505" s="8"/>
      <c r="E505" s="8"/>
      <c r="F505" s="8"/>
      <c r="G505" s="695"/>
      <c r="H505" s="695"/>
      <c r="I505" s="695"/>
      <c r="J505" s="695"/>
      <c r="K505" s="695"/>
      <c r="L505" s="695"/>
      <c r="M505" s="695"/>
      <c r="N505" s="695"/>
      <c r="O505" s="695"/>
      <c r="P505" s="695"/>
      <c r="Q505" s="695"/>
      <c r="R505" s="695"/>
      <c r="S505" s="695"/>
      <c r="T505" s="8"/>
      <c r="U505" s="8"/>
      <c r="V505" s="8"/>
      <c r="W505" s="8"/>
      <c r="X505" s="8"/>
      <c r="Y505" s="8"/>
      <c r="Z505" s="8"/>
      <c r="AA505" s="8"/>
      <c r="AB505" s="8"/>
    </row>
    <row r="506" ht="12.75" customHeight="1" spans="1:28" x14ac:dyDescent="0.25">
      <c r="A506" s="8"/>
      <c r="B506" s="8"/>
      <c r="C506" s="8"/>
      <c r="D506" s="8"/>
      <c r="E506" s="8"/>
      <c r="F506" s="8"/>
      <c r="G506" s="695"/>
      <c r="H506" s="695"/>
      <c r="I506" s="695"/>
      <c r="J506" s="695"/>
      <c r="K506" s="695"/>
      <c r="L506" s="695"/>
      <c r="M506" s="695"/>
      <c r="N506" s="695"/>
      <c r="O506" s="695"/>
      <c r="P506" s="695"/>
      <c r="Q506" s="695"/>
      <c r="R506" s="695"/>
      <c r="S506" s="695"/>
      <c r="T506" s="8"/>
      <c r="U506" s="8"/>
      <c r="V506" s="8"/>
      <c r="W506" s="8"/>
      <c r="X506" s="8"/>
      <c r="Y506" s="8"/>
      <c r="Z506" s="8"/>
      <c r="AA506" s="8"/>
      <c r="AB506" s="8"/>
    </row>
    <row r="507" ht="12.75" customHeight="1" spans="1:28" x14ac:dyDescent="0.25">
      <c r="A507" s="8"/>
      <c r="B507" s="8"/>
      <c r="C507" s="8"/>
      <c r="D507" s="8"/>
      <c r="E507" s="8"/>
      <c r="F507" s="8"/>
      <c r="G507" s="695"/>
      <c r="H507" s="695"/>
      <c r="I507" s="695"/>
      <c r="J507" s="695"/>
      <c r="K507" s="695"/>
      <c r="L507" s="695"/>
      <c r="M507" s="695"/>
      <c r="N507" s="695"/>
      <c r="O507" s="695"/>
      <c r="P507" s="695"/>
      <c r="Q507" s="695"/>
      <c r="R507" s="695"/>
      <c r="S507" s="695"/>
      <c r="T507" s="8"/>
      <c r="U507" s="8"/>
      <c r="V507" s="8"/>
      <c r="W507" s="8"/>
      <c r="X507" s="8"/>
      <c r="Y507" s="8"/>
      <c r="Z507" s="8"/>
      <c r="AA507" s="8"/>
      <c r="AB507" s="8"/>
    </row>
    <row r="508" ht="12.75" customHeight="1" spans="1:28" x14ac:dyDescent="0.25">
      <c r="A508" s="8"/>
      <c r="B508" s="8"/>
      <c r="C508" s="8"/>
      <c r="D508" s="8"/>
      <c r="E508" s="8"/>
      <c r="F508" s="8"/>
      <c r="G508" s="695"/>
      <c r="H508" s="695"/>
      <c r="I508" s="695"/>
      <c r="J508" s="695"/>
      <c r="K508" s="695"/>
      <c r="L508" s="695"/>
      <c r="M508" s="695"/>
      <c r="N508" s="695"/>
      <c r="O508" s="695"/>
      <c r="P508" s="695"/>
      <c r="Q508" s="695"/>
      <c r="R508" s="695"/>
      <c r="S508" s="695"/>
      <c r="T508" s="8"/>
      <c r="U508" s="8"/>
      <c r="V508" s="8"/>
      <c r="W508" s="8"/>
      <c r="X508" s="8"/>
      <c r="Y508" s="8"/>
      <c r="Z508" s="8"/>
      <c r="AA508" s="8"/>
      <c r="AB508" s="8"/>
    </row>
    <row r="509" ht="12.75" customHeight="1" spans="1:28" x14ac:dyDescent="0.25">
      <c r="A509" s="8"/>
      <c r="B509" s="8"/>
      <c r="C509" s="8"/>
      <c r="D509" s="8"/>
      <c r="E509" s="8"/>
      <c r="F509" s="8"/>
      <c r="G509" s="695"/>
      <c r="H509" s="695"/>
      <c r="I509" s="695"/>
      <c r="J509" s="695"/>
      <c r="K509" s="695"/>
      <c r="L509" s="695"/>
      <c r="M509" s="695"/>
      <c r="N509" s="695"/>
      <c r="O509" s="695"/>
      <c r="P509" s="695"/>
      <c r="Q509" s="695"/>
      <c r="R509" s="695"/>
      <c r="S509" s="695"/>
      <c r="T509" s="8"/>
      <c r="U509" s="8"/>
      <c r="V509" s="8"/>
      <c r="W509" s="8"/>
      <c r="X509" s="8"/>
      <c r="Y509" s="8"/>
      <c r="Z509" s="8"/>
      <c r="AA509" s="8"/>
      <c r="AB509" s="8"/>
    </row>
    <row r="510" ht="12.75" customHeight="1" spans="1:28" x14ac:dyDescent="0.25">
      <c r="A510" s="8"/>
      <c r="B510" s="8"/>
      <c r="C510" s="8"/>
      <c r="D510" s="8"/>
      <c r="E510" s="8"/>
      <c r="F510" s="8"/>
      <c r="G510" s="695"/>
      <c r="H510" s="695"/>
      <c r="I510" s="695"/>
      <c r="J510" s="695"/>
      <c r="K510" s="695"/>
      <c r="L510" s="695"/>
      <c r="M510" s="695"/>
      <c r="N510" s="695"/>
      <c r="O510" s="695"/>
      <c r="P510" s="695"/>
      <c r="Q510" s="695"/>
      <c r="R510" s="695"/>
      <c r="S510" s="695"/>
      <c r="T510" s="8"/>
      <c r="U510" s="8"/>
      <c r="V510" s="8"/>
      <c r="W510" s="8"/>
      <c r="X510" s="8"/>
      <c r="Y510" s="8"/>
      <c r="Z510" s="8"/>
      <c r="AA510" s="8"/>
      <c r="AB510" s="8"/>
    </row>
    <row r="511" ht="12.75" customHeight="1" spans="1:28" x14ac:dyDescent="0.25">
      <c r="A511" s="8"/>
      <c r="B511" s="8"/>
      <c r="C511" s="8"/>
      <c r="D511" s="8"/>
      <c r="E511" s="8"/>
      <c r="F511" s="8"/>
      <c r="G511" s="695"/>
      <c r="H511" s="695"/>
      <c r="I511" s="695"/>
      <c r="J511" s="695"/>
      <c r="K511" s="695"/>
      <c r="L511" s="695"/>
      <c r="M511" s="695"/>
      <c r="N511" s="695"/>
      <c r="O511" s="695"/>
      <c r="P511" s="695"/>
      <c r="Q511" s="695"/>
      <c r="R511" s="695"/>
      <c r="S511" s="695"/>
      <c r="T511" s="8"/>
      <c r="U511" s="8"/>
      <c r="V511" s="8"/>
      <c r="W511" s="8"/>
      <c r="X511" s="8"/>
      <c r="Y511" s="8"/>
      <c r="Z511" s="8"/>
      <c r="AA511" s="8"/>
      <c r="AB511" s="8"/>
    </row>
    <row r="512" ht="12.75" customHeight="1" spans="1:28" x14ac:dyDescent="0.25">
      <c r="A512" s="8"/>
      <c r="B512" s="8"/>
      <c r="C512" s="8"/>
      <c r="D512" s="8"/>
      <c r="E512" s="8"/>
      <c r="F512" s="8"/>
      <c r="G512" s="695"/>
      <c r="H512" s="695"/>
      <c r="I512" s="695"/>
      <c r="J512" s="695"/>
      <c r="K512" s="695"/>
      <c r="L512" s="695"/>
      <c r="M512" s="695"/>
      <c r="N512" s="695"/>
      <c r="O512" s="695"/>
      <c r="P512" s="695"/>
      <c r="Q512" s="695"/>
      <c r="R512" s="695"/>
      <c r="S512" s="695"/>
      <c r="T512" s="8"/>
      <c r="U512" s="8"/>
      <c r="V512" s="8"/>
      <c r="W512" s="8"/>
      <c r="X512" s="8"/>
      <c r="Y512" s="8"/>
      <c r="Z512" s="8"/>
      <c r="AA512" s="8"/>
      <c r="AB512" s="8"/>
    </row>
    <row r="513" ht="12.75" customHeight="1" spans="1:28" x14ac:dyDescent="0.25">
      <c r="A513" s="8"/>
      <c r="B513" s="8"/>
      <c r="C513" s="8"/>
      <c r="D513" s="8"/>
      <c r="E513" s="8"/>
      <c r="F513" s="8"/>
      <c r="G513" s="695"/>
      <c r="H513" s="695"/>
      <c r="I513" s="695"/>
      <c r="J513" s="695"/>
      <c r="K513" s="695"/>
      <c r="L513" s="695"/>
      <c r="M513" s="695"/>
      <c r="N513" s="695"/>
      <c r="O513" s="695"/>
      <c r="P513" s="695"/>
      <c r="Q513" s="695"/>
      <c r="R513" s="695"/>
      <c r="S513" s="695"/>
      <c r="T513" s="8"/>
      <c r="U513" s="8"/>
      <c r="V513" s="8"/>
      <c r="W513" s="8"/>
      <c r="X513" s="8"/>
      <c r="Y513" s="8"/>
      <c r="Z513" s="8"/>
      <c r="AA513" s="8"/>
      <c r="AB513" s="8"/>
    </row>
    <row r="514" ht="12.75" customHeight="1" spans="1:28" x14ac:dyDescent="0.25">
      <c r="A514" s="8"/>
      <c r="B514" s="8"/>
      <c r="C514" s="8"/>
      <c r="D514" s="8"/>
      <c r="E514" s="8"/>
      <c r="F514" s="8"/>
      <c r="G514" s="695"/>
      <c r="H514" s="695"/>
      <c r="I514" s="695"/>
      <c r="J514" s="695"/>
      <c r="K514" s="695"/>
      <c r="L514" s="695"/>
      <c r="M514" s="695"/>
      <c r="N514" s="695"/>
      <c r="O514" s="695"/>
      <c r="P514" s="695"/>
      <c r="Q514" s="695"/>
      <c r="R514" s="695"/>
      <c r="S514" s="695"/>
      <c r="T514" s="8"/>
      <c r="U514" s="8"/>
      <c r="V514" s="8"/>
      <c r="W514" s="8"/>
      <c r="X514" s="8"/>
      <c r="Y514" s="8"/>
      <c r="Z514" s="8"/>
      <c r="AA514" s="8"/>
      <c r="AB514" s="8"/>
    </row>
    <row r="515" ht="12.75" customHeight="1" spans="1:28" x14ac:dyDescent="0.25">
      <c r="A515" s="8"/>
      <c r="B515" s="8"/>
      <c r="C515" s="8"/>
      <c r="D515" s="8"/>
      <c r="E515" s="8"/>
      <c r="F515" s="8"/>
      <c r="G515" s="695"/>
      <c r="H515" s="695"/>
      <c r="I515" s="695"/>
      <c r="J515" s="695"/>
      <c r="K515" s="695"/>
      <c r="L515" s="695"/>
      <c r="M515" s="695"/>
      <c r="N515" s="695"/>
      <c r="O515" s="695"/>
      <c r="P515" s="695"/>
      <c r="Q515" s="695"/>
      <c r="R515" s="695"/>
      <c r="S515" s="695"/>
      <c r="T515" s="8"/>
      <c r="U515" s="8"/>
      <c r="V515" s="8"/>
      <c r="W515" s="8"/>
      <c r="X515" s="8"/>
      <c r="Y515" s="8"/>
      <c r="Z515" s="8"/>
      <c r="AA515" s="8"/>
      <c r="AB515" s="8"/>
    </row>
    <row r="516" ht="12.75" customHeight="1" spans="1:28" x14ac:dyDescent="0.25">
      <c r="A516" s="8"/>
      <c r="B516" s="8"/>
      <c r="C516" s="8"/>
      <c r="D516" s="8"/>
      <c r="E516" s="8"/>
      <c r="F516" s="8"/>
      <c r="G516" s="695"/>
      <c r="H516" s="695"/>
      <c r="I516" s="695"/>
      <c r="J516" s="695"/>
      <c r="K516" s="695"/>
      <c r="L516" s="695"/>
      <c r="M516" s="695"/>
      <c r="N516" s="695"/>
      <c r="O516" s="695"/>
      <c r="P516" s="695"/>
      <c r="Q516" s="695"/>
      <c r="R516" s="695"/>
      <c r="S516" s="695"/>
      <c r="T516" s="8"/>
      <c r="U516" s="8"/>
      <c r="V516" s="8"/>
      <c r="W516" s="8"/>
      <c r="X516" s="8"/>
      <c r="Y516" s="8"/>
      <c r="Z516" s="8"/>
      <c r="AA516" s="8"/>
      <c r="AB516" s="8"/>
    </row>
    <row r="517" ht="12.75" customHeight="1" spans="1:28" x14ac:dyDescent="0.25">
      <c r="A517" s="8"/>
      <c r="B517" s="8"/>
      <c r="C517" s="8"/>
      <c r="D517" s="8"/>
      <c r="E517" s="8"/>
      <c r="F517" s="8"/>
      <c r="G517" s="695"/>
      <c r="H517" s="695"/>
      <c r="I517" s="695"/>
      <c r="J517" s="695"/>
      <c r="K517" s="695"/>
      <c r="L517" s="695"/>
      <c r="M517" s="695"/>
      <c r="N517" s="695"/>
      <c r="O517" s="695"/>
      <c r="P517" s="695"/>
      <c r="Q517" s="695"/>
      <c r="R517" s="695"/>
      <c r="S517" s="695"/>
      <c r="T517" s="8"/>
      <c r="U517" s="8"/>
      <c r="V517" s="8"/>
      <c r="W517" s="8"/>
      <c r="X517" s="8"/>
      <c r="Y517" s="8"/>
      <c r="Z517" s="8"/>
      <c r="AA517" s="8"/>
      <c r="AB517" s="8"/>
    </row>
    <row r="518" ht="12.75" customHeight="1" spans="1:28" x14ac:dyDescent="0.25">
      <c r="A518" s="8"/>
      <c r="B518" s="8"/>
      <c r="C518" s="8"/>
      <c r="D518" s="8"/>
      <c r="E518" s="8"/>
      <c r="F518" s="8"/>
      <c r="G518" s="695"/>
      <c r="H518" s="695"/>
      <c r="I518" s="695"/>
      <c r="J518" s="695"/>
      <c r="K518" s="695"/>
      <c r="L518" s="695"/>
      <c r="M518" s="695"/>
      <c r="N518" s="695"/>
      <c r="O518" s="695"/>
      <c r="P518" s="695"/>
      <c r="Q518" s="695"/>
      <c r="R518" s="695"/>
      <c r="S518" s="695"/>
      <c r="T518" s="8"/>
      <c r="U518" s="8"/>
      <c r="V518" s="8"/>
      <c r="W518" s="8"/>
      <c r="X518" s="8"/>
      <c r="Y518" s="8"/>
      <c r="Z518" s="8"/>
      <c r="AA518" s="8"/>
      <c r="AB518" s="8"/>
    </row>
    <row r="519" ht="12.75" customHeight="1" spans="1:28" x14ac:dyDescent="0.25">
      <c r="A519" s="8"/>
      <c r="B519" s="8"/>
      <c r="C519" s="8"/>
      <c r="D519" s="8"/>
      <c r="E519" s="8"/>
      <c r="F519" s="8"/>
      <c r="G519" s="695"/>
      <c r="H519" s="695"/>
      <c r="I519" s="695"/>
      <c r="J519" s="695"/>
      <c r="K519" s="695"/>
      <c r="L519" s="695"/>
      <c r="M519" s="695"/>
      <c r="N519" s="695"/>
      <c r="O519" s="695"/>
      <c r="P519" s="695"/>
      <c r="Q519" s="695"/>
      <c r="R519" s="695"/>
      <c r="S519" s="695"/>
      <c r="T519" s="8"/>
      <c r="U519" s="8"/>
      <c r="V519" s="8"/>
      <c r="W519" s="8"/>
      <c r="X519" s="8"/>
      <c r="Y519" s="8"/>
      <c r="Z519" s="8"/>
      <c r="AA519" s="8"/>
      <c r="AB519" s="8"/>
    </row>
    <row r="520" ht="12.75" customHeight="1" spans="1:28" x14ac:dyDescent="0.25">
      <c r="A520" s="8"/>
      <c r="B520" s="8"/>
      <c r="C520" s="8"/>
      <c r="D520" s="8"/>
      <c r="E520" s="8"/>
      <c r="F520" s="8"/>
      <c r="G520" s="695"/>
      <c r="H520" s="695"/>
      <c r="I520" s="695"/>
      <c r="J520" s="695"/>
      <c r="K520" s="695"/>
      <c r="L520" s="695"/>
      <c r="M520" s="695"/>
      <c r="N520" s="695"/>
      <c r="O520" s="695"/>
      <c r="P520" s="695"/>
      <c r="Q520" s="695"/>
      <c r="R520" s="695"/>
      <c r="S520" s="695"/>
      <c r="T520" s="8"/>
      <c r="U520" s="8"/>
      <c r="V520" s="8"/>
      <c r="W520" s="8"/>
      <c r="X520" s="8"/>
      <c r="Y520" s="8"/>
      <c r="Z520" s="8"/>
      <c r="AA520" s="8"/>
      <c r="AB520" s="8"/>
    </row>
    <row r="521" ht="12.75" customHeight="1" spans="1:28" x14ac:dyDescent="0.25">
      <c r="A521" s="8"/>
      <c r="B521" s="8"/>
      <c r="C521" s="8"/>
      <c r="D521" s="8"/>
      <c r="E521" s="8"/>
      <c r="F521" s="8"/>
      <c r="G521" s="695"/>
      <c r="H521" s="695"/>
      <c r="I521" s="695"/>
      <c r="J521" s="695"/>
      <c r="K521" s="695"/>
      <c r="L521" s="695"/>
      <c r="M521" s="695"/>
      <c r="N521" s="695"/>
      <c r="O521" s="695"/>
      <c r="P521" s="695"/>
      <c r="Q521" s="695"/>
      <c r="R521" s="695"/>
      <c r="S521" s="695"/>
      <c r="T521" s="8"/>
      <c r="U521" s="8"/>
      <c r="V521" s="8"/>
      <c r="W521" s="8"/>
      <c r="X521" s="8"/>
      <c r="Y521" s="8"/>
      <c r="Z521" s="8"/>
      <c r="AA521" s="8"/>
      <c r="AB521" s="8"/>
    </row>
    <row r="522" ht="12.75" customHeight="1" spans="1:28" x14ac:dyDescent="0.25">
      <c r="A522" s="8"/>
      <c r="B522" s="8"/>
      <c r="C522" s="8"/>
      <c r="D522" s="8"/>
      <c r="E522" s="8"/>
      <c r="F522" s="8"/>
      <c r="G522" s="695"/>
      <c r="H522" s="695"/>
      <c r="I522" s="695"/>
      <c r="J522" s="695"/>
      <c r="K522" s="695"/>
      <c r="L522" s="695"/>
      <c r="M522" s="695"/>
      <c r="N522" s="695"/>
      <c r="O522" s="695"/>
      <c r="P522" s="695"/>
      <c r="Q522" s="695"/>
      <c r="R522" s="695"/>
      <c r="S522" s="695"/>
      <c r="T522" s="8"/>
      <c r="U522" s="8"/>
      <c r="V522" s="8"/>
      <c r="W522" s="8"/>
      <c r="X522" s="8"/>
      <c r="Y522" s="8"/>
      <c r="Z522" s="8"/>
      <c r="AA522" s="8"/>
      <c r="AB522" s="8"/>
    </row>
    <row r="523" ht="12.75" customHeight="1" spans="1:28" x14ac:dyDescent="0.25">
      <c r="A523" s="8"/>
      <c r="B523" s="8"/>
      <c r="C523" s="8"/>
      <c r="D523" s="8"/>
      <c r="E523" s="8"/>
      <c r="F523" s="8"/>
      <c r="G523" s="695"/>
      <c r="H523" s="695"/>
      <c r="I523" s="695"/>
      <c r="J523" s="695"/>
      <c r="K523" s="695"/>
      <c r="L523" s="695"/>
      <c r="M523" s="695"/>
      <c r="N523" s="695"/>
      <c r="O523" s="695"/>
      <c r="P523" s="695"/>
      <c r="Q523" s="695"/>
      <c r="R523" s="695"/>
      <c r="S523" s="695"/>
      <c r="T523" s="8"/>
      <c r="U523" s="8"/>
      <c r="V523" s="8"/>
      <c r="W523" s="8"/>
      <c r="X523" s="8"/>
      <c r="Y523" s="8"/>
      <c r="Z523" s="8"/>
      <c r="AA523" s="8"/>
      <c r="AB523" s="8"/>
    </row>
    <row r="524" ht="12.75" customHeight="1" spans="1:28" x14ac:dyDescent="0.25">
      <c r="A524" s="8"/>
      <c r="B524" s="8"/>
      <c r="C524" s="8"/>
      <c r="D524" s="8"/>
      <c r="E524" s="8"/>
      <c r="F524" s="8"/>
      <c r="G524" s="695"/>
      <c r="H524" s="695"/>
      <c r="I524" s="695"/>
      <c r="J524" s="695"/>
      <c r="K524" s="695"/>
      <c r="L524" s="695"/>
      <c r="M524" s="695"/>
      <c r="N524" s="695"/>
      <c r="O524" s="695"/>
      <c r="P524" s="695"/>
      <c r="Q524" s="695"/>
      <c r="R524" s="695"/>
      <c r="S524" s="695"/>
      <c r="T524" s="8"/>
      <c r="U524" s="8"/>
      <c r="V524" s="8"/>
      <c r="W524" s="8"/>
      <c r="X524" s="8"/>
      <c r="Y524" s="8"/>
      <c r="Z524" s="8"/>
      <c r="AA524" s="8"/>
      <c r="AB524" s="8"/>
    </row>
    <row r="525" ht="12.75" customHeight="1" spans="1:28" x14ac:dyDescent="0.25">
      <c r="A525" s="8"/>
      <c r="B525" s="8"/>
      <c r="C525" s="8"/>
      <c r="D525" s="8"/>
      <c r="E525" s="8"/>
      <c r="F525" s="8"/>
      <c r="G525" s="695"/>
      <c r="H525" s="695"/>
      <c r="I525" s="695"/>
      <c r="J525" s="695"/>
      <c r="K525" s="695"/>
      <c r="L525" s="695"/>
      <c r="M525" s="695"/>
      <c r="N525" s="695"/>
      <c r="O525" s="695"/>
      <c r="P525" s="695"/>
      <c r="Q525" s="695"/>
      <c r="R525" s="695"/>
      <c r="S525" s="695"/>
      <c r="T525" s="8"/>
      <c r="U525" s="8"/>
      <c r="V525" s="8"/>
      <c r="W525" s="8"/>
      <c r="X525" s="8"/>
      <c r="Y525" s="8"/>
      <c r="Z525" s="8"/>
      <c r="AA525" s="8"/>
      <c r="AB525" s="8"/>
    </row>
    <row r="526" ht="12.75" customHeight="1" spans="1:28" x14ac:dyDescent="0.25">
      <c r="A526" s="8"/>
      <c r="B526" s="8"/>
      <c r="C526" s="8"/>
      <c r="D526" s="8"/>
      <c r="E526" s="8"/>
      <c r="F526" s="8"/>
      <c r="G526" s="695"/>
      <c r="H526" s="695"/>
      <c r="I526" s="695"/>
      <c r="J526" s="695"/>
      <c r="K526" s="695"/>
      <c r="L526" s="695"/>
      <c r="M526" s="695"/>
      <c r="N526" s="695"/>
      <c r="O526" s="695"/>
      <c r="P526" s="695"/>
      <c r="Q526" s="695"/>
      <c r="R526" s="695"/>
      <c r="S526" s="695"/>
      <c r="T526" s="8"/>
      <c r="U526" s="8"/>
      <c r="V526" s="8"/>
      <c r="W526" s="8"/>
      <c r="X526" s="8"/>
      <c r="Y526" s="8"/>
      <c r="Z526" s="8"/>
      <c r="AA526" s="8"/>
      <c r="AB526" s="8"/>
    </row>
    <row r="527" ht="12.75" customHeight="1" spans="1:28" x14ac:dyDescent="0.25">
      <c r="A527" s="8"/>
      <c r="B527" s="8"/>
      <c r="C527" s="8"/>
      <c r="D527" s="8"/>
      <c r="E527" s="8"/>
      <c r="F527" s="8"/>
      <c r="G527" s="695"/>
      <c r="H527" s="695"/>
      <c r="I527" s="695"/>
      <c r="J527" s="695"/>
      <c r="K527" s="695"/>
      <c r="L527" s="695"/>
      <c r="M527" s="695"/>
      <c r="N527" s="695"/>
      <c r="O527" s="695"/>
      <c r="P527" s="695"/>
      <c r="Q527" s="695"/>
      <c r="R527" s="695"/>
      <c r="S527" s="695"/>
      <c r="T527" s="8"/>
      <c r="U527" s="8"/>
      <c r="V527" s="8"/>
      <c r="W527" s="8"/>
      <c r="X527" s="8"/>
      <c r="Y527" s="8"/>
      <c r="Z527" s="8"/>
      <c r="AA527" s="8"/>
      <c r="AB527" s="8"/>
    </row>
    <row r="528" ht="12.75" customHeight="1" spans="1:28" x14ac:dyDescent="0.25">
      <c r="A528" s="8"/>
      <c r="B528" s="8"/>
      <c r="C528" s="8"/>
      <c r="D528" s="8"/>
      <c r="E528" s="8"/>
      <c r="F528" s="8"/>
      <c r="G528" s="695"/>
      <c r="H528" s="695"/>
      <c r="I528" s="695"/>
      <c r="J528" s="695"/>
      <c r="K528" s="695"/>
      <c r="L528" s="695"/>
      <c r="M528" s="695"/>
      <c r="N528" s="695"/>
      <c r="O528" s="695"/>
      <c r="P528" s="695"/>
      <c r="Q528" s="695"/>
      <c r="R528" s="695"/>
      <c r="S528" s="695"/>
      <c r="T528" s="8"/>
      <c r="U528" s="8"/>
      <c r="V528" s="8"/>
      <c r="W528" s="8"/>
      <c r="X528" s="8"/>
      <c r="Y528" s="8"/>
      <c r="Z528" s="8"/>
      <c r="AA528" s="8"/>
      <c r="AB528" s="8"/>
    </row>
    <row r="529" ht="12.75" customHeight="1" spans="1:28" x14ac:dyDescent="0.25">
      <c r="A529" s="8"/>
      <c r="B529" s="8"/>
      <c r="C529" s="8"/>
      <c r="D529" s="8"/>
      <c r="E529" s="8"/>
      <c r="F529" s="8"/>
      <c r="G529" s="695"/>
      <c r="H529" s="695"/>
      <c r="I529" s="695"/>
      <c r="J529" s="695"/>
      <c r="K529" s="695"/>
      <c r="L529" s="695"/>
      <c r="M529" s="695"/>
      <c r="N529" s="695"/>
      <c r="O529" s="695"/>
      <c r="P529" s="695"/>
      <c r="Q529" s="695"/>
      <c r="R529" s="695"/>
      <c r="S529" s="695"/>
      <c r="T529" s="8"/>
      <c r="U529" s="8"/>
      <c r="V529" s="8"/>
      <c r="W529" s="8"/>
      <c r="X529" s="8"/>
      <c r="Y529" s="8"/>
      <c r="Z529" s="8"/>
      <c r="AA529" s="8"/>
      <c r="AB529" s="8"/>
    </row>
    <row r="530" ht="12.75" customHeight="1" spans="1:28" x14ac:dyDescent="0.25">
      <c r="A530" s="8"/>
      <c r="B530" s="8"/>
      <c r="C530" s="8"/>
      <c r="D530" s="8"/>
      <c r="E530" s="8"/>
      <c r="F530" s="8"/>
      <c r="G530" s="695"/>
      <c r="H530" s="695"/>
      <c r="I530" s="695"/>
      <c r="J530" s="695"/>
      <c r="K530" s="695"/>
      <c r="L530" s="695"/>
      <c r="M530" s="695"/>
      <c r="N530" s="695"/>
      <c r="O530" s="695"/>
      <c r="P530" s="695"/>
      <c r="Q530" s="695"/>
      <c r="R530" s="695"/>
      <c r="S530" s="695"/>
      <c r="T530" s="8"/>
      <c r="U530" s="8"/>
      <c r="V530" s="8"/>
      <c r="W530" s="8"/>
      <c r="X530" s="8"/>
      <c r="Y530" s="8"/>
      <c r="Z530" s="8"/>
      <c r="AA530" s="8"/>
      <c r="AB530" s="8"/>
    </row>
    <row r="531" ht="12.75" customHeight="1" spans="1:28" x14ac:dyDescent="0.25">
      <c r="A531" s="8"/>
      <c r="B531" s="8"/>
      <c r="C531" s="8"/>
      <c r="D531" s="8"/>
      <c r="E531" s="8"/>
      <c r="F531" s="8"/>
      <c r="G531" s="695"/>
      <c r="H531" s="695"/>
      <c r="I531" s="695"/>
      <c r="J531" s="695"/>
      <c r="K531" s="695"/>
      <c r="L531" s="695"/>
      <c r="M531" s="695"/>
      <c r="N531" s="695"/>
      <c r="O531" s="695"/>
      <c r="P531" s="695"/>
      <c r="Q531" s="695"/>
      <c r="R531" s="695"/>
      <c r="S531" s="695"/>
      <c r="T531" s="8"/>
      <c r="U531" s="8"/>
      <c r="V531" s="8"/>
      <c r="W531" s="8"/>
      <c r="X531" s="8"/>
      <c r="Y531" s="8"/>
      <c r="Z531" s="8"/>
      <c r="AA531" s="8"/>
      <c r="AB531" s="8"/>
    </row>
    <row r="532" ht="12.75" customHeight="1" spans="1:28" x14ac:dyDescent="0.25">
      <c r="A532" s="8"/>
      <c r="B532" s="8"/>
      <c r="C532" s="8"/>
      <c r="D532" s="8"/>
      <c r="E532" s="8"/>
      <c r="F532" s="8"/>
      <c r="G532" s="695"/>
      <c r="H532" s="695"/>
      <c r="I532" s="695"/>
      <c r="J532" s="695"/>
      <c r="K532" s="695"/>
      <c r="L532" s="695"/>
      <c r="M532" s="695"/>
      <c r="N532" s="695"/>
      <c r="O532" s="695"/>
      <c r="P532" s="695"/>
      <c r="Q532" s="695"/>
      <c r="R532" s="695"/>
      <c r="S532" s="695"/>
      <c r="T532" s="8"/>
      <c r="U532" s="8"/>
      <c r="V532" s="8"/>
      <c r="W532" s="8"/>
      <c r="X532" s="8"/>
      <c r="Y532" s="8"/>
      <c r="Z532" s="8"/>
      <c r="AA532" s="8"/>
      <c r="AB532" s="8"/>
    </row>
    <row r="533" ht="12.75" customHeight="1" spans="1:28" x14ac:dyDescent="0.25">
      <c r="A533" s="8"/>
      <c r="B533" s="8"/>
      <c r="C533" s="8"/>
      <c r="D533" s="8"/>
      <c r="E533" s="8"/>
      <c r="F533" s="8"/>
      <c r="G533" s="695"/>
      <c r="H533" s="695"/>
      <c r="I533" s="695"/>
      <c r="J533" s="695"/>
      <c r="K533" s="695"/>
      <c r="L533" s="695"/>
      <c r="M533" s="695"/>
      <c r="N533" s="695"/>
      <c r="O533" s="695"/>
      <c r="P533" s="695"/>
      <c r="Q533" s="695"/>
      <c r="R533" s="695"/>
      <c r="S533" s="695"/>
      <c r="T533" s="8"/>
      <c r="U533" s="8"/>
      <c r="V533" s="8"/>
      <c r="W533" s="8"/>
      <c r="X533" s="8"/>
      <c r="Y533" s="8"/>
      <c r="Z533" s="8"/>
      <c r="AA533" s="8"/>
      <c r="AB533" s="8"/>
    </row>
    <row r="534" ht="12.75" customHeight="1" spans="1:28" x14ac:dyDescent="0.25">
      <c r="A534" s="8"/>
      <c r="B534" s="8"/>
      <c r="C534" s="8"/>
      <c r="D534" s="8"/>
      <c r="E534" s="8"/>
      <c r="F534" s="8"/>
      <c r="G534" s="695"/>
      <c r="H534" s="695"/>
      <c r="I534" s="695"/>
      <c r="J534" s="695"/>
      <c r="K534" s="695"/>
      <c r="L534" s="695"/>
      <c r="M534" s="695"/>
      <c r="N534" s="695"/>
      <c r="O534" s="695"/>
      <c r="P534" s="695"/>
      <c r="Q534" s="695"/>
      <c r="R534" s="695"/>
      <c r="S534" s="695"/>
      <c r="T534" s="8"/>
      <c r="U534" s="8"/>
      <c r="V534" s="8"/>
      <c r="W534" s="8"/>
      <c r="X534" s="8"/>
      <c r="Y534" s="8"/>
      <c r="Z534" s="8"/>
      <c r="AA534" s="8"/>
      <c r="AB534" s="8"/>
    </row>
    <row r="535" ht="12.75" customHeight="1" spans="1:28" x14ac:dyDescent="0.25">
      <c r="A535" s="8"/>
      <c r="B535" s="8"/>
      <c r="C535" s="8"/>
      <c r="D535" s="8"/>
      <c r="E535" s="8"/>
      <c r="F535" s="8"/>
      <c r="G535" s="695"/>
      <c r="H535" s="695"/>
      <c r="I535" s="695"/>
      <c r="J535" s="695"/>
      <c r="K535" s="695"/>
      <c r="L535" s="695"/>
      <c r="M535" s="695"/>
      <c r="N535" s="695"/>
      <c r="O535" s="695"/>
      <c r="P535" s="695"/>
      <c r="Q535" s="695"/>
      <c r="R535" s="695"/>
      <c r="S535" s="695"/>
      <c r="T535" s="8"/>
      <c r="U535" s="8"/>
      <c r="V535" s="8"/>
      <c r="W535" s="8"/>
      <c r="X535" s="8"/>
      <c r="Y535" s="8"/>
      <c r="Z535" s="8"/>
      <c r="AA535" s="8"/>
      <c r="AB535" s="8"/>
    </row>
    <row r="536" ht="12.75" customHeight="1" spans="1:28" x14ac:dyDescent="0.25">
      <c r="A536" s="8"/>
      <c r="B536" s="8"/>
      <c r="C536" s="8"/>
      <c r="D536" s="8"/>
      <c r="E536" s="8"/>
      <c r="F536" s="8"/>
      <c r="G536" s="695"/>
      <c r="H536" s="695"/>
      <c r="I536" s="695"/>
      <c r="J536" s="695"/>
      <c r="K536" s="695"/>
      <c r="L536" s="695"/>
      <c r="M536" s="695"/>
      <c r="N536" s="695"/>
      <c r="O536" s="695"/>
      <c r="P536" s="695"/>
      <c r="Q536" s="695"/>
      <c r="R536" s="695"/>
      <c r="S536" s="695"/>
      <c r="T536" s="8"/>
      <c r="U536" s="8"/>
      <c r="V536" s="8"/>
      <c r="W536" s="8"/>
      <c r="X536" s="8"/>
      <c r="Y536" s="8"/>
      <c r="Z536" s="8"/>
      <c r="AA536" s="8"/>
      <c r="AB536" s="8"/>
    </row>
    <row r="537" ht="12.75" customHeight="1" spans="1:28" x14ac:dyDescent="0.25">
      <c r="A537" s="8"/>
      <c r="B537" s="8"/>
      <c r="C537" s="8"/>
      <c r="D537" s="8"/>
      <c r="E537" s="8"/>
      <c r="F537" s="8"/>
      <c r="G537" s="695"/>
      <c r="H537" s="695"/>
      <c r="I537" s="695"/>
      <c r="J537" s="695"/>
      <c r="K537" s="695"/>
      <c r="L537" s="695"/>
      <c r="M537" s="695"/>
      <c r="N537" s="695"/>
      <c r="O537" s="695"/>
      <c r="P537" s="695"/>
      <c r="Q537" s="695"/>
      <c r="R537" s="695"/>
      <c r="S537" s="695"/>
      <c r="T537" s="8"/>
      <c r="U537" s="8"/>
      <c r="V537" s="8"/>
      <c r="W537" s="8"/>
      <c r="X537" s="8"/>
      <c r="Y537" s="8"/>
      <c r="Z537" s="8"/>
      <c r="AA537" s="8"/>
      <c r="AB537" s="8"/>
    </row>
    <row r="538" ht="12.75" customHeight="1" spans="1:28" x14ac:dyDescent="0.25">
      <c r="A538" s="8"/>
      <c r="B538" s="8"/>
      <c r="C538" s="8"/>
      <c r="D538" s="8"/>
      <c r="E538" s="8"/>
      <c r="F538" s="8"/>
      <c r="G538" s="695"/>
      <c r="H538" s="695"/>
      <c r="I538" s="695"/>
      <c r="J538" s="695"/>
      <c r="K538" s="695"/>
      <c r="L538" s="695"/>
      <c r="M538" s="695"/>
      <c r="N538" s="695"/>
      <c r="O538" s="695"/>
      <c r="P538" s="695"/>
      <c r="Q538" s="695"/>
      <c r="R538" s="695"/>
      <c r="S538" s="695"/>
      <c r="T538" s="8"/>
      <c r="U538" s="8"/>
      <c r="V538" s="8"/>
      <c r="W538" s="8"/>
      <c r="X538" s="8"/>
      <c r="Y538" s="8"/>
      <c r="Z538" s="8"/>
      <c r="AA538" s="8"/>
      <c r="AB538" s="8"/>
    </row>
    <row r="539" ht="12.75" customHeight="1" spans="1:28" x14ac:dyDescent="0.25">
      <c r="A539" s="8"/>
      <c r="B539" s="8"/>
      <c r="C539" s="8"/>
      <c r="D539" s="8"/>
      <c r="E539" s="8"/>
      <c r="F539" s="8"/>
      <c r="G539" s="695"/>
      <c r="H539" s="695"/>
      <c r="I539" s="695"/>
      <c r="J539" s="695"/>
      <c r="K539" s="695"/>
      <c r="L539" s="695"/>
      <c r="M539" s="695"/>
      <c r="N539" s="695"/>
      <c r="O539" s="695"/>
      <c r="P539" s="695"/>
      <c r="Q539" s="695"/>
      <c r="R539" s="695"/>
      <c r="S539" s="695"/>
      <c r="T539" s="8"/>
      <c r="U539" s="8"/>
      <c r="V539" s="8"/>
      <c r="W539" s="8"/>
      <c r="X539" s="8"/>
      <c r="Y539" s="8"/>
      <c r="Z539" s="8"/>
      <c r="AA539" s="8"/>
      <c r="AB539" s="8"/>
    </row>
    <row r="540" ht="12.75" customHeight="1" spans="1:28" x14ac:dyDescent="0.25">
      <c r="A540" s="8"/>
      <c r="B540" s="8"/>
      <c r="C540" s="8"/>
      <c r="D540" s="8"/>
      <c r="E540" s="8"/>
      <c r="F540" s="8"/>
      <c r="G540" s="695"/>
      <c r="H540" s="695"/>
      <c r="I540" s="695"/>
      <c r="J540" s="695"/>
      <c r="K540" s="695"/>
      <c r="L540" s="695"/>
      <c r="M540" s="695"/>
      <c r="N540" s="695"/>
      <c r="O540" s="695"/>
      <c r="P540" s="695"/>
      <c r="Q540" s="695"/>
      <c r="R540" s="695"/>
      <c r="S540" s="695"/>
      <c r="T540" s="8"/>
      <c r="U540" s="8"/>
      <c r="V540" s="8"/>
      <c r="W540" s="8"/>
      <c r="X540" s="8"/>
      <c r="Y540" s="8"/>
      <c r="Z540" s="8"/>
      <c r="AA540" s="8"/>
      <c r="AB540" s="8"/>
    </row>
    <row r="541" ht="12.75" customHeight="1" spans="1:28" x14ac:dyDescent="0.25">
      <c r="A541" s="8"/>
      <c r="B541" s="8"/>
      <c r="C541" s="8"/>
      <c r="D541" s="8"/>
      <c r="E541" s="8"/>
      <c r="F541" s="8"/>
      <c r="G541" s="695"/>
      <c r="H541" s="695"/>
      <c r="I541" s="695"/>
      <c r="J541" s="695"/>
      <c r="K541" s="695"/>
      <c r="L541" s="695"/>
      <c r="M541" s="695"/>
      <c r="N541" s="695"/>
      <c r="O541" s="695"/>
      <c r="P541" s="695"/>
      <c r="Q541" s="695"/>
      <c r="R541" s="695"/>
      <c r="S541" s="695"/>
      <c r="T541" s="8"/>
      <c r="U541" s="8"/>
      <c r="V541" s="8"/>
      <c r="W541" s="8"/>
      <c r="X541" s="8"/>
      <c r="Y541" s="8"/>
      <c r="Z541" s="8"/>
      <c r="AA541" s="8"/>
      <c r="AB541" s="8"/>
    </row>
    <row r="542" ht="12.75" customHeight="1" spans="1:28" x14ac:dyDescent="0.25">
      <c r="A542" s="8"/>
      <c r="B542" s="8"/>
      <c r="C542" s="8"/>
      <c r="D542" s="8"/>
      <c r="E542" s="8"/>
      <c r="F542" s="8"/>
      <c r="G542" s="695"/>
      <c r="H542" s="695"/>
      <c r="I542" s="695"/>
      <c r="J542" s="695"/>
      <c r="K542" s="695"/>
      <c r="L542" s="695"/>
      <c r="M542" s="695"/>
      <c r="N542" s="695"/>
      <c r="O542" s="695"/>
      <c r="P542" s="695"/>
      <c r="Q542" s="695"/>
      <c r="R542" s="695"/>
      <c r="S542" s="695"/>
      <c r="T542" s="8"/>
      <c r="U542" s="8"/>
      <c r="V542" s="8"/>
      <c r="W542" s="8"/>
      <c r="X542" s="8"/>
      <c r="Y542" s="8"/>
      <c r="Z542" s="8"/>
      <c r="AA542" s="8"/>
      <c r="AB542" s="8"/>
    </row>
    <row r="543" ht="12.75" customHeight="1" spans="1:28" x14ac:dyDescent="0.25">
      <c r="A543" s="8"/>
      <c r="B543" s="8"/>
      <c r="C543" s="8"/>
      <c r="D543" s="8"/>
      <c r="E543" s="8"/>
      <c r="F543" s="8"/>
      <c r="G543" s="695"/>
      <c r="H543" s="695"/>
      <c r="I543" s="695"/>
      <c r="J543" s="695"/>
      <c r="K543" s="695"/>
      <c r="L543" s="695"/>
      <c r="M543" s="695"/>
      <c r="N543" s="695"/>
      <c r="O543" s="695"/>
      <c r="P543" s="695"/>
      <c r="Q543" s="695"/>
      <c r="R543" s="695"/>
      <c r="S543" s="695"/>
      <c r="T543" s="8"/>
      <c r="U543" s="8"/>
      <c r="V543" s="8"/>
      <c r="W543" s="8"/>
      <c r="X543" s="8"/>
      <c r="Y543" s="8"/>
      <c r="Z543" s="8"/>
      <c r="AA543" s="8"/>
      <c r="AB543" s="8"/>
    </row>
    <row r="544" ht="12.75" customHeight="1" spans="1:28" x14ac:dyDescent="0.25">
      <c r="A544" s="8"/>
      <c r="B544" s="8"/>
      <c r="C544" s="8"/>
      <c r="D544" s="8"/>
      <c r="E544" s="8"/>
      <c r="F544" s="8"/>
      <c r="G544" s="695"/>
      <c r="H544" s="695"/>
      <c r="I544" s="695"/>
      <c r="J544" s="695"/>
      <c r="K544" s="695"/>
      <c r="L544" s="695"/>
      <c r="M544" s="695"/>
      <c r="N544" s="695"/>
      <c r="O544" s="695"/>
      <c r="P544" s="695"/>
      <c r="Q544" s="695"/>
      <c r="R544" s="695"/>
      <c r="S544" s="695"/>
      <c r="T544" s="8"/>
      <c r="U544" s="8"/>
      <c r="V544" s="8"/>
      <c r="W544" s="8"/>
      <c r="X544" s="8"/>
      <c r="Y544" s="8"/>
      <c r="Z544" s="8"/>
      <c r="AA544" s="8"/>
      <c r="AB544" s="8"/>
    </row>
    <row r="545" ht="12.75" customHeight="1" spans="1:28" x14ac:dyDescent="0.25">
      <c r="A545" s="8"/>
      <c r="B545" s="8"/>
      <c r="C545" s="8"/>
      <c r="D545" s="8"/>
      <c r="E545" s="8"/>
      <c r="F545" s="8"/>
      <c r="G545" s="695"/>
      <c r="H545" s="695"/>
      <c r="I545" s="695"/>
      <c r="J545" s="695"/>
      <c r="K545" s="695"/>
      <c r="L545" s="695"/>
      <c r="M545" s="695"/>
      <c r="N545" s="695"/>
      <c r="O545" s="695"/>
      <c r="P545" s="695"/>
      <c r="Q545" s="695"/>
      <c r="R545" s="695"/>
      <c r="S545" s="695"/>
      <c r="T545" s="8"/>
      <c r="U545" s="8"/>
      <c r="V545" s="8"/>
      <c r="W545" s="8"/>
      <c r="X545" s="8"/>
      <c r="Y545" s="8"/>
      <c r="Z545" s="8"/>
      <c r="AA545" s="8"/>
      <c r="AB545" s="8"/>
    </row>
    <row r="546" ht="12.75" customHeight="1" spans="1:28" x14ac:dyDescent="0.25">
      <c r="A546" s="8"/>
      <c r="B546" s="8"/>
      <c r="C546" s="8"/>
      <c r="D546" s="8"/>
      <c r="E546" s="8"/>
      <c r="F546" s="8"/>
      <c r="G546" s="695"/>
      <c r="H546" s="695"/>
      <c r="I546" s="695"/>
      <c r="J546" s="695"/>
      <c r="K546" s="695"/>
      <c r="L546" s="695"/>
      <c r="M546" s="695"/>
      <c r="N546" s="695"/>
      <c r="O546" s="695"/>
      <c r="P546" s="695"/>
      <c r="Q546" s="695"/>
      <c r="R546" s="695"/>
      <c r="S546" s="695"/>
      <c r="T546" s="8"/>
      <c r="U546" s="8"/>
      <c r="V546" s="8"/>
      <c r="W546" s="8"/>
      <c r="X546" s="8"/>
      <c r="Y546" s="8"/>
      <c r="Z546" s="8"/>
      <c r="AA546" s="8"/>
      <c r="AB546" s="8"/>
    </row>
    <row r="547" ht="12.75" customHeight="1" spans="1:28" x14ac:dyDescent="0.25">
      <c r="A547" s="8"/>
      <c r="B547" s="8"/>
      <c r="C547" s="8"/>
      <c r="D547" s="8"/>
      <c r="E547" s="8"/>
      <c r="F547" s="8"/>
      <c r="G547" s="695"/>
      <c r="H547" s="695"/>
      <c r="I547" s="695"/>
      <c r="J547" s="695"/>
      <c r="K547" s="695"/>
      <c r="L547" s="695"/>
      <c r="M547" s="695"/>
      <c r="N547" s="695"/>
      <c r="O547" s="695"/>
      <c r="P547" s="695"/>
      <c r="Q547" s="695"/>
      <c r="R547" s="695"/>
      <c r="S547" s="695"/>
      <c r="T547" s="8"/>
      <c r="U547" s="8"/>
      <c r="V547" s="8"/>
      <c r="W547" s="8"/>
      <c r="X547" s="8"/>
      <c r="Y547" s="8"/>
      <c r="Z547" s="8"/>
      <c r="AA547" s="8"/>
      <c r="AB547" s="8"/>
    </row>
    <row r="548" ht="12.75" customHeight="1" spans="1:28" x14ac:dyDescent="0.25">
      <c r="A548" s="8"/>
      <c r="B548" s="8"/>
      <c r="C548" s="8"/>
      <c r="D548" s="8"/>
      <c r="E548" s="8"/>
      <c r="F548" s="8"/>
      <c r="G548" s="695"/>
      <c r="H548" s="695"/>
      <c r="I548" s="695"/>
      <c r="J548" s="695"/>
      <c r="K548" s="695"/>
      <c r="L548" s="695"/>
      <c r="M548" s="695"/>
      <c r="N548" s="695"/>
      <c r="O548" s="695"/>
      <c r="P548" s="695"/>
      <c r="Q548" s="695"/>
      <c r="R548" s="695"/>
      <c r="S548" s="695"/>
      <c r="T548" s="8"/>
      <c r="U548" s="8"/>
      <c r="V548" s="8"/>
      <c r="W548" s="8"/>
      <c r="X548" s="8"/>
      <c r="Y548" s="8"/>
      <c r="Z548" s="8"/>
      <c r="AA548" s="8"/>
      <c r="AB548" s="8"/>
    </row>
    <row r="549" ht="12.75" customHeight="1" spans="1:28" x14ac:dyDescent="0.25">
      <c r="A549" s="8"/>
      <c r="B549" s="8"/>
      <c r="C549" s="8"/>
      <c r="D549" s="8"/>
      <c r="E549" s="8"/>
      <c r="F549" s="8"/>
      <c r="G549" s="695"/>
      <c r="H549" s="695"/>
      <c r="I549" s="695"/>
      <c r="J549" s="695"/>
      <c r="K549" s="695"/>
      <c r="L549" s="695"/>
      <c r="M549" s="695"/>
      <c r="N549" s="695"/>
      <c r="O549" s="695"/>
      <c r="P549" s="695"/>
      <c r="Q549" s="695"/>
      <c r="R549" s="695"/>
      <c r="S549" s="695"/>
      <c r="T549" s="8"/>
      <c r="U549" s="8"/>
      <c r="V549" s="8"/>
      <c r="W549" s="8"/>
      <c r="X549" s="8"/>
      <c r="Y549" s="8"/>
      <c r="Z549" s="8"/>
      <c r="AA549" s="8"/>
      <c r="AB549" s="8"/>
    </row>
    <row r="550" ht="12.75" customHeight="1" spans="1:28" x14ac:dyDescent="0.25">
      <c r="A550" s="8"/>
      <c r="B550" s="8"/>
      <c r="C550" s="8"/>
      <c r="D550" s="8"/>
      <c r="E550" s="8"/>
      <c r="F550" s="8"/>
      <c r="G550" s="695"/>
      <c r="H550" s="695"/>
      <c r="I550" s="695"/>
      <c r="J550" s="695"/>
      <c r="K550" s="695"/>
      <c r="L550" s="695"/>
      <c r="M550" s="695"/>
      <c r="N550" s="695"/>
      <c r="O550" s="695"/>
      <c r="P550" s="695"/>
      <c r="Q550" s="695"/>
      <c r="R550" s="695"/>
      <c r="S550" s="695"/>
      <c r="T550" s="8"/>
      <c r="U550" s="8"/>
      <c r="V550" s="8"/>
      <c r="W550" s="8"/>
      <c r="X550" s="8"/>
      <c r="Y550" s="8"/>
      <c r="Z550" s="8"/>
      <c r="AA550" s="8"/>
      <c r="AB550" s="8"/>
    </row>
    <row r="551" ht="12.75" customHeight="1" spans="1:28" x14ac:dyDescent="0.25">
      <c r="A551" s="8"/>
      <c r="B551" s="8"/>
      <c r="C551" s="8"/>
      <c r="D551" s="8"/>
      <c r="E551" s="8"/>
      <c r="F551" s="8"/>
      <c r="G551" s="695"/>
      <c r="H551" s="695"/>
      <c r="I551" s="695"/>
      <c r="J551" s="695"/>
      <c r="K551" s="695"/>
      <c r="L551" s="695"/>
      <c r="M551" s="695"/>
      <c r="N551" s="695"/>
      <c r="O551" s="695"/>
      <c r="P551" s="695"/>
      <c r="Q551" s="695"/>
      <c r="R551" s="695"/>
      <c r="S551" s="695"/>
      <c r="T551" s="8"/>
      <c r="U551" s="8"/>
      <c r="V551" s="8"/>
      <c r="W551" s="8"/>
      <c r="X551" s="8"/>
      <c r="Y551" s="8"/>
      <c r="Z551" s="8"/>
      <c r="AA551" s="8"/>
      <c r="AB551" s="8"/>
    </row>
    <row r="552" ht="12.75" customHeight="1" spans="1:28" x14ac:dyDescent="0.25">
      <c r="A552" s="8"/>
      <c r="B552" s="8"/>
      <c r="C552" s="8"/>
      <c r="D552" s="8"/>
      <c r="E552" s="8"/>
      <c r="F552" s="8"/>
      <c r="G552" s="695"/>
      <c r="H552" s="695"/>
      <c r="I552" s="695"/>
      <c r="J552" s="695"/>
      <c r="K552" s="695"/>
      <c r="L552" s="695"/>
      <c r="M552" s="695"/>
      <c r="N552" s="695"/>
      <c r="O552" s="695"/>
      <c r="P552" s="695"/>
      <c r="Q552" s="695"/>
      <c r="R552" s="695"/>
      <c r="S552" s="695"/>
      <c r="T552" s="8"/>
      <c r="U552" s="8"/>
      <c r="V552" s="8"/>
      <c r="W552" s="8"/>
      <c r="X552" s="8"/>
      <c r="Y552" s="8"/>
      <c r="Z552" s="8"/>
      <c r="AA552" s="8"/>
      <c r="AB552" s="8"/>
    </row>
    <row r="553" ht="12.75" customHeight="1" spans="1:28" x14ac:dyDescent="0.25">
      <c r="A553" s="8"/>
      <c r="B553" s="8"/>
      <c r="C553" s="8"/>
      <c r="D553" s="8"/>
      <c r="E553" s="8"/>
      <c r="F553" s="8"/>
      <c r="G553" s="695"/>
      <c r="H553" s="695"/>
      <c r="I553" s="695"/>
      <c r="J553" s="695"/>
      <c r="K553" s="695"/>
      <c r="L553" s="695"/>
      <c r="M553" s="695"/>
      <c r="N553" s="695"/>
      <c r="O553" s="695"/>
      <c r="P553" s="695"/>
      <c r="Q553" s="695"/>
      <c r="R553" s="695"/>
      <c r="S553" s="695"/>
      <c r="T553" s="8"/>
      <c r="U553" s="8"/>
      <c r="V553" s="8"/>
      <c r="W553" s="8"/>
      <c r="X553" s="8"/>
      <c r="Y553" s="8"/>
      <c r="Z553" s="8"/>
      <c r="AA553" s="8"/>
      <c r="AB553" s="8"/>
    </row>
    <row r="554" ht="12.75" customHeight="1" spans="1:28" x14ac:dyDescent="0.25">
      <c r="A554" s="8"/>
      <c r="B554" s="8"/>
      <c r="C554" s="8"/>
      <c r="D554" s="8"/>
      <c r="E554" s="8"/>
      <c r="F554" s="8"/>
      <c r="G554" s="695"/>
      <c r="H554" s="695"/>
      <c r="I554" s="695"/>
      <c r="J554" s="695"/>
      <c r="K554" s="695"/>
      <c r="L554" s="695"/>
      <c r="M554" s="695"/>
      <c r="N554" s="695"/>
      <c r="O554" s="695"/>
      <c r="P554" s="695"/>
      <c r="Q554" s="695"/>
      <c r="R554" s="695"/>
      <c r="S554" s="695"/>
      <c r="T554" s="8"/>
      <c r="U554" s="8"/>
      <c r="V554" s="8"/>
      <c r="W554" s="8"/>
      <c r="X554" s="8"/>
      <c r="Y554" s="8"/>
      <c r="Z554" s="8"/>
      <c r="AA554" s="8"/>
      <c r="AB554" s="8"/>
    </row>
    <row r="555" ht="12.75" customHeight="1" spans="1:28" x14ac:dyDescent="0.25">
      <c r="A555" s="8"/>
      <c r="B555" s="8"/>
      <c r="C555" s="8"/>
      <c r="D555" s="8"/>
      <c r="E555" s="8"/>
      <c r="F555" s="8"/>
      <c r="G555" s="695"/>
      <c r="H555" s="695"/>
      <c r="I555" s="695"/>
      <c r="J555" s="695"/>
      <c r="K555" s="695"/>
      <c r="L555" s="695"/>
      <c r="M555" s="695"/>
      <c r="N555" s="695"/>
      <c r="O555" s="695"/>
      <c r="P555" s="695"/>
      <c r="Q555" s="695"/>
      <c r="R555" s="695"/>
      <c r="S555" s="695"/>
      <c r="T555" s="8"/>
      <c r="U555" s="8"/>
      <c r="V555" s="8"/>
      <c r="W555" s="8"/>
      <c r="X555" s="8"/>
      <c r="Y555" s="8"/>
      <c r="Z555" s="8"/>
      <c r="AA555" s="8"/>
      <c r="AB555" s="8"/>
    </row>
    <row r="556" ht="12.75" customHeight="1" spans="1:28" x14ac:dyDescent="0.25">
      <c r="A556" s="8"/>
      <c r="B556" s="8"/>
      <c r="C556" s="8"/>
      <c r="D556" s="8"/>
      <c r="E556" s="8"/>
      <c r="F556" s="8"/>
      <c r="G556" s="695"/>
      <c r="H556" s="695"/>
      <c r="I556" s="695"/>
      <c r="J556" s="695"/>
      <c r="K556" s="695"/>
      <c r="L556" s="695"/>
      <c r="M556" s="695"/>
      <c r="N556" s="695"/>
      <c r="O556" s="695"/>
      <c r="P556" s="695"/>
      <c r="Q556" s="695"/>
      <c r="R556" s="695"/>
      <c r="S556" s="695"/>
      <c r="T556" s="8"/>
      <c r="U556" s="8"/>
      <c r="V556" s="8"/>
      <c r="W556" s="8"/>
      <c r="X556" s="8"/>
      <c r="Y556" s="8"/>
      <c r="Z556" s="8"/>
      <c r="AA556" s="8"/>
      <c r="AB556" s="8"/>
    </row>
    <row r="557" ht="12.75" customHeight="1" spans="1:28" x14ac:dyDescent="0.25">
      <c r="A557" s="8"/>
      <c r="B557" s="8"/>
      <c r="C557" s="8"/>
      <c r="D557" s="8"/>
      <c r="E557" s="8"/>
      <c r="F557" s="8"/>
      <c r="G557" s="695"/>
      <c r="H557" s="695"/>
      <c r="I557" s="695"/>
      <c r="J557" s="695"/>
      <c r="K557" s="695"/>
      <c r="L557" s="695"/>
      <c r="M557" s="695"/>
      <c r="N557" s="695"/>
      <c r="O557" s="695"/>
      <c r="P557" s="695"/>
      <c r="Q557" s="695"/>
      <c r="R557" s="695"/>
      <c r="S557" s="695"/>
      <c r="T557" s="8"/>
      <c r="U557" s="8"/>
      <c r="V557" s="8"/>
      <c r="W557" s="8"/>
      <c r="X557" s="8"/>
      <c r="Y557" s="8"/>
      <c r="Z557" s="8"/>
      <c r="AA557" s="8"/>
      <c r="AB557" s="8"/>
    </row>
    <row r="558" ht="12.75" customHeight="1" spans="1:28" x14ac:dyDescent="0.25">
      <c r="A558" s="8"/>
      <c r="B558" s="8"/>
      <c r="C558" s="8"/>
      <c r="D558" s="8"/>
      <c r="E558" s="8"/>
      <c r="F558" s="8"/>
      <c r="G558" s="695"/>
      <c r="H558" s="695"/>
      <c r="I558" s="695"/>
      <c r="J558" s="695"/>
      <c r="K558" s="695"/>
      <c r="L558" s="695"/>
      <c r="M558" s="695"/>
      <c r="N558" s="695"/>
      <c r="O558" s="695"/>
      <c r="P558" s="695"/>
      <c r="Q558" s="695"/>
      <c r="R558" s="695"/>
      <c r="S558" s="695"/>
      <c r="T558" s="8"/>
      <c r="U558" s="8"/>
      <c r="V558" s="8"/>
      <c r="W558" s="8"/>
      <c r="X558" s="8"/>
      <c r="Y558" s="8"/>
      <c r="Z558" s="8"/>
      <c r="AA558" s="8"/>
      <c r="AB558" s="8"/>
    </row>
    <row r="559" ht="12.75" customHeight="1" spans="1:28" x14ac:dyDescent="0.25">
      <c r="A559" s="8"/>
      <c r="B559" s="8"/>
      <c r="C559" s="8"/>
      <c r="D559" s="8"/>
      <c r="E559" s="8"/>
      <c r="F559" s="8"/>
      <c r="G559" s="695"/>
      <c r="H559" s="695"/>
      <c r="I559" s="695"/>
      <c r="J559" s="695"/>
      <c r="K559" s="695"/>
      <c r="L559" s="695"/>
      <c r="M559" s="695"/>
      <c r="N559" s="695"/>
      <c r="O559" s="695"/>
      <c r="P559" s="695"/>
      <c r="Q559" s="695"/>
      <c r="R559" s="695"/>
      <c r="S559" s="695"/>
      <c r="T559" s="8"/>
      <c r="U559" s="8"/>
      <c r="V559" s="8"/>
      <c r="W559" s="8"/>
      <c r="X559" s="8"/>
      <c r="Y559" s="8"/>
      <c r="Z559" s="8"/>
      <c r="AA559" s="8"/>
      <c r="AB559" s="8"/>
    </row>
    <row r="560" ht="12.75" customHeight="1" spans="1:28" x14ac:dyDescent="0.25">
      <c r="A560" s="8"/>
      <c r="B560" s="8"/>
      <c r="C560" s="8"/>
      <c r="D560" s="8"/>
      <c r="E560" s="8"/>
      <c r="F560" s="8"/>
      <c r="G560" s="695"/>
      <c r="H560" s="695"/>
      <c r="I560" s="695"/>
      <c r="J560" s="695"/>
      <c r="K560" s="695"/>
      <c r="L560" s="695"/>
      <c r="M560" s="695"/>
      <c r="N560" s="695"/>
      <c r="O560" s="695"/>
      <c r="P560" s="695"/>
      <c r="Q560" s="695"/>
      <c r="R560" s="695"/>
      <c r="S560" s="695"/>
      <c r="T560" s="8"/>
      <c r="U560" s="8"/>
      <c r="V560" s="8"/>
      <c r="W560" s="8"/>
      <c r="X560" s="8"/>
      <c r="Y560" s="8"/>
      <c r="Z560" s="8"/>
      <c r="AA560" s="8"/>
      <c r="AB560" s="8"/>
    </row>
    <row r="561" ht="12.75" customHeight="1" spans="1:28" x14ac:dyDescent="0.25">
      <c r="A561" s="8"/>
      <c r="B561" s="8"/>
      <c r="C561" s="8"/>
      <c r="D561" s="8"/>
      <c r="E561" s="8"/>
      <c r="F561" s="8"/>
      <c r="G561" s="695"/>
      <c r="H561" s="695"/>
      <c r="I561" s="695"/>
      <c r="J561" s="695"/>
      <c r="K561" s="695"/>
      <c r="L561" s="695"/>
      <c r="M561" s="695"/>
      <c r="N561" s="695"/>
      <c r="O561" s="695"/>
      <c r="P561" s="695"/>
      <c r="Q561" s="695"/>
      <c r="R561" s="695"/>
      <c r="S561" s="695"/>
      <c r="T561" s="8"/>
      <c r="U561" s="8"/>
      <c r="V561" s="8"/>
      <c r="W561" s="8"/>
      <c r="X561" s="8"/>
      <c r="Y561" s="8"/>
      <c r="Z561" s="8"/>
      <c r="AA561" s="8"/>
      <c r="AB561" s="8"/>
    </row>
    <row r="562" ht="12.75" customHeight="1" spans="1:28" x14ac:dyDescent="0.25">
      <c r="A562" s="8"/>
      <c r="B562" s="8"/>
      <c r="C562" s="8"/>
      <c r="D562" s="8"/>
      <c r="E562" s="8"/>
      <c r="F562" s="8"/>
      <c r="G562" s="695"/>
      <c r="H562" s="695"/>
      <c r="I562" s="695"/>
      <c r="J562" s="695"/>
      <c r="K562" s="695"/>
      <c r="L562" s="695"/>
      <c r="M562" s="695"/>
      <c r="N562" s="695"/>
      <c r="O562" s="695"/>
      <c r="P562" s="695"/>
      <c r="Q562" s="695"/>
      <c r="R562" s="695"/>
      <c r="S562" s="695"/>
      <c r="T562" s="8"/>
      <c r="U562" s="8"/>
      <c r="V562" s="8"/>
      <c r="W562" s="8"/>
      <c r="X562" s="8"/>
      <c r="Y562" s="8"/>
      <c r="Z562" s="8"/>
      <c r="AA562" s="8"/>
      <c r="AB562" s="8"/>
    </row>
    <row r="563" ht="12.75" customHeight="1" spans="1:28" x14ac:dyDescent="0.25">
      <c r="A563" s="8"/>
      <c r="B563" s="8"/>
      <c r="C563" s="8"/>
      <c r="D563" s="8"/>
      <c r="E563" s="8"/>
      <c r="F563" s="8"/>
      <c r="G563" s="695"/>
      <c r="H563" s="695"/>
      <c r="I563" s="695"/>
      <c r="J563" s="695"/>
      <c r="K563" s="695"/>
      <c r="L563" s="695"/>
      <c r="M563" s="695"/>
      <c r="N563" s="695"/>
      <c r="O563" s="695"/>
      <c r="P563" s="695"/>
      <c r="Q563" s="695"/>
      <c r="R563" s="695"/>
      <c r="S563" s="695"/>
      <c r="T563" s="8"/>
      <c r="U563" s="8"/>
      <c r="V563" s="8"/>
      <c r="W563" s="8"/>
      <c r="X563" s="8"/>
      <c r="Y563" s="8"/>
      <c r="Z563" s="8"/>
      <c r="AA563" s="8"/>
      <c r="AB563" s="8"/>
    </row>
    <row r="564" ht="12.75" customHeight="1" spans="1:28" x14ac:dyDescent="0.25">
      <c r="A564" s="8"/>
      <c r="B564" s="8"/>
      <c r="C564" s="8"/>
      <c r="D564" s="8"/>
      <c r="E564" s="8"/>
      <c r="F564" s="8"/>
      <c r="G564" s="695"/>
      <c r="H564" s="695"/>
      <c r="I564" s="695"/>
      <c r="J564" s="695"/>
      <c r="K564" s="695"/>
      <c r="L564" s="695"/>
      <c r="M564" s="695"/>
      <c r="N564" s="695"/>
      <c r="O564" s="695"/>
      <c r="P564" s="695"/>
      <c r="Q564" s="695"/>
      <c r="R564" s="695"/>
      <c r="S564" s="695"/>
      <c r="T564" s="8"/>
      <c r="U564" s="8"/>
      <c r="V564" s="8"/>
      <c r="W564" s="8"/>
      <c r="X564" s="8"/>
      <c r="Y564" s="8"/>
      <c r="Z564" s="8"/>
      <c r="AA564" s="8"/>
      <c r="AB564" s="8"/>
    </row>
    <row r="565" ht="12.75" customHeight="1" spans="1:28" x14ac:dyDescent="0.25">
      <c r="A565" s="8"/>
      <c r="B565" s="8"/>
      <c r="C565" s="8"/>
      <c r="D565" s="8"/>
      <c r="E565" s="8"/>
      <c r="F565" s="8"/>
      <c r="G565" s="695"/>
      <c r="H565" s="695"/>
      <c r="I565" s="695"/>
      <c r="J565" s="695"/>
      <c r="K565" s="695"/>
      <c r="L565" s="695"/>
      <c r="M565" s="695"/>
      <c r="N565" s="695"/>
      <c r="O565" s="695"/>
      <c r="P565" s="695"/>
      <c r="Q565" s="695"/>
      <c r="R565" s="695"/>
      <c r="S565" s="695"/>
      <c r="T565" s="8"/>
      <c r="U565" s="8"/>
      <c r="V565" s="8"/>
      <c r="W565" s="8"/>
      <c r="X565" s="8"/>
      <c r="Y565" s="8"/>
      <c r="Z565" s="8"/>
      <c r="AA565" s="8"/>
      <c r="AB565" s="8"/>
    </row>
    <row r="566" ht="12.75" customHeight="1" spans="1:28" x14ac:dyDescent="0.25">
      <c r="A566" s="8"/>
      <c r="B566" s="8"/>
      <c r="C566" s="8"/>
      <c r="D566" s="8"/>
      <c r="E566" s="8"/>
      <c r="F566" s="8"/>
      <c r="G566" s="695"/>
      <c r="H566" s="695"/>
      <c r="I566" s="695"/>
      <c r="J566" s="695"/>
      <c r="K566" s="695"/>
      <c r="L566" s="695"/>
      <c r="M566" s="695"/>
      <c r="N566" s="695"/>
      <c r="O566" s="695"/>
      <c r="P566" s="695"/>
      <c r="Q566" s="695"/>
      <c r="R566" s="695"/>
      <c r="S566" s="695"/>
      <c r="T566" s="8"/>
      <c r="U566" s="8"/>
      <c r="V566" s="8"/>
      <c r="W566" s="8"/>
      <c r="X566" s="8"/>
      <c r="Y566" s="8"/>
      <c r="Z566" s="8"/>
      <c r="AA566" s="8"/>
      <c r="AB566" s="8"/>
    </row>
    <row r="567" ht="12.75" customHeight="1" spans="1:28" x14ac:dyDescent="0.25">
      <c r="A567" s="8"/>
      <c r="B567" s="8"/>
      <c r="C567" s="8"/>
      <c r="D567" s="8"/>
      <c r="E567" s="8"/>
      <c r="F567" s="8"/>
      <c r="G567" s="695"/>
      <c r="H567" s="695"/>
      <c r="I567" s="695"/>
      <c r="J567" s="695"/>
      <c r="K567" s="695"/>
      <c r="L567" s="695"/>
      <c r="M567" s="695"/>
      <c r="N567" s="695"/>
      <c r="O567" s="695"/>
      <c r="P567" s="695"/>
      <c r="Q567" s="695"/>
      <c r="R567" s="695"/>
      <c r="S567" s="695"/>
      <c r="T567" s="8"/>
      <c r="U567" s="8"/>
      <c r="V567" s="8"/>
      <c r="W567" s="8"/>
      <c r="X567" s="8"/>
      <c r="Y567" s="8"/>
      <c r="Z567" s="8"/>
      <c r="AA567" s="8"/>
      <c r="AB567" s="8"/>
    </row>
    <row r="568" ht="12.75" customHeight="1" spans="1:28" x14ac:dyDescent="0.25">
      <c r="A568" s="8"/>
      <c r="B568" s="8"/>
      <c r="C568" s="8"/>
      <c r="D568" s="8"/>
      <c r="E568" s="8"/>
      <c r="F568" s="8"/>
      <c r="G568" s="695"/>
      <c r="H568" s="695"/>
      <c r="I568" s="695"/>
      <c r="J568" s="695"/>
      <c r="K568" s="695"/>
      <c r="L568" s="695"/>
      <c r="M568" s="695"/>
      <c r="N568" s="695"/>
      <c r="O568" s="695"/>
      <c r="P568" s="695"/>
      <c r="Q568" s="695"/>
      <c r="R568" s="695"/>
      <c r="S568" s="695"/>
      <c r="T568" s="8"/>
      <c r="U568" s="8"/>
      <c r="V568" s="8"/>
      <c r="W568" s="8"/>
      <c r="X568" s="8"/>
      <c r="Y568" s="8"/>
      <c r="Z568" s="8"/>
      <c r="AA568" s="8"/>
      <c r="AB568" s="8"/>
    </row>
    <row r="569" ht="12.75" customHeight="1" spans="1:28" x14ac:dyDescent="0.25">
      <c r="A569" s="8"/>
      <c r="B569" s="8"/>
      <c r="C569" s="8"/>
      <c r="D569" s="8"/>
      <c r="E569" s="8"/>
      <c r="F569" s="8"/>
      <c r="G569" s="695"/>
      <c r="H569" s="695"/>
      <c r="I569" s="695"/>
      <c r="J569" s="695"/>
      <c r="K569" s="695"/>
      <c r="L569" s="695"/>
      <c r="M569" s="695"/>
      <c r="N569" s="695"/>
      <c r="O569" s="695"/>
      <c r="P569" s="695"/>
      <c r="Q569" s="695"/>
      <c r="R569" s="695"/>
      <c r="S569" s="695"/>
      <c r="T569" s="8"/>
      <c r="U569" s="8"/>
      <c r="V569" s="8"/>
      <c r="W569" s="8"/>
      <c r="X569" s="8"/>
      <c r="Y569" s="8"/>
      <c r="Z569" s="8"/>
      <c r="AA569" s="8"/>
      <c r="AB569" s="8"/>
    </row>
    <row r="570" ht="12.75" customHeight="1" spans="1:28" x14ac:dyDescent="0.25">
      <c r="A570" s="8"/>
      <c r="B570" s="8"/>
      <c r="C570" s="8"/>
      <c r="D570" s="8"/>
      <c r="E570" s="8"/>
      <c r="F570" s="8"/>
      <c r="G570" s="695"/>
      <c r="H570" s="695"/>
      <c r="I570" s="695"/>
      <c r="J570" s="695"/>
      <c r="K570" s="695"/>
      <c r="L570" s="695"/>
      <c r="M570" s="695"/>
      <c r="N570" s="695"/>
      <c r="O570" s="695"/>
      <c r="P570" s="695"/>
      <c r="Q570" s="695"/>
      <c r="R570" s="695"/>
      <c r="S570" s="695"/>
      <c r="T570" s="8"/>
      <c r="U570" s="8"/>
      <c r="V570" s="8"/>
      <c r="W570" s="8"/>
      <c r="X570" s="8"/>
      <c r="Y570" s="8"/>
      <c r="Z570" s="8"/>
      <c r="AA570" s="8"/>
      <c r="AB570" s="8"/>
    </row>
    <row r="571" ht="12.75" customHeight="1" spans="1:28" x14ac:dyDescent="0.25">
      <c r="A571" s="8"/>
      <c r="B571" s="8"/>
      <c r="C571" s="8"/>
      <c r="D571" s="8"/>
      <c r="E571" s="8"/>
      <c r="F571" s="8"/>
      <c r="G571" s="695"/>
      <c r="H571" s="695"/>
      <c r="I571" s="695"/>
      <c r="J571" s="695"/>
      <c r="K571" s="695"/>
      <c r="L571" s="695"/>
      <c r="M571" s="695"/>
      <c r="N571" s="695"/>
      <c r="O571" s="695"/>
      <c r="P571" s="695"/>
      <c r="Q571" s="695"/>
      <c r="R571" s="695"/>
      <c r="S571" s="695"/>
      <c r="T571" s="8"/>
      <c r="U571" s="8"/>
      <c r="V571" s="8"/>
      <c r="W571" s="8"/>
      <c r="X571" s="8"/>
      <c r="Y571" s="8"/>
      <c r="Z571" s="8"/>
      <c r="AA571" s="8"/>
      <c r="AB571" s="8"/>
    </row>
    <row r="572" ht="12.75" customHeight="1" spans="1:28" x14ac:dyDescent="0.25">
      <c r="A572" s="8"/>
      <c r="B572" s="8"/>
      <c r="C572" s="8"/>
      <c r="D572" s="8"/>
      <c r="E572" s="8"/>
      <c r="F572" s="8"/>
      <c r="G572" s="695"/>
      <c r="H572" s="695"/>
      <c r="I572" s="695"/>
      <c r="J572" s="695"/>
      <c r="K572" s="695"/>
      <c r="L572" s="695"/>
      <c r="M572" s="695"/>
      <c r="N572" s="695"/>
      <c r="O572" s="695"/>
      <c r="P572" s="695"/>
      <c r="Q572" s="695"/>
      <c r="R572" s="695"/>
      <c r="S572" s="695"/>
      <c r="T572" s="8"/>
      <c r="U572" s="8"/>
      <c r="V572" s="8"/>
      <c r="W572" s="8"/>
      <c r="X572" s="8"/>
      <c r="Y572" s="8"/>
      <c r="Z572" s="8"/>
      <c r="AA572" s="8"/>
      <c r="AB572" s="8"/>
    </row>
    <row r="573" ht="12.75" customHeight="1" spans="1:28" x14ac:dyDescent="0.25">
      <c r="A573" s="8"/>
      <c r="B573" s="8"/>
      <c r="C573" s="8"/>
      <c r="D573" s="8"/>
      <c r="E573" s="8"/>
      <c r="F573" s="8"/>
      <c r="G573" s="695"/>
      <c r="H573" s="695"/>
      <c r="I573" s="695"/>
      <c r="J573" s="695"/>
      <c r="K573" s="695"/>
      <c r="L573" s="695"/>
      <c r="M573" s="695"/>
      <c r="N573" s="695"/>
      <c r="O573" s="695"/>
      <c r="P573" s="695"/>
      <c r="Q573" s="695"/>
      <c r="R573" s="695"/>
      <c r="S573" s="695"/>
      <c r="T573" s="8"/>
      <c r="U573" s="8"/>
      <c r="V573" s="8"/>
      <c r="W573" s="8"/>
      <c r="X573" s="8"/>
      <c r="Y573" s="8"/>
      <c r="Z573" s="8"/>
      <c r="AA573" s="8"/>
      <c r="AB573" s="8"/>
    </row>
    <row r="574" ht="12.75" customHeight="1" spans="1:28" x14ac:dyDescent="0.25">
      <c r="A574" s="8"/>
      <c r="B574" s="8"/>
      <c r="C574" s="8"/>
      <c r="D574" s="8"/>
      <c r="E574" s="8"/>
      <c r="F574" s="8"/>
      <c r="G574" s="695"/>
      <c r="H574" s="695"/>
      <c r="I574" s="695"/>
      <c r="J574" s="695"/>
      <c r="K574" s="695"/>
      <c r="L574" s="695"/>
      <c r="M574" s="695"/>
      <c r="N574" s="695"/>
      <c r="O574" s="695"/>
      <c r="P574" s="695"/>
      <c r="Q574" s="695"/>
      <c r="R574" s="695"/>
      <c r="S574" s="695"/>
      <c r="T574" s="8"/>
      <c r="U574" s="8"/>
      <c r="V574" s="8"/>
      <c r="W574" s="8"/>
      <c r="X574" s="8"/>
      <c r="Y574" s="8"/>
      <c r="Z574" s="8"/>
      <c r="AA574" s="8"/>
      <c r="AB574" s="8"/>
    </row>
    <row r="575" ht="12.75" customHeight="1" spans="1:28" x14ac:dyDescent="0.25">
      <c r="A575" s="8"/>
      <c r="B575" s="8"/>
      <c r="C575" s="8"/>
      <c r="D575" s="8"/>
      <c r="E575" s="8"/>
      <c r="F575" s="8"/>
      <c r="G575" s="695"/>
      <c r="H575" s="695"/>
      <c r="I575" s="695"/>
      <c r="J575" s="695"/>
      <c r="K575" s="695"/>
      <c r="L575" s="695"/>
      <c r="M575" s="695"/>
      <c r="N575" s="695"/>
      <c r="O575" s="695"/>
      <c r="P575" s="695"/>
      <c r="Q575" s="695"/>
      <c r="R575" s="695"/>
      <c r="S575" s="695"/>
      <c r="T575" s="8"/>
      <c r="U575" s="8"/>
      <c r="V575" s="8"/>
      <c r="W575" s="8"/>
      <c r="X575" s="8"/>
      <c r="Y575" s="8"/>
      <c r="Z575" s="8"/>
      <c r="AA575" s="8"/>
      <c r="AB575" s="8"/>
    </row>
    <row r="576" ht="12.75" customHeight="1" spans="1:28" x14ac:dyDescent="0.25">
      <c r="A576" s="8"/>
      <c r="B576" s="8"/>
      <c r="C576" s="8"/>
      <c r="D576" s="8"/>
      <c r="E576" s="8"/>
      <c r="F576" s="8"/>
      <c r="G576" s="695"/>
      <c r="H576" s="695"/>
      <c r="I576" s="695"/>
      <c r="J576" s="695"/>
      <c r="K576" s="695"/>
      <c r="L576" s="695"/>
      <c r="M576" s="695"/>
      <c r="N576" s="695"/>
      <c r="O576" s="695"/>
      <c r="P576" s="695"/>
      <c r="Q576" s="695"/>
      <c r="R576" s="695"/>
      <c r="S576" s="695"/>
      <c r="T576" s="8"/>
      <c r="U576" s="8"/>
      <c r="V576" s="8"/>
      <c r="W576" s="8"/>
      <c r="X576" s="8"/>
      <c r="Y576" s="8"/>
      <c r="Z576" s="8"/>
      <c r="AA576" s="8"/>
      <c r="AB576" s="8"/>
    </row>
    <row r="577" ht="12.75" customHeight="1" spans="1:28" x14ac:dyDescent="0.25">
      <c r="A577" s="8"/>
      <c r="B577" s="8"/>
      <c r="C577" s="8"/>
      <c r="D577" s="8"/>
      <c r="E577" s="8"/>
      <c r="F577" s="8"/>
      <c r="G577" s="695"/>
      <c r="H577" s="695"/>
      <c r="I577" s="695"/>
      <c r="J577" s="695"/>
      <c r="K577" s="695"/>
      <c r="L577" s="695"/>
      <c r="M577" s="695"/>
      <c r="N577" s="695"/>
      <c r="O577" s="695"/>
      <c r="P577" s="695"/>
      <c r="Q577" s="695"/>
      <c r="R577" s="695"/>
      <c r="S577" s="695"/>
      <c r="T577" s="8"/>
      <c r="U577" s="8"/>
      <c r="V577" s="8"/>
      <c r="W577" s="8"/>
      <c r="X577" s="8"/>
      <c r="Y577" s="8"/>
      <c r="Z577" s="8"/>
      <c r="AA577" s="8"/>
      <c r="AB577" s="8"/>
    </row>
    <row r="578" ht="12.75" customHeight="1" spans="1:28" x14ac:dyDescent="0.25">
      <c r="A578" s="8"/>
      <c r="B578" s="8"/>
      <c r="C578" s="8"/>
      <c r="D578" s="8"/>
      <c r="E578" s="8"/>
      <c r="F578" s="8"/>
      <c r="G578" s="695"/>
      <c r="H578" s="695"/>
      <c r="I578" s="695"/>
      <c r="J578" s="695"/>
      <c r="K578" s="695"/>
      <c r="L578" s="695"/>
      <c r="M578" s="695"/>
      <c r="N578" s="695"/>
      <c r="O578" s="695"/>
      <c r="P578" s="695"/>
      <c r="Q578" s="695"/>
      <c r="R578" s="695"/>
      <c r="S578" s="695"/>
      <c r="T578" s="8"/>
      <c r="U578" s="8"/>
      <c r="V578" s="8"/>
      <c r="W578" s="8"/>
      <c r="X578" s="8"/>
      <c r="Y578" s="8"/>
      <c r="Z578" s="8"/>
      <c r="AA578" s="8"/>
      <c r="AB578" s="8"/>
    </row>
    <row r="579" ht="12.75" customHeight="1" spans="1:28" x14ac:dyDescent="0.25">
      <c r="A579" s="8"/>
      <c r="B579" s="8"/>
      <c r="C579" s="8"/>
      <c r="D579" s="8"/>
      <c r="E579" s="8"/>
      <c r="F579" s="8"/>
      <c r="G579" s="695"/>
      <c r="H579" s="695"/>
      <c r="I579" s="695"/>
      <c r="J579" s="695"/>
      <c r="K579" s="695"/>
      <c r="L579" s="695"/>
      <c r="M579" s="695"/>
      <c r="N579" s="695"/>
      <c r="O579" s="695"/>
      <c r="P579" s="695"/>
      <c r="Q579" s="695"/>
      <c r="R579" s="695"/>
      <c r="S579" s="695"/>
      <c r="T579" s="8"/>
      <c r="U579" s="8"/>
      <c r="V579" s="8"/>
      <c r="W579" s="8"/>
      <c r="X579" s="8"/>
      <c r="Y579" s="8"/>
      <c r="Z579" s="8"/>
      <c r="AA579" s="8"/>
      <c r="AB579" s="8"/>
    </row>
    <row r="580" ht="12.75" customHeight="1" spans="1:28" x14ac:dyDescent="0.25">
      <c r="A580" s="8"/>
      <c r="B580" s="8"/>
      <c r="C580" s="8"/>
      <c r="D580" s="8"/>
      <c r="E580" s="8"/>
      <c r="F580" s="8"/>
      <c r="G580" s="695"/>
      <c r="H580" s="695"/>
      <c r="I580" s="695"/>
      <c r="J580" s="695"/>
      <c r="K580" s="695"/>
      <c r="L580" s="695"/>
      <c r="M580" s="695"/>
      <c r="N580" s="695"/>
      <c r="O580" s="695"/>
      <c r="P580" s="695"/>
      <c r="Q580" s="695"/>
      <c r="R580" s="695"/>
      <c r="S580" s="695"/>
      <c r="T580" s="8"/>
      <c r="U580" s="8"/>
      <c r="V580" s="8"/>
      <c r="W580" s="8"/>
      <c r="X580" s="8"/>
      <c r="Y580" s="8"/>
      <c r="Z580" s="8"/>
      <c r="AA580" s="8"/>
      <c r="AB580" s="8"/>
    </row>
    <row r="581" ht="12.75" customHeight="1" spans="1:28" x14ac:dyDescent="0.25">
      <c r="A581" s="8"/>
      <c r="B581" s="8"/>
      <c r="C581" s="8"/>
      <c r="D581" s="8"/>
      <c r="E581" s="8"/>
      <c r="F581" s="8"/>
      <c r="G581" s="695"/>
      <c r="H581" s="695"/>
      <c r="I581" s="695"/>
      <c r="J581" s="695"/>
      <c r="K581" s="695"/>
      <c r="L581" s="695"/>
      <c r="M581" s="695"/>
      <c r="N581" s="695"/>
      <c r="O581" s="695"/>
      <c r="P581" s="695"/>
      <c r="Q581" s="695"/>
      <c r="R581" s="695"/>
      <c r="S581" s="695"/>
      <c r="T581" s="8"/>
      <c r="U581" s="8"/>
      <c r="V581" s="8"/>
      <c r="W581" s="8"/>
      <c r="X581" s="8"/>
      <c r="Y581" s="8"/>
      <c r="Z581" s="8"/>
      <c r="AA581" s="8"/>
      <c r="AB581" s="8"/>
    </row>
    <row r="582" ht="12.75" customHeight="1" spans="1:28" x14ac:dyDescent="0.25">
      <c r="A582" s="8"/>
      <c r="B582" s="8"/>
      <c r="C582" s="8"/>
      <c r="D582" s="8"/>
      <c r="E582" s="8"/>
      <c r="F582" s="8"/>
      <c r="G582" s="695"/>
      <c r="H582" s="695"/>
      <c r="I582" s="695"/>
      <c r="J582" s="695"/>
      <c r="K582" s="695"/>
      <c r="L582" s="695"/>
      <c r="M582" s="695"/>
      <c r="N582" s="695"/>
      <c r="O582" s="695"/>
      <c r="P582" s="695"/>
      <c r="Q582" s="695"/>
      <c r="R582" s="695"/>
      <c r="S582" s="695"/>
      <c r="T582" s="8"/>
      <c r="U582" s="8"/>
      <c r="V582" s="8"/>
      <c r="W582" s="8"/>
      <c r="X582" s="8"/>
      <c r="Y582" s="8"/>
      <c r="Z582" s="8"/>
      <c r="AA582" s="8"/>
      <c r="AB582" s="8"/>
    </row>
    <row r="583" ht="12.75" customHeight="1" spans="1:28" x14ac:dyDescent="0.25">
      <c r="A583" s="8"/>
      <c r="B583" s="8"/>
      <c r="C583" s="8"/>
      <c r="D583" s="8"/>
      <c r="E583" s="8"/>
      <c r="F583" s="8"/>
      <c r="G583" s="695"/>
      <c r="H583" s="695"/>
      <c r="I583" s="695"/>
      <c r="J583" s="695"/>
      <c r="K583" s="695"/>
      <c r="L583" s="695"/>
      <c r="M583" s="695"/>
      <c r="N583" s="695"/>
      <c r="O583" s="695"/>
      <c r="P583" s="695"/>
      <c r="Q583" s="695"/>
      <c r="R583" s="695"/>
      <c r="S583" s="695"/>
      <c r="T583" s="8"/>
      <c r="U583" s="8"/>
      <c r="V583" s="8"/>
      <c r="W583" s="8"/>
      <c r="X583" s="8"/>
      <c r="Y583" s="8"/>
      <c r="Z583" s="8"/>
      <c r="AA583" s="8"/>
      <c r="AB583" s="8"/>
    </row>
    <row r="584" ht="12.75" customHeight="1" spans="1:28" x14ac:dyDescent="0.25">
      <c r="A584" s="8"/>
      <c r="B584" s="8"/>
      <c r="C584" s="8"/>
      <c r="D584" s="8"/>
      <c r="E584" s="8"/>
      <c r="F584" s="8"/>
      <c r="G584" s="695"/>
      <c r="H584" s="695"/>
      <c r="I584" s="695"/>
      <c r="J584" s="695"/>
      <c r="K584" s="695"/>
      <c r="L584" s="695"/>
      <c r="M584" s="695"/>
      <c r="N584" s="695"/>
      <c r="O584" s="695"/>
      <c r="P584" s="695"/>
      <c r="Q584" s="695"/>
      <c r="R584" s="695"/>
      <c r="S584" s="695"/>
      <c r="T584" s="8"/>
      <c r="U584" s="8"/>
      <c r="V584" s="8"/>
      <c r="W584" s="8"/>
      <c r="X584" s="8"/>
      <c r="Y584" s="8"/>
      <c r="Z584" s="8"/>
      <c r="AA584" s="8"/>
      <c r="AB584" s="8"/>
    </row>
    <row r="585" ht="12.75" customHeight="1" spans="1:28" x14ac:dyDescent="0.25">
      <c r="A585" s="8"/>
      <c r="B585" s="8"/>
      <c r="C585" s="8"/>
      <c r="D585" s="8"/>
      <c r="E585" s="8"/>
      <c r="F585" s="8"/>
      <c r="G585" s="695"/>
      <c r="H585" s="695"/>
      <c r="I585" s="695"/>
      <c r="J585" s="695"/>
      <c r="K585" s="695"/>
      <c r="L585" s="695"/>
      <c r="M585" s="695"/>
      <c r="N585" s="695"/>
      <c r="O585" s="695"/>
      <c r="P585" s="695"/>
      <c r="Q585" s="695"/>
      <c r="R585" s="695"/>
      <c r="S585" s="695"/>
      <c r="T585" s="8"/>
      <c r="U585" s="8"/>
      <c r="V585" s="8"/>
      <c r="W585" s="8"/>
      <c r="X585" s="8"/>
      <c r="Y585" s="8"/>
      <c r="Z585" s="8"/>
      <c r="AA585" s="8"/>
      <c r="AB585" s="8"/>
    </row>
    <row r="586" ht="12.75" customHeight="1" spans="1:28" x14ac:dyDescent="0.25">
      <c r="A586" s="8"/>
      <c r="B586" s="8"/>
      <c r="C586" s="8"/>
      <c r="D586" s="8"/>
      <c r="E586" s="8"/>
      <c r="F586" s="8"/>
      <c r="G586" s="695"/>
      <c r="H586" s="695"/>
      <c r="I586" s="695"/>
      <c r="J586" s="695"/>
      <c r="K586" s="695"/>
      <c r="L586" s="695"/>
      <c r="M586" s="695"/>
      <c r="N586" s="695"/>
      <c r="O586" s="695"/>
      <c r="P586" s="695"/>
      <c r="Q586" s="695"/>
      <c r="R586" s="695"/>
      <c r="S586" s="695"/>
      <c r="T586" s="8"/>
      <c r="U586" s="8"/>
      <c r="V586" s="8"/>
      <c r="W586" s="8"/>
      <c r="X586" s="8"/>
      <c r="Y586" s="8"/>
      <c r="Z586" s="8"/>
      <c r="AA586" s="8"/>
      <c r="AB586" s="8"/>
    </row>
    <row r="587" ht="12.75" customHeight="1" spans="1:28" x14ac:dyDescent="0.25">
      <c r="A587" s="8"/>
      <c r="B587" s="8"/>
      <c r="C587" s="8"/>
      <c r="D587" s="8"/>
      <c r="E587" s="8"/>
      <c r="F587" s="8"/>
      <c r="G587" s="695"/>
      <c r="H587" s="695"/>
      <c r="I587" s="695"/>
      <c r="J587" s="695"/>
      <c r="K587" s="695"/>
      <c r="L587" s="695"/>
      <c r="M587" s="695"/>
      <c r="N587" s="695"/>
      <c r="O587" s="695"/>
      <c r="P587" s="695"/>
      <c r="Q587" s="695"/>
      <c r="R587" s="695"/>
      <c r="S587" s="695"/>
      <c r="T587" s="8"/>
      <c r="U587" s="8"/>
      <c r="V587" s="8"/>
      <c r="W587" s="8"/>
      <c r="X587" s="8"/>
      <c r="Y587" s="8"/>
      <c r="Z587" s="8"/>
      <c r="AA587" s="8"/>
      <c r="AB587" s="8"/>
    </row>
    <row r="588" ht="12.75" customHeight="1" spans="1:28" x14ac:dyDescent="0.25">
      <c r="A588" s="8"/>
      <c r="B588" s="8"/>
      <c r="C588" s="8"/>
      <c r="D588" s="8"/>
      <c r="E588" s="8"/>
      <c r="F588" s="8"/>
      <c r="G588" s="695"/>
      <c r="H588" s="695"/>
      <c r="I588" s="695"/>
      <c r="J588" s="695"/>
      <c r="K588" s="695"/>
      <c r="L588" s="695"/>
      <c r="M588" s="695"/>
      <c r="N588" s="695"/>
      <c r="O588" s="695"/>
      <c r="P588" s="695"/>
      <c r="Q588" s="695"/>
      <c r="R588" s="695"/>
      <c r="S588" s="695"/>
      <c r="T588" s="8"/>
      <c r="U588" s="8"/>
      <c r="V588" s="8"/>
      <c r="W588" s="8"/>
      <c r="X588" s="8"/>
      <c r="Y588" s="8"/>
      <c r="Z588" s="8"/>
      <c r="AA588" s="8"/>
      <c r="AB588" s="8"/>
    </row>
    <row r="589" ht="12.75" customHeight="1" spans="1:28" x14ac:dyDescent="0.25">
      <c r="A589" s="8"/>
      <c r="B589" s="8"/>
      <c r="C589" s="8"/>
      <c r="D589" s="8"/>
      <c r="E589" s="8"/>
      <c r="F589" s="8"/>
      <c r="G589" s="695"/>
      <c r="H589" s="695"/>
      <c r="I589" s="695"/>
      <c r="J589" s="695"/>
      <c r="K589" s="695"/>
      <c r="L589" s="695"/>
      <c r="M589" s="695"/>
      <c r="N589" s="695"/>
      <c r="O589" s="695"/>
      <c r="P589" s="695"/>
      <c r="Q589" s="695"/>
      <c r="R589" s="695"/>
      <c r="S589" s="695"/>
      <c r="T589" s="8"/>
      <c r="U589" s="8"/>
      <c r="V589" s="8"/>
      <c r="W589" s="8"/>
      <c r="X589" s="8"/>
      <c r="Y589" s="8"/>
      <c r="Z589" s="8"/>
      <c r="AA589" s="8"/>
      <c r="AB589" s="8"/>
    </row>
    <row r="590" ht="12.75" customHeight="1" spans="1:28" x14ac:dyDescent="0.25">
      <c r="A590" s="8"/>
      <c r="B590" s="8"/>
      <c r="C590" s="8"/>
      <c r="D590" s="8"/>
      <c r="E590" s="8"/>
      <c r="F590" s="8"/>
      <c r="G590" s="695"/>
      <c r="H590" s="695"/>
      <c r="I590" s="695"/>
      <c r="J590" s="695"/>
      <c r="K590" s="695"/>
      <c r="L590" s="695"/>
      <c r="M590" s="695"/>
      <c r="N590" s="695"/>
      <c r="O590" s="695"/>
      <c r="P590" s="695"/>
      <c r="Q590" s="695"/>
      <c r="R590" s="695"/>
      <c r="S590" s="695"/>
      <c r="T590" s="8"/>
      <c r="U590" s="8"/>
      <c r="V590" s="8"/>
      <c r="W590" s="8"/>
      <c r="X590" s="8"/>
      <c r="Y590" s="8"/>
      <c r="Z590" s="8"/>
      <c r="AA590" s="8"/>
      <c r="AB590" s="8"/>
    </row>
    <row r="591" ht="12.75" customHeight="1" spans="1:28" x14ac:dyDescent="0.25">
      <c r="A591" s="8"/>
      <c r="B591" s="8"/>
      <c r="C591" s="8"/>
      <c r="D591" s="8"/>
      <c r="E591" s="8"/>
      <c r="F591" s="8"/>
      <c r="G591" s="695"/>
      <c r="H591" s="695"/>
      <c r="I591" s="695"/>
      <c r="J591" s="695"/>
      <c r="K591" s="695"/>
      <c r="L591" s="695"/>
      <c r="M591" s="695"/>
      <c r="N591" s="695"/>
      <c r="O591" s="695"/>
      <c r="P591" s="695"/>
      <c r="Q591" s="695"/>
      <c r="R591" s="695"/>
      <c r="S591" s="695"/>
      <c r="T591" s="8"/>
      <c r="U591" s="8"/>
      <c r="V591" s="8"/>
      <c r="W591" s="8"/>
      <c r="X591" s="8"/>
      <c r="Y591" s="8"/>
      <c r="Z591" s="8"/>
      <c r="AA591" s="8"/>
      <c r="AB591" s="8"/>
    </row>
    <row r="592" ht="12.75" customHeight="1" spans="1:28" x14ac:dyDescent="0.25">
      <c r="A592" s="8"/>
      <c r="B592" s="8"/>
      <c r="C592" s="8"/>
      <c r="D592" s="8"/>
      <c r="E592" s="8"/>
      <c r="F592" s="8"/>
      <c r="G592" s="695"/>
      <c r="H592" s="695"/>
      <c r="I592" s="695"/>
      <c r="J592" s="695"/>
      <c r="K592" s="695"/>
      <c r="L592" s="695"/>
      <c r="M592" s="695"/>
      <c r="N592" s="695"/>
      <c r="O592" s="695"/>
      <c r="P592" s="695"/>
      <c r="Q592" s="695"/>
      <c r="R592" s="695"/>
      <c r="S592" s="695"/>
      <c r="T592" s="8"/>
      <c r="U592" s="8"/>
      <c r="V592" s="8"/>
      <c r="W592" s="8"/>
      <c r="X592" s="8"/>
      <c r="Y592" s="8"/>
      <c r="Z592" s="8"/>
      <c r="AA592" s="8"/>
      <c r="AB592" s="8"/>
    </row>
    <row r="593" ht="12.75" customHeight="1" spans="1:28" x14ac:dyDescent="0.25">
      <c r="A593" s="8"/>
      <c r="B593" s="8"/>
      <c r="C593" s="8"/>
      <c r="D593" s="8"/>
      <c r="E593" s="8"/>
      <c r="F593" s="8"/>
      <c r="G593" s="695"/>
      <c r="H593" s="695"/>
      <c r="I593" s="695"/>
      <c r="J593" s="695"/>
      <c r="K593" s="695"/>
      <c r="L593" s="695"/>
      <c r="M593" s="695"/>
      <c r="N593" s="695"/>
      <c r="O593" s="695"/>
      <c r="P593" s="695"/>
      <c r="Q593" s="695"/>
      <c r="R593" s="695"/>
      <c r="S593" s="695"/>
      <c r="T593" s="8"/>
      <c r="U593" s="8"/>
      <c r="V593" s="8"/>
      <c r="W593" s="8"/>
      <c r="X593" s="8"/>
      <c r="Y593" s="8"/>
      <c r="Z593" s="8"/>
      <c r="AA593" s="8"/>
      <c r="AB593" s="8"/>
    </row>
    <row r="594" ht="12.75" customHeight="1" spans="1:28" x14ac:dyDescent="0.25">
      <c r="A594" s="8"/>
      <c r="B594" s="8"/>
      <c r="C594" s="8"/>
      <c r="D594" s="8"/>
      <c r="E594" s="8"/>
      <c r="F594" s="8"/>
      <c r="G594" s="695"/>
      <c r="H594" s="695"/>
      <c r="I594" s="695"/>
      <c r="J594" s="695"/>
      <c r="K594" s="695"/>
      <c r="L594" s="695"/>
      <c r="M594" s="695"/>
      <c r="N594" s="695"/>
      <c r="O594" s="695"/>
      <c r="P594" s="695"/>
      <c r="Q594" s="695"/>
      <c r="R594" s="695"/>
      <c r="S594" s="695"/>
      <c r="T594" s="8"/>
      <c r="U594" s="8"/>
      <c r="V594" s="8"/>
      <c r="W594" s="8"/>
      <c r="X594" s="8"/>
      <c r="Y594" s="8"/>
      <c r="Z594" s="8"/>
      <c r="AA594" s="8"/>
      <c r="AB594" s="8"/>
    </row>
    <row r="595" ht="12.75" customHeight="1" spans="1:28" x14ac:dyDescent="0.25">
      <c r="A595" s="8"/>
      <c r="B595" s="8"/>
      <c r="C595" s="8"/>
      <c r="D595" s="8"/>
      <c r="E595" s="8"/>
      <c r="F595" s="8"/>
      <c r="G595" s="695"/>
      <c r="H595" s="695"/>
      <c r="I595" s="695"/>
      <c r="J595" s="695"/>
      <c r="K595" s="695"/>
      <c r="L595" s="695"/>
      <c r="M595" s="695"/>
      <c r="N595" s="695"/>
      <c r="O595" s="695"/>
      <c r="P595" s="695"/>
      <c r="Q595" s="695"/>
      <c r="R595" s="695"/>
      <c r="S595" s="695"/>
      <c r="T595" s="8"/>
      <c r="U595" s="8"/>
      <c r="V595" s="8"/>
      <c r="W595" s="8"/>
      <c r="X595" s="8"/>
      <c r="Y595" s="8"/>
      <c r="Z595" s="8"/>
      <c r="AA595" s="8"/>
      <c r="AB595" s="8"/>
    </row>
    <row r="596" ht="12.75" customHeight="1" spans="1:28" x14ac:dyDescent="0.25">
      <c r="A596" s="8"/>
      <c r="B596" s="8"/>
      <c r="C596" s="8"/>
      <c r="D596" s="8"/>
      <c r="E596" s="8"/>
      <c r="F596" s="8"/>
      <c r="G596" s="695"/>
      <c r="H596" s="695"/>
      <c r="I596" s="695"/>
      <c r="J596" s="695"/>
      <c r="K596" s="695"/>
      <c r="L596" s="695"/>
      <c r="M596" s="695"/>
      <c r="N596" s="695"/>
      <c r="O596" s="695"/>
      <c r="P596" s="695"/>
      <c r="Q596" s="695"/>
      <c r="R596" s="695"/>
      <c r="S596" s="695"/>
      <c r="T596" s="8"/>
      <c r="U596" s="8"/>
      <c r="V596" s="8"/>
      <c r="W596" s="8"/>
      <c r="X596" s="8"/>
      <c r="Y596" s="8"/>
      <c r="Z596" s="8"/>
      <c r="AA596" s="8"/>
      <c r="AB596" s="8"/>
    </row>
    <row r="597" ht="12.75" customHeight="1" spans="1:28" x14ac:dyDescent="0.25">
      <c r="A597" s="8"/>
      <c r="B597" s="8"/>
      <c r="C597" s="8"/>
      <c r="D597" s="8"/>
      <c r="E597" s="8"/>
      <c r="F597" s="8"/>
      <c r="G597" s="695"/>
      <c r="H597" s="695"/>
      <c r="I597" s="695"/>
      <c r="J597" s="695"/>
      <c r="K597" s="695"/>
      <c r="L597" s="695"/>
      <c r="M597" s="695"/>
      <c r="N597" s="695"/>
      <c r="O597" s="695"/>
      <c r="P597" s="695"/>
      <c r="Q597" s="695"/>
      <c r="R597" s="695"/>
      <c r="S597" s="695"/>
      <c r="T597" s="8"/>
      <c r="U597" s="8"/>
      <c r="V597" s="8"/>
      <c r="W597" s="8"/>
      <c r="X597" s="8"/>
      <c r="Y597" s="8"/>
      <c r="Z597" s="8"/>
      <c r="AA597" s="8"/>
      <c r="AB597" s="8"/>
    </row>
    <row r="598" ht="12.75" customHeight="1" spans="1:28" x14ac:dyDescent="0.25">
      <c r="A598" s="8"/>
      <c r="B598" s="8"/>
      <c r="C598" s="8"/>
      <c r="D598" s="8"/>
      <c r="E598" s="8"/>
      <c r="F598" s="8"/>
      <c r="G598" s="695"/>
      <c r="H598" s="695"/>
      <c r="I598" s="695"/>
      <c r="J598" s="695"/>
      <c r="K598" s="695"/>
      <c r="L598" s="695"/>
      <c r="M598" s="695"/>
      <c r="N598" s="695"/>
      <c r="O598" s="695"/>
      <c r="P598" s="695"/>
      <c r="Q598" s="695"/>
      <c r="R598" s="695"/>
      <c r="S598" s="695"/>
      <c r="T598" s="8"/>
      <c r="U598" s="8"/>
      <c r="V598" s="8"/>
      <c r="W598" s="8"/>
      <c r="X598" s="8"/>
      <c r="Y598" s="8"/>
      <c r="Z598" s="8"/>
      <c r="AA598" s="8"/>
      <c r="AB598" s="8"/>
    </row>
    <row r="599" ht="12.75" customHeight="1" spans="1:28" x14ac:dyDescent="0.25">
      <c r="A599" s="8"/>
      <c r="B599" s="8"/>
      <c r="C599" s="8"/>
      <c r="D599" s="8"/>
      <c r="E599" s="8"/>
      <c r="F599" s="8"/>
      <c r="G599" s="695"/>
      <c r="H599" s="695"/>
      <c r="I599" s="695"/>
      <c r="J599" s="695"/>
      <c r="K599" s="695"/>
      <c r="L599" s="695"/>
      <c r="M599" s="695"/>
      <c r="N599" s="695"/>
      <c r="O599" s="695"/>
      <c r="P599" s="695"/>
      <c r="Q599" s="695"/>
      <c r="R599" s="695"/>
      <c r="S599" s="695"/>
      <c r="T599" s="8"/>
      <c r="U599" s="8"/>
      <c r="V599" s="8"/>
      <c r="W599" s="8"/>
      <c r="X599" s="8"/>
      <c r="Y599" s="8"/>
      <c r="Z599" s="8"/>
      <c r="AA599" s="8"/>
      <c r="AB599" s="8"/>
    </row>
    <row r="600" ht="12.75" customHeight="1" spans="1:28" x14ac:dyDescent="0.25">
      <c r="A600" s="8"/>
      <c r="B600" s="8"/>
      <c r="C600" s="8"/>
      <c r="D600" s="8"/>
      <c r="E600" s="8"/>
      <c r="F600" s="8"/>
      <c r="G600" s="695"/>
      <c r="H600" s="695"/>
      <c r="I600" s="695"/>
      <c r="J600" s="695"/>
      <c r="K600" s="695"/>
      <c r="L600" s="695"/>
      <c r="M600" s="695"/>
      <c r="N600" s="695"/>
      <c r="O600" s="695"/>
      <c r="P600" s="695"/>
      <c r="Q600" s="695"/>
      <c r="R600" s="695"/>
      <c r="S600" s="695"/>
      <c r="T600" s="8"/>
      <c r="U600" s="8"/>
      <c r="V600" s="8"/>
      <c r="W600" s="8"/>
      <c r="X600" s="8"/>
      <c r="Y600" s="8"/>
      <c r="Z600" s="8"/>
      <c r="AA600" s="8"/>
      <c r="AB600" s="8"/>
    </row>
    <row r="601" ht="12.75" customHeight="1" spans="1:28" x14ac:dyDescent="0.25">
      <c r="A601" s="8"/>
      <c r="B601" s="8"/>
      <c r="C601" s="8"/>
      <c r="D601" s="8"/>
      <c r="E601" s="8"/>
      <c r="F601" s="8"/>
      <c r="G601" s="695"/>
      <c r="H601" s="695"/>
      <c r="I601" s="695"/>
      <c r="J601" s="695"/>
      <c r="K601" s="695"/>
      <c r="L601" s="695"/>
      <c r="M601" s="695"/>
      <c r="N601" s="695"/>
      <c r="O601" s="695"/>
      <c r="P601" s="695"/>
      <c r="Q601" s="695"/>
      <c r="R601" s="695"/>
      <c r="S601" s="695"/>
      <c r="T601" s="8"/>
      <c r="U601" s="8"/>
      <c r="V601" s="8"/>
      <c r="W601" s="8"/>
      <c r="X601" s="8"/>
      <c r="Y601" s="8"/>
      <c r="Z601" s="8"/>
      <c r="AA601" s="8"/>
      <c r="AB601" s="8"/>
    </row>
    <row r="602" ht="12.75" customHeight="1" spans="1:28" x14ac:dyDescent="0.25">
      <c r="A602" s="8"/>
      <c r="B602" s="8"/>
      <c r="C602" s="8"/>
      <c r="D602" s="8"/>
      <c r="E602" s="8"/>
      <c r="F602" s="8"/>
      <c r="G602" s="695"/>
      <c r="H602" s="695"/>
      <c r="I602" s="695"/>
      <c r="J602" s="695"/>
      <c r="K602" s="695"/>
      <c r="L602" s="695"/>
      <c r="M602" s="695"/>
      <c r="N602" s="695"/>
      <c r="O602" s="695"/>
      <c r="P602" s="695"/>
      <c r="Q602" s="695"/>
      <c r="R602" s="695"/>
      <c r="S602" s="695"/>
      <c r="T602" s="8"/>
      <c r="U602" s="8"/>
      <c r="V602" s="8"/>
      <c r="W602" s="8"/>
      <c r="X602" s="8"/>
      <c r="Y602" s="8"/>
      <c r="Z602" s="8"/>
      <c r="AA602" s="8"/>
      <c r="AB602" s="8"/>
    </row>
    <row r="603" ht="12.75" customHeight="1" spans="1:28" x14ac:dyDescent="0.25">
      <c r="A603" s="8"/>
      <c r="B603" s="8"/>
      <c r="C603" s="8"/>
      <c r="D603" s="8"/>
      <c r="E603" s="8"/>
      <c r="F603" s="8"/>
      <c r="G603" s="695"/>
      <c r="H603" s="695"/>
      <c r="I603" s="695"/>
      <c r="J603" s="695"/>
      <c r="K603" s="695"/>
      <c r="L603" s="695"/>
      <c r="M603" s="695"/>
      <c r="N603" s="695"/>
      <c r="O603" s="695"/>
      <c r="P603" s="695"/>
      <c r="Q603" s="695"/>
      <c r="R603" s="695"/>
      <c r="S603" s="695"/>
      <c r="T603" s="8"/>
      <c r="U603" s="8"/>
      <c r="V603" s="8"/>
      <c r="W603" s="8"/>
      <c r="X603" s="8"/>
      <c r="Y603" s="8"/>
      <c r="Z603" s="8"/>
      <c r="AA603" s="8"/>
      <c r="AB603" s="8"/>
    </row>
    <row r="604" ht="12.75" customHeight="1" spans="1:28" x14ac:dyDescent="0.25">
      <c r="A604" s="8"/>
      <c r="B604" s="8"/>
      <c r="C604" s="8"/>
      <c r="D604" s="8"/>
      <c r="E604" s="8"/>
      <c r="F604" s="8"/>
      <c r="G604" s="695"/>
      <c r="H604" s="695"/>
      <c r="I604" s="695"/>
      <c r="J604" s="695"/>
      <c r="K604" s="695"/>
      <c r="L604" s="695"/>
      <c r="M604" s="695"/>
      <c r="N604" s="695"/>
      <c r="O604" s="695"/>
      <c r="P604" s="695"/>
      <c r="Q604" s="695"/>
      <c r="R604" s="695"/>
      <c r="S604" s="695"/>
      <c r="T604" s="8"/>
      <c r="U604" s="8"/>
      <c r="V604" s="8"/>
      <c r="W604" s="8"/>
      <c r="X604" s="8"/>
      <c r="Y604" s="8"/>
      <c r="Z604" s="8"/>
      <c r="AA604" s="8"/>
      <c r="AB604" s="8"/>
    </row>
    <row r="605" ht="12.75" customHeight="1" spans="1:28" x14ac:dyDescent="0.25">
      <c r="A605" s="8"/>
      <c r="B605" s="8"/>
      <c r="C605" s="8"/>
      <c r="D605" s="8"/>
      <c r="E605" s="8"/>
      <c r="F605" s="8"/>
      <c r="G605" s="695"/>
      <c r="H605" s="695"/>
      <c r="I605" s="695"/>
      <c r="J605" s="695"/>
      <c r="K605" s="695"/>
      <c r="L605" s="695"/>
      <c r="M605" s="695"/>
      <c r="N605" s="695"/>
      <c r="O605" s="695"/>
      <c r="P605" s="695"/>
      <c r="Q605" s="695"/>
      <c r="R605" s="695"/>
      <c r="S605" s="695"/>
      <c r="T605" s="8"/>
      <c r="U605" s="8"/>
      <c r="V605" s="8"/>
      <c r="W605" s="8"/>
      <c r="X605" s="8"/>
      <c r="Y605" s="8"/>
      <c r="Z605" s="8"/>
      <c r="AA605" s="8"/>
      <c r="AB605" s="8"/>
    </row>
    <row r="606" ht="12.75" customHeight="1" spans="1:28" x14ac:dyDescent="0.25">
      <c r="A606" s="8"/>
      <c r="B606" s="8"/>
      <c r="C606" s="8"/>
      <c r="D606" s="8"/>
      <c r="E606" s="8"/>
      <c r="F606" s="8"/>
      <c r="G606" s="695"/>
      <c r="H606" s="695"/>
      <c r="I606" s="695"/>
      <c r="J606" s="695"/>
      <c r="K606" s="695"/>
      <c r="L606" s="695"/>
      <c r="M606" s="695"/>
      <c r="N606" s="695"/>
      <c r="O606" s="695"/>
      <c r="P606" s="695"/>
      <c r="Q606" s="695"/>
      <c r="R606" s="695"/>
      <c r="S606" s="695"/>
      <c r="T606" s="8"/>
      <c r="U606" s="8"/>
      <c r="V606" s="8"/>
      <c r="W606" s="8"/>
      <c r="X606" s="8"/>
      <c r="Y606" s="8"/>
      <c r="Z606" s="8"/>
      <c r="AA606" s="8"/>
      <c r="AB606" s="8"/>
    </row>
    <row r="607" ht="12.75" customHeight="1" spans="1:28" x14ac:dyDescent="0.25">
      <c r="A607" s="8"/>
      <c r="B607" s="8"/>
      <c r="C607" s="8"/>
      <c r="D607" s="8"/>
      <c r="E607" s="8"/>
      <c r="F607" s="8"/>
      <c r="G607" s="695"/>
      <c r="H607" s="695"/>
      <c r="I607" s="695"/>
      <c r="J607" s="695"/>
      <c r="K607" s="695"/>
      <c r="L607" s="695"/>
      <c r="M607" s="695"/>
      <c r="N607" s="695"/>
      <c r="O607" s="695"/>
      <c r="P607" s="695"/>
      <c r="Q607" s="695"/>
      <c r="R607" s="695"/>
      <c r="S607" s="695"/>
      <c r="T607" s="8"/>
      <c r="U607" s="8"/>
      <c r="V607" s="8"/>
      <c r="W607" s="8"/>
      <c r="X607" s="8"/>
      <c r="Y607" s="8"/>
      <c r="Z607" s="8"/>
      <c r="AA607" s="8"/>
      <c r="AB607" s="8"/>
    </row>
    <row r="608" ht="12.75" customHeight="1" spans="1:28" x14ac:dyDescent="0.25">
      <c r="A608" s="8"/>
      <c r="B608" s="8"/>
      <c r="C608" s="8"/>
      <c r="D608" s="8"/>
      <c r="E608" s="8"/>
      <c r="F608" s="8"/>
      <c r="G608" s="695"/>
      <c r="H608" s="695"/>
      <c r="I608" s="695"/>
      <c r="J608" s="695"/>
      <c r="K608" s="695"/>
      <c r="L608" s="695"/>
      <c r="M608" s="695"/>
      <c r="N608" s="695"/>
      <c r="O608" s="695"/>
      <c r="P608" s="695"/>
      <c r="Q608" s="695"/>
      <c r="R608" s="695"/>
      <c r="S608" s="695"/>
      <c r="T608" s="8"/>
      <c r="U608" s="8"/>
      <c r="V608" s="8"/>
      <c r="W608" s="8"/>
      <c r="X608" s="8"/>
      <c r="Y608" s="8"/>
      <c r="Z608" s="8"/>
      <c r="AA608" s="8"/>
      <c r="AB608" s="8"/>
    </row>
    <row r="609" ht="12.75" customHeight="1" spans="1:28" x14ac:dyDescent="0.25">
      <c r="A609" s="8"/>
      <c r="B609" s="8"/>
      <c r="C609" s="8"/>
      <c r="D609" s="8"/>
      <c r="E609" s="8"/>
      <c r="F609" s="8"/>
      <c r="G609" s="695"/>
      <c r="H609" s="695"/>
      <c r="I609" s="695"/>
      <c r="J609" s="695"/>
      <c r="K609" s="695"/>
      <c r="L609" s="695"/>
      <c r="M609" s="695"/>
      <c r="N609" s="695"/>
      <c r="O609" s="695"/>
      <c r="P609" s="695"/>
      <c r="Q609" s="695"/>
      <c r="R609" s="695"/>
      <c r="S609" s="695"/>
      <c r="T609" s="8"/>
      <c r="U609" s="8"/>
      <c r="V609" s="8"/>
      <c r="W609" s="8"/>
      <c r="X609" s="8"/>
      <c r="Y609" s="8"/>
      <c r="Z609" s="8"/>
      <c r="AA609" s="8"/>
      <c r="AB609" s="8"/>
    </row>
    <row r="610" ht="12.75" customHeight="1" spans="1:28" x14ac:dyDescent="0.25">
      <c r="A610" s="8"/>
      <c r="B610" s="8"/>
      <c r="C610" s="8"/>
      <c r="D610" s="8"/>
      <c r="E610" s="8"/>
      <c r="F610" s="8"/>
      <c r="G610" s="695"/>
      <c r="H610" s="695"/>
      <c r="I610" s="695"/>
      <c r="J610" s="695"/>
      <c r="K610" s="695"/>
      <c r="L610" s="695"/>
      <c r="M610" s="695"/>
      <c r="N610" s="695"/>
      <c r="O610" s="695"/>
      <c r="P610" s="695"/>
      <c r="Q610" s="695"/>
      <c r="R610" s="695"/>
      <c r="S610" s="695"/>
      <c r="T610" s="8"/>
      <c r="U610" s="8"/>
      <c r="V610" s="8"/>
      <c r="W610" s="8"/>
      <c r="X610" s="8"/>
      <c r="Y610" s="8"/>
      <c r="Z610" s="8"/>
      <c r="AA610" s="8"/>
      <c r="AB610" s="8"/>
    </row>
    <row r="611" ht="12.75" customHeight="1" spans="1:28" x14ac:dyDescent="0.25">
      <c r="A611" s="8"/>
      <c r="B611" s="8"/>
      <c r="C611" s="8"/>
      <c r="D611" s="8"/>
      <c r="E611" s="8"/>
      <c r="F611" s="8"/>
      <c r="G611" s="695"/>
      <c r="H611" s="695"/>
      <c r="I611" s="695"/>
      <c r="J611" s="695"/>
      <c r="K611" s="695"/>
      <c r="L611" s="695"/>
      <c r="M611" s="695"/>
      <c r="N611" s="695"/>
      <c r="O611" s="695"/>
      <c r="P611" s="695"/>
      <c r="Q611" s="695"/>
      <c r="R611" s="695"/>
      <c r="S611" s="695"/>
      <c r="T611" s="8"/>
      <c r="U611" s="8"/>
      <c r="V611" s="8"/>
      <c r="W611" s="8"/>
      <c r="X611" s="8"/>
      <c r="Y611" s="8"/>
      <c r="Z611" s="8"/>
      <c r="AA611" s="8"/>
      <c r="AB611" s="8"/>
    </row>
    <row r="612" ht="12.75" customHeight="1" spans="1:28" x14ac:dyDescent="0.25">
      <c r="A612" s="8"/>
      <c r="B612" s="8"/>
      <c r="C612" s="8"/>
      <c r="D612" s="8"/>
      <c r="E612" s="8"/>
      <c r="F612" s="8"/>
      <c r="G612" s="695"/>
      <c r="H612" s="695"/>
      <c r="I612" s="695"/>
      <c r="J612" s="695"/>
      <c r="K612" s="695"/>
      <c r="L612" s="695"/>
      <c r="M612" s="695"/>
      <c r="N612" s="695"/>
      <c r="O612" s="695"/>
      <c r="P612" s="695"/>
      <c r="Q612" s="695"/>
      <c r="R612" s="695"/>
      <c r="S612" s="695"/>
      <c r="T612" s="8"/>
      <c r="U612" s="8"/>
      <c r="V612" s="8"/>
      <c r="W612" s="8"/>
      <c r="X612" s="8"/>
      <c r="Y612" s="8"/>
      <c r="Z612" s="8"/>
      <c r="AA612" s="8"/>
      <c r="AB612" s="8"/>
    </row>
    <row r="613" ht="12.75" customHeight="1" spans="1:28" x14ac:dyDescent="0.25">
      <c r="A613" s="8"/>
      <c r="B613" s="8"/>
      <c r="C613" s="8"/>
      <c r="D613" s="8"/>
      <c r="E613" s="8"/>
      <c r="F613" s="8"/>
      <c r="G613" s="695"/>
      <c r="H613" s="695"/>
      <c r="I613" s="695"/>
      <c r="J613" s="695"/>
      <c r="K613" s="695"/>
      <c r="L613" s="695"/>
      <c r="M613" s="695"/>
      <c r="N613" s="695"/>
      <c r="O613" s="695"/>
      <c r="P613" s="695"/>
      <c r="Q613" s="695"/>
      <c r="R613" s="695"/>
      <c r="S613" s="695"/>
      <c r="T613" s="8"/>
      <c r="U613" s="8"/>
      <c r="V613" s="8"/>
      <c r="W613" s="8"/>
      <c r="X613" s="8"/>
      <c r="Y613" s="8"/>
      <c r="Z613" s="8"/>
      <c r="AA613" s="8"/>
      <c r="AB613" s="8"/>
    </row>
    <row r="614" ht="12.75" customHeight="1" spans="1:28" x14ac:dyDescent="0.25">
      <c r="A614" s="8"/>
      <c r="B614" s="8"/>
      <c r="C614" s="8"/>
      <c r="D614" s="8"/>
      <c r="E614" s="8"/>
      <c r="F614" s="8"/>
      <c r="G614" s="695"/>
      <c r="H614" s="695"/>
      <c r="I614" s="695"/>
      <c r="J614" s="695"/>
      <c r="K614" s="695"/>
      <c r="L614" s="695"/>
      <c r="M614" s="695"/>
      <c r="N614" s="695"/>
      <c r="O614" s="695"/>
      <c r="P614" s="695"/>
      <c r="Q614" s="695"/>
      <c r="R614" s="695"/>
      <c r="S614" s="695"/>
      <c r="T614" s="8"/>
      <c r="U614" s="8"/>
      <c r="V614" s="8"/>
      <c r="W614" s="8"/>
      <c r="X614" s="8"/>
      <c r="Y614" s="8"/>
      <c r="Z614" s="8"/>
      <c r="AA614" s="8"/>
      <c r="AB614" s="8"/>
    </row>
    <row r="615" ht="12.75" customHeight="1" spans="1:28" x14ac:dyDescent="0.25">
      <c r="A615" s="8"/>
      <c r="B615" s="8"/>
      <c r="C615" s="8"/>
      <c r="D615" s="8"/>
      <c r="E615" s="8"/>
      <c r="F615" s="8"/>
      <c r="G615" s="695"/>
      <c r="H615" s="695"/>
      <c r="I615" s="695"/>
      <c r="J615" s="695"/>
      <c r="K615" s="695"/>
      <c r="L615" s="695"/>
      <c r="M615" s="695"/>
      <c r="N615" s="695"/>
      <c r="O615" s="695"/>
      <c r="P615" s="695"/>
      <c r="Q615" s="695"/>
      <c r="R615" s="695"/>
      <c r="S615" s="695"/>
      <c r="T615" s="8"/>
      <c r="U615" s="8"/>
      <c r="V615" s="8"/>
      <c r="W615" s="8"/>
      <c r="X615" s="8"/>
      <c r="Y615" s="8"/>
      <c r="Z615" s="8"/>
      <c r="AA615" s="8"/>
      <c r="AB615" s="8"/>
    </row>
    <row r="616" ht="12.75" customHeight="1" spans="1:28" x14ac:dyDescent="0.25">
      <c r="A616" s="8"/>
      <c r="B616" s="8"/>
      <c r="C616" s="8"/>
      <c r="D616" s="8"/>
      <c r="E616" s="8"/>
      <c r="F616" s="8"/>
      <c r="G616" s="695"/>
      <c r="H616" s="695"/>
      <c r="I616" s="695"/>
      <c r="J616" s="695"/>
      <c r="K616" s="695"/>
      <c r="L616" s="695"/>
      <c r="M616" s="695"/>
      <c r="N616" s="695"/>
      <c r="O616" s="695"/>
      <c r="P616" s="695"/>
      <c r="Q616" s="695"/>
      <c r="R616" s="695"/>
      <c r="S616" s="695"/>
      <c r="T616" s="8"/>
      <c r="U616" s="8"/>
      <c r="V616" s="8"/>
      <c r="W616" s="8"/>
      <c r="X616" s="8"/>
      <c r="Y616" s="8"/>
      <c r="Z616" s="8"/>
      <c r="AA616" s="8"/>
      <c r="AB616" s="8"/>
    </row>
    <row r="617" ht="12.75" customHeight="1" spans="1:28" x14ac:dyDescent="0.25">
      <c r="A617" s="8"/>
      <c r="B617" s="8"/>
      <c r="C617" s="8"/>
      <c r="D617" s="8"/>
      <c r="E617" s="8"/>
      <c r="F617" s="8"/>
      <c r="G617" s="695"/>
      <c r="H617" s="695"/>
      <c r="I617" s="695"/>
      <c r="J617" s="695"/>
      <c r="K617" s="695"/>
      <c r="L617" s="695"/>
      <c r="M617" s="695"/>
      <c r="N617" s="695"/>
      <c r="O617" s="695"/>
      <c r="P617" s="695"/>
      <c r="Q617" s="695"/>
      <c r="R617" s="695"/>
      <c r="S617" s="695"/>
      <c r="T617" s="8"/>
      <c r="U617" s="8"/>
      <c r="V617" s="8"/>
      <c r="W617" s="8"/>
      <c r="X617" s="8"/>
      <c r="Y617" s="8"/>
      <c r="Z617" s="8"/>
      <c r="AA617" s="8"/>
      <c r="AB617" s="8"/>
    </row>
    <row r="618" ht="12.75" customHeight="1" spans="1:28" x14ac:dyDescent="0.25">
      <c r="A618" s="8"/>
      <c r="B618" s="8"/>
      <c r="C618" s="8"/>
      <c r="D618" s="8"/>
      <c r="E618" s="8"/>
      <c r="F618" s="8"/>
      <c r="G618" s="695"/>
      <c r="H618" s="695"/>
      <c r="I618" s="695"/>
      <c r="J618" s="695"/>
      <c r="K618" s="695"/>
      <c r="L618" s="695"/>
      <c r="M618" s="695"/>
      <c r="N618" s="695"/>
      <c r="O618" s="695"/>
      <c r="P618" s="695"/>
      <c r="Q618" s="695"/>
      <c r="R618" s="695"/>
      <c r="S618" s="695"/>
      <c r="T618" s="8"/>
      <c r="U618" s="8"/>
      <c r="V618" s="8"/>
      <c r="W618" s="8"/>
      <c r="X618" s="8"/>
      <c r="Y618" s="8"/>
      <c r="Z618" s="8"/>
      <c r="AA618" s="8"/>
      <c r="AB618" s="8"/>
    </row>
    <row r="619" ht="12.75" customHeight="1" spans="1:28" x14ac:dyDescent="0.25">
      <c r="A619" s="8"/>
      <c r="B619" s="8"/>
      <c r="C619" s="8"/>
      <c r="D619" s="8"/>
      <c r="E619" s="8"/>
      <c r="F619" s="8"/>
      <c r="G619" s="695"/>
      <c r="H619" s="695"/>
      <c r="I619" s="695"/>
      <c r="J619" s="695"/>
      <c r="K619" s="695"/>
      <c r="L619" s="695"/>
      <c r="M619" s="695"/>
      <c r="N619" s="695"/>
      <c r="O619" s="695"/>
      <c r="P619" s="695"/>
      <c r="Q619" s="695"/>
      <c r="R619" s="695"/>
      <c r="S619" s="695"/>
      <c r="T619" s="8"/>
      <c r="U619" s="8"/>
      <c r="V619" s="8"/>
      <c r="W619" s="8"/>
      <c r="X619" s="8"/>
      <c r="Y619" s="8"/>
      <c r="Z619" s="8"/>
      <c r="AA619" s="8"/>
      <c r="AB619" s="8"/>
    </row>
    <row r="620" ht="12.75" customHeight="1" spans="1:28" x14ac:dyDescent="0.25">
      <c r="A620" s="8"/>
      <c r="B620" s="8"/>
      <c r="C620" s="8"/>
      <c r="D620" s="8"/>
      <c r="E620" s="8"/>
      <c r="F620" s="8"/>
      <c r="G620" s="695"/>
      <c r="H620" s="695"/>
      <c r="I620" s="695"/>
      <c r="J620" s="695"/>
      <c r="K620" s="695"/>
      <c r="L620" s="695"/>
      <c r="M620" s="695"/>
      <c r="N620" s="695"/>
      <c r="O620" s="695"/>
      <c r="P620" s="695"/>
      <c r="Q620" s="695"/>
      <c r="R620" s="695"/>
      <c r="S620" s="695"/>
      <c r="T620" s="8"/>
      <c r="U620" s="8"/>
      <c r="V620" s="8"/>
      <c r="W620" s="8"/>
      <c r="X620" s="8"/>
      <c r="Y620" s="8"/>
      <c r="Z620" s="8"/>
      <c r="AA620" s="8"/>
      <c r="AB620" s="8"/>
    </row>
    <row r="621" ht="12.75" customHeight="1" spans="1:28" x14ac:dyDescent="0.25">
      <c r="A621" s="8"/>
      <c r="B621" s="8"/>
      <c r="C621" s="8"/>
      <c r="D621" s="8"/>
      <c r="E621" s="8"/>
      <c r="F621" s="8"/>
      <c r="G621" s="695"/>
      <c r="H621" s="695"/>
      <c r="I621" s="695"/>
      <c r="J621" s="695"/>
      <c r="K621" s="695"/>
      <c r="L621" s="695"/>
      <c r="M621" s="695"/>
      <c r="N621" s="695"/>
      <c r="O621" s="695"/>
      <c r="P621" s="695"/>
      <c r="Q621" s="695"/>
      <c r="R621" s="695"/>
      <c r="S621" s="695"/>
      <c r="T621" s="8"/>
      <c r="U621" s="8"/>
      <c r="V621" s="8"/>
      <c r="W621" s="8"/>
      <c r="X621" s="8"/>
      <c r="Y621" s="8"/>
      <c r="Z621" s="8"/>
      <c r="AA621" s="8"/>
      <c r="AB621" s="8"/>
    </row>
    <row r="622" ht="12.75" customHeight="1" spans="1:28" x14ac:dyDescent="0.25">
      <c r="A622" s="8"/>
      <c r="B622" s="8"/>
      <c r="C622" s="8"/>
      <c r="D622" s="8"/>
      <c r="E622" s="8"/>
      <c r="F622" s="8"/>
      <c r="G622" s="695"/>
      <c r="H622" s="695"/>
      <c r="I622" s="695"/>
      <c r="J622" s="695"/>
      <c r="K622" s="695"/>
      <c r="L622" s="695"/>
      <c r="M622" s="695"/>
      <c r="N622" s="695"/>
      <c r="O622" s="695"/>
      <c r="P622" s="695"/>
      <c r="Q622" s="695"/>
      <c r="R622" s="695"/>
      <c r="S622" s="695"/>
      <c r="T622" s="8"/>
      <c r="U622" s="8"/>
      <c r="V622" s="8"/>
      <c r="W622" s="8"/>
      <c r="X622" s="8"/>
      <c r="Y622" s="8"/>
      <c r="Z622" s="8"/>
      <c r="AA622" s="8"/>
      <c r="AB622" s="8"/>
    </row>
    <row r="623" ht="12.75" customHeight="1" spans="1:28" x14ac:dyDescent="0.25">
      <c r="A623" s="8"/>
      <c r="B623" s="8"/>
      <c r="C623" s="8"/>
      <c r="D623" s="8"/>
      <c r="E623" s="8"/>
      <c r="F623" s="8"/>
      <c r="G623" s="695"/>
      <c r="H623" s="695"/>
      <c r="I623" s="695"/>
      <c r="J623" s="695"/>
      <c r="K623" s="695"/>
      <c r="L623" s="695"/>
      <c r="M623" s="695"/>
      <c r="N623" s="695"/>
      <c r="O623" s="695"/>
      <c r="P623" s="695"/>
      <c r="Q623" s="695"/>
      <c r="R623" s="695"/>
      <c r="S623" s="695"/>
      <c r="T623" s="8"/>
      <c r="U623" s="8"/>
      <c r="V623" s="8"/>
      <c r="W623" s="8"/>
      <c r="X623" s="8"/>
      <c r="Y623" s="8"/>
      <c r="Z623" s="8"/>
      <c r="AA623" s="8"/>
      <c r="AB623" s="8"/>
    </row>
    <row r="624" ht="12.75" customHeight="1" spans="1:28" x14ac:dyDescent="0.25">
      <c r="A624" s="8"/>
      <c r="B624" s="8"/>
      <c r="C624" s="8"/>
      <c r="D624" s="8"/>
      <c r="E624" s="8"/>
      <c r="F624" s="8"/>
      <c r="G624" s="695"/>
      <c r="H624" s="695"/>
      <c r="I624" s="695"/>
      <c r="J624" s="695"/>
      <c r="K624" s="695"/>
      <c r="L624" s="695"/>
      <c r="M624" s="695"/>
      <c r="N624" s="695"/>
      <c r="O624" s="695"/>
      <c r="P624" s="695"/>
      <c r="Q624" s="695"/>
      <c r="R624" s="695"/>
      <c r="S624" s="695"/>
      <c r="T624" s="8"/>
      <c r="U624" s="8"/>
      <c r="V624" s="8"/>
      <c r="W624" s="8"/>
      <c r="X624" s="8"/>
      <c r="Y624" s="8"/>
      <c r="Z624" s="8"/>
      <c r="AA624" s="8"/>
      <c r="AB624" s="8"/>
    </row>
    <row r="625" ht="12.75" customHeight="1" spans="1:28" x14ac:dyDescent="0.25">
      <c r="A625" s="8"/>
      <c r="B625" s="8"/>
      <c r="C625" s="8"/>
      <c r="D625" s="8"/>
      <c r="E625" s="8"/>
      <c r="F625" s="8"/>
      <c r="G625" s="695"/>
      <c r="H625" s="695"/>
      <c r="I625" s="695"/>
      <c r="J625" s="695"/>
      <c r="K625" s="695"/>
      <c r="L625" s="695"/>
      <c r="M625" s="695"/>
      <c r="N625" s="695"/>
      <c r="O625" s="695"/>
      <c r="P625" s="695"/>
      <c r="Q625" s="695"/>
      <c r="R625" s="695"/>
      <c r="S625" s="695"/>
      <c r="T625" s="8"/>
      <c r="U625" s="8"/>
      <c r="V625" s="8"/>
      <c r="W625" s="8"/>
      <c r="X625" s="8"/>
      <c r="Y625" s="8"/>
      <c r="Z625" s="8"/>
      <c r="AA625" s="8"/>
      <c r="AB625" s="8"/>
    </row>
    <row r="626" ht="12.75" customHeight="1" spans="1:28" x14ac:dyDescent="0.25">
      <c r="A626" s="8"/>
      <c r="B626" s="8"/>
      <c r="C626" s="8"/>
      <c r="D626" s="8"/>
      <c r="E626" s="8"/>
      <c r="F626" s="8"/>
      <c r="G626" s="695"/>
      <c r="H626" s="695"/>
      <c r="I626" s="695"/>
      <c r="J626" s="695"/>
      <c r="K626" s="695"/>
      <c r="L626" s="695"/>
      <c r="M626" s="695"/>
      <c r="N626" s="695"/>
      <c r="O626" s="695"/>
      <c r="P626" s="695"/>
      <c r="Q626" s="695"/>
      <c r="R626" s="695"/>
      <c r="S626" s="695"/>
      <c r="T626" s="8"/>
      <c r="U626" s="8"/>
      <c r="V626" s="8"/>
      <c r="W626" s="8"/>
      <c r="X626" s="8"/>
      <c r="Y626" s="8"/>
      <c r="Z626" s="8"/>
      <c r="AA626" s="8"/>
      <c r="AB626" s="8"/>
    </row>
    <row r="627" ht="12.75" customHeight="1" spans="1:28" x14ac:dyDescent="0.25">
      <c r="A627" s="8"/>
      <c r="B627" s="8"/>
      <c r="C627" s="8"/>
      <c r="D627" s="8"/>
      <c r="E627" s="8"/>
      <c r="F627" s="8"/>
      <c r="G627" s="695"/>
      <c r="H627" s="695"/>
      <c r="I627" s="695"/>
      <c r="J627" s="695"/>
      <c r="K627" s="695"/>
      <c r="L627" s="695"/>
      <c r="M627" s="695"/>
      <c r="N627" s="695"/>
      <c r="O627" s="695"/>
      <c r="P627" s="695"/>
      <c r="Q627" s="695"/>
      <c r="R627" s="695"/>
      <c r="S627" s="695"/>
      <c r="T627" s="8"/>
      <c r="U627" s="8"/>
      <c r="V627" s="8"/>
      <c r="W627" s="8"/>
      <c r="X627" s="8"/>
      <c r="Y627" s="8"/>
      <c r="Z627" s="8"/>
      <c r="AA627" s="8"/>
      <c r="AB627" s="8"/>
    </row>
    <row r="628" ht="12.75" customHeight="1" spans="1:28" x14ac:dyDescent="0.25">
      <c r="A628" s="8"/>
      <c r="B628" s="8"/>
      <c r="C628" s="8"/>
      <c r="D628" s="8"/>
      <c r="E628" s="8"/>
      <c r="F628" s="8"/>
      <c r="G628" s="695"/>
      <c r="H628" s="695"/>
      <c r="I628" s="695"/>
      <c r="J628" s="695"/>
      <c r="K628" s="695"/>
      <c r="L628" s="695"/>
      <c r="M628" s="695"/>
      <c r="N628" s="695"/>
      <c r="O628" s="695"/>
      <c r="P628" s="695"/>
      <c r="Q628" s="695"/>
      <c r="R628" s="695"/>
      <c r="S628" s="695"/>
      <c r="T628" s="8"/>
      <c r="U628" s="8"/>
      <c r="V628" s="8"/>
      <c r="W628" s="8"/>
      <c r="X628" s="8"/>
      <c r="Y628" s="8"/>
      <c r="Z628" s="8"/>
      <c r="AA628" s="8"/>
      <c r="AB628" s="8"/>
    </row>
    <row r="629" ht="12.75" customHeight="1" spans="1:28" x14ac:dyDescent="0.25">
      <c r="A629" s="8"/>
      <c r="B629" s="8"/>
      <c r="C629" s="8"/>
      <c r="D629" s="8"/>
      <c r="E629" s="8"/>
      <c r="F629" s="8"/>
      <c r="G629" s="695"/>
      <c r="H629" s="695"/>
      <c r="I629" s="695"/>
      <c r="J629" s="695"/>
      <c r="K629" s="695"/>
      <c r="L629" s="695"/>
      <c r="M629" s="695"/>
      <c r="N629" s="695"/>
      <c r="O629" s="695"/>
      <c r="P629" s="695"/>
      <c r="Q629" s="695"/>
      <c r="R629" s="695"/>
      <c r="S629" s="695"/>
      <c r="T629" s="8"/>
      <c r="U629" s="8"/>
      <c r="V629" s="8"/>
      <c r="W629" s="8"/>
      <c r="X629" s="8"/>
      <c r="Y629" s="8"/>
      <c r="Z629" s="8"/>
      <c r="AA629" s="8"/>
      <c r="AB629" s="8"/>
    </row>
    <row r="630" ht="12.75" customHeight="1" spans="1:28" x14ac:dyDescent="0.25">
      <c r="A630" s="8"/>
      <c r="B630" s="8"/>
      <c r="C630" s="8"/>
      <c r="D630" s="8"/>
      <c r="E630" s="8"/>
      <c r="F630" s="8"/>
      <c r="G630" s="695"/>
      <c r="H630" s="695"/>
      <c r="I630" s="695"/>
      <c r="J630" s="695"/>
      <c r="K630" s="695"/>
      <c r="L630" s="695"/>
      <c r="M630" s="695"/>
      <c r="N630" s="695"/>
      <c r="O630" s="695"/>
      <c r="P630" s="695"/>
      <c r="Q630" s="695"/>
      <c r="R630" s="695"/>
      <c r="S630" s="695"/>
      <c r="T630" s="8"/>
      <c r="U630" s="8"/>
      <c r="V630" s="8"/>
      <c r="W630" s="8"/>
      <c r="X630" s="8"/>
      <c r="Y630" s="8"/>
      <c r="Z630" s="8"/>
      <c r="AA630" s="8"/>
      <c r="AB630" s="8"/>
    </row>
    <row r="631" ht="12.75" customHeight="1" spans="1:28" x14ac:dyDescent="0.25">
      <c r="A631" s="8"/>
      <c r="B631" s="8"/>
      <c r="C631" s="8"/>
      <c r="D631" s="8"/>
      <c r="E631" s="8"/>
      <c r="F631" s="8"/>
      <c r="G631" s="695"/>
      <c r="H631" s="695"/>
      <c r="I631" s="695"/>
      <c r="J631" s="695"/>
      <c r="K631" s="695"/>
      <c r="L631" s="695"/>
      <c r="M631" s="695"/>
      <c r="N631" s="695"/>
      <c r="O631" s="695"/>
      <c r="P631" s="695"/>
      <c r="Q631" s="695"/>
      <c r="R631" s="695"/>
      <c r="S631" s="695"/>
      <c r="T631" s="8"/>
      <c r="U631" s="8"/>
      <c r="V631" s="8"/>
      <c r="W631" s="8"/>
      <c r="X631" s="8"/>
      <c r="Y631" s="8"/>
      <c r="Z631" s="8"/>
      <c r="AA631" s="8"/>
      <c r="AB631" s="8"/>
    </row>
    <row r="632" ht="12.75" customHeight="1" spans="1:28" x14ac:dyDescent="0.25">
      <c r="A632" s="8"/>
      <c r="B632" s="8"/>
      <c r="C632" s="8"/>
      <c r="D632" s="8"/>
      <c r="E632" s="8"/>
      <c r="F632" s="8"/>
      <c r="G632" s="695"/>
      <c r="H632" s="695"/>
      <c r="I632" s="695"/>
      <c r="J632" s="695"/>
      <c r="K632" s="695"/>
      <c r="L632" s="695"/>
      <c r="M632" s="695"/>
      <c r="N632" s="695"/>
      <c r="O632" s="695"/>
      <c r="P632" s="695"/>
      <c r="Q632" s="695"/>
      <c r="R632" s="695"/>
      <c r="S632" s="695"/>
      <c r="T632" s="8"/>
      <c r="U632" s="8"/>
      <c r="V632" s="8"/>
      <c r="W632" s="8"/>
      <c r="X632" s="8"/>
      <c r="Y632" s="8"/>
      <c r="Z632" s="8"/>
      <c r="AA632" s="8"/>
      <c r="AB632" s="8"/>
    </row>
    <row r="633" ht="12.75" customHeight="1" spans="1:28" x14ac:dyDescent="0.25">
      <c r="A633" s="8"/>
      <c r="B633" s="8"/>
      <c r="C633" s="8"/>
      <c r="D633" s="8"/>
      <c r="E633" s="8"/>
      <c r="F633" s="8"/>
      <c r="G633" s="695"/>
      <c r="H633" s="695"/>
      <c r="I633" s="695"/>
      <c r="J633" s="695"/>
      <c r="K633" s="695"/>
      <c r="L633" s="695"/>
      <c r="M633" s="695"/>
      <c r="N633" s="695"/>
      <c r="O633" s="695"/>
      <c r="P633" s="695"/>
      <c r="Q633" s="695"/>
      <c r="R633" s="695"/>
      <c r="S633" s="695"/>
      <c r="T633" s="8"/>
      <c r="U633" s="8"/>
      <c r="V633" s="8"/>
      <c r="W633" s="8"/>
      <c r="X633" s="8"/>
      <c r="Y633" s="8"/>
      <c r="Z633" s="8"/>
      <c r="AA633" s="8"/>
      <c r="AB633" s="8"/>
    </row>
    <row r="634" ht="12.75" customHeight="1" spans="1:28" x14ac:dyDescent="0.25">
      <c r="A634" s="8"/>
      <c r="B634" s="8"/>
      <c r="C634" s="8"/>
      <c r="D634" s="8"/>
      <c r="E634" s="8"/>
      <c r="F634" s="8"/>
      <c r="G634" s="695"/>
      <c r="H634" s="695"/>
      <c r="I634" s="695"/>
      <c r="J634" s="695"/>
      <c r="K634" s="695"/>
      <c r="L634" s="695"/>
      <c r="M634" s="695"/>
      <c r="N634" s="695"/>
      <c r="O634" s="695"/>
      <c r="P634" s="695"/>
      <c r="Q634" s="695"/>
      <c r="R634" s="695"/>
      <c r="S634" s="695"/>
      <c r="T634" s="8"/>
      <c r="U634" s="8"/>
      <c r="V634" s="8"/>
      <c r="W634" s="8"/>
      <c r="X634" s="8"/>
      <c r="Y634" s="8"/>
      <c r="Z634" s="8"/>
      <c r="AA634" s="8"/>
      <c r="AB634" s="8"/>
    </row>
    <row r="635" ht="12.75" customHeight="1" spans="1:28" x14ac:dyDescent="0.25">
      <c r="A635" s="8"/>
      <c r="B635" s="8"/>
      <c r="C635" s="8"/>
      <c r="D635" s="8"/>
      <c r="E635" s="8"/>
      <c r="F635" s="8"/>
      <c r="G635" s="695"/>
      <c r="H635" s="695"/>
      <c r="I635" s="695"/>
      <c r="J635" s="695"/>
      <c r="K635" s="695"/>
      <c r="L635" s="695"/>
      <c r="M635" s="695"/>
      <c r="N635" s="695"/>
      <c r="O635" s="695"/>
      <c r="P635" s="695"/>
      <c r="Q635" s="695"/>
      <c r="R635" s="695"/>
      <c r="S635" s="695"/>
      <c r="T635" s="8"/>
      <c r="U635" s="8"/>
      <c r="V635" s="8"/>
      <c r="W635" s="8"/>
      <c r="X635" s="8"/>
      <c r="Y635" s="8"/>
      <c r="Z635" s="8"/>
      <c r="AA635" s="8"/>
      <c r="AB635" s="8"/>
    </row>
    <row r="636" ht="12.75" customHeight="1" spans="1:28" x14ac:dyDescent="0.25">
      <c r="A636" s="8"/>
      <c r="B636" s="8"/>
      <c r="C636" s="8"/>
      <c r="D636" s="8"/>
      <c r="E636" s="8"/>
      <c r="F636" s="8"/>
      <c r="G636" s="695"/>
      <c r="H636" s="695"/>
      <c r="I636" s="695"/>
      <c r="J636" s="695"/>
      <c r="K636" s="695"/>
      <c r="L636" s="695"/>
      <c r="M636" s="695"/>
      <c r="N636" s="695"/>
      <c r="O636" s="695"/>
      <c r="P636" s="695"/>
      <c r="Q636" s="695"/>
      <c r="R636" s="695"/>
      <c r="S636" s="695"/>
      <c r="T636" s="8"/>
      <c r="U636" s="8"/>
      <c r="V636" s="8"/>
      <c r="W636" s="8"/>
      <c r="X636" s="8"/>
      <c r="Y636" s="8"/>
      <c r="Z636" s="8"/>
      <c r="AA636" s="8"/>
      <c r="AB636" s="8"/>
    </row>
    <row r="637" ht="12.75" customHeight="1" spans="1:28" x14ac:dyDescent="0.25">
      <c r="A637" s="8"/>
      <c r="B637" s="8"/>
      <c r="C637" s="8"/>
      <c r="D637" s="8"/>
      <c r="E637" s="8"/>
      <c r="F637" s="8"/>
      <c r="G637" s="695"/>
      <c r="H637" s="695"/>
      <c r="I637" s="695"/>
      <c r="J637" s="695"/>
      <c r="K637" s="695"/>
      <c r="L637" s="695"/>
      <c r="M637" s="695"/>
      <c r="N637" s="695"/>
      <c r="O637" s="695"/>
      <c r="P637" s="695"/>
      <c r="Q637" s="695"/>
      <c r="R637" s="695"/>
      <c r="S637" s="695"/>
      <c r="T637" s="8"/>
      <c r="U637" s="8"/>
      <c r="V637" s="8"/>
      <c r="W637" s="8"/>
      <c r="X637" s="8"/>
      <c r="Y637" s="8"/>
      <c r="Z637" s="8"/>
      <c r="AA637" s="8"/>
      <c r="AB637" s="8"/>
    </row>
    <row r="638" ht="12.75" customHeight="1" spans="1:28" x14ac:dyDescent="0.25">
      <c r="A638" s="8"/>
      <c r="B638" s="8"/>
      <c r="C638" s="8"/>
      <c r="D638" s="8"/>
      <c r="E638" s="8"/>
      <c r="F638" s="8"/>
      <c r="G638" s="695"/>
      <c r="H638" s="695"/>
      <c r="I638" s="695"/>
      <c r="J638" s="695"/>
      <c r="K638" s="695"/>
      <c r="L638" s="695"/>
      <c r="M638" s="695"/>
      <c r="N638" s="695"/>
      <c r="O638" s="695"/>
      <c r="P638" s="695"/>
      <c r="Q638" s="695"/>
      <c r="R638" s="695"/>
      <c r="S638" s="695"/>
      <c r="T638" s="8"/>
      <c r="U638" s="8"/>
      <c r="V638" s="8"/>
      <c r="W638" s="8"/>
      <c r="X638" s="8"/>
      <c r="Y638" s="8"/>
      <c r="Z638" s="8"/>
      <c r="AA638" s="8"/>
      <c r="AB638" s="8"/>
    </row>
    <row r="639" ht="12.75" customHeight="1" spans="1:28" x14ac:dyDescent="0.25">
      <c r="A639" s="8"/>
      <c r="B639" s="8"/>
      <c r="C639" s="8"/>
      <c r="D639" s="8"/>
      <c r="E639" s="8"/>
      <c r="F639" s="8"/>
      <c r="G639" s="695"/>
      <c r="H639" s="695"/>
      <c r="I639" s="695"/>
      <c r="J639" s="695"/>
      <c r="K639" s="695"/>
      <c r="L639" s="695"/>
      <c r="M639" s="695"/>
      <c r="N639" s="695"/>
      <c r="O639" s="695"/>
      <c r="P639" s="695"/>
      <c r="Q639" s="695"/>
      <c r="R639" s="695"/>
      <c r="S639" s="695"/>
      <c r="T639" s="8"/>
      <c r="U639" s="8"/>
      <c r="V639" s="8"/>
      <c r="W639" s="8"/>
      <c r="X639" s="8"/>
      <c r="Y639" s="8"/>
      <c r="Z639" s="8"/>
      <c r="AA639" s="8"/>
      <c r="AB639" s="8"/>
    </row>
    <row r="640" ht="12.75" customHeight="1" spans="1:28" x14ac:dyDescent="0.25">
      <c r="A640" s="8"/>
      <c r="B640" s="8"/>
      <c r="C640" s="8"/>
      <c r="D640" s="8"/>
      <c r="E640" s="8"/>
      <c r="F640" s="8"/>
      <c r="G640" s="695"/>
      <c r="H640" s="695"/>
      <c r="I640" s="695"/>
      <c r="J640" s="695"/>
      <c r="K640" s="695"/>
      <c r="L640" s="695"/>
      <c r="M640" s="695"/>
      <c r="N640" s="695"/>
      <c r="O640" s="695"/>
      <c r="P640" s="695"/>
      <c r="Q640" s="695"/>
      <c r="R640" s="695"/>
      <c r="S640" s="695"/>
      <c r="T640" s="8"/>
      <c r="U640" s="8"/>
      <c r="V640" s="8"/>
      <c r="W640" s="8"/>
      <c r="X640" s="8"/>
      <c r="Y640" s="8"/>
      <c r="Z640" s="8"/>
      <c r="AA640" s="8"/>
      <c r="AB640" s="8"/>
    </row>
    <row r="641" ht="12.75" customHeight="1" spans="1:28" x14ac:dyDescent="0.25">
      <c r="A641" s="8"/>
      <c r="B641" s="8"/>
      <c r="C641" s="8"/>
      <c r="D641" s="8"/>
      <c r="E641" s="8"/>
      <c r="F641" s="8"/>
      <c r="G641" s="695"/>
      <c r="H641" s="695"/>
      <c r="I641" s="695"/>
      <c r="J641" s="695"/>
      <c r="K641" s="695"/>
      <c r="L641" s="695"/>
      <c r="M641" s="695"/>
      <c r="N641" s="695"/>
      <c r="O641" s="695"/>
      <c r="P641" s="695"/>
      <c r="Q641" s="695"/>
      <c r="R641" s="695"/>
      <c r="S641" s="695"/>
      <c r="T641" s="8"/>
      <c r="U641" s="8"/>
      <c r="V641" s="8"/>
      <c r="W641" s="8"/>
      <c r="X641" s="8"/>
      <c r="Y641" s="8"/>
      <c r="Z641" s="8"/>
      <c r="AA641" s="8"/>
      <c r="AB641" s="8"/>
    </row>
    <row r="642" ht="12.75" customHeight="1" spans="1:28" x14ac:dyDescent="0.25">
      <c r="A642" s="8"/>
      <c r="B642" s="8"/>
      <c r="C642" s="8"/>
      <c r="D642" s="8"/>
      <c r="E642" s="8"/>
      <c r="F642" s="8"/>
      <c r="G642" s="695"/>
      <c r="H642" s="695"/>
      <c r="I642" s="695"/>
      <c r="J642" s="695"/>
      <c r="K642" s="695"/>
      <c r="L642" s="695"/>
      <c r="M642" s="695"/>
      <c r="N642" s="695"/>
      <c r="O642" s="695"/>
      <c r="P642" s="695"/>
      <c r="Q642" s="695"/>
      <c r="R642" s="695"/>
      <c r="S642" s="695"/>
      <c r="T642" s="8"/>
      <c r="U642" s="8"/>
      <c r="V642" s="8"/>
      <c r="W642" s="8"/>
      <c r="X642" s="8"/>
      <c r="Y642" s="8"/>
      <c r="Z642" s="8"/>
      <c r="AA642" s="8"/>
      <c r="AB642" s="8"/>
    </row>
    <row r="643" ht="12.75" customHeight="1" spans="1:28" x14ac:dyDescent="0.25">
      <c r="A643" s="8"/>
      <c r="B643" s="8"/>
      <c r="C643" s="8"/>
      <c r="D643" s="8"/>
      <c r="E643" s="8"/>
      <c r="F643" s="8"/>
      <c r="G643" s="695"/>
      <c r="H643" s="695"/>
      <c r="I643" s="695"/>
      <c r="J643" s="695"/>
      <c r="K643" s="695"/>
      <c r="L643" s="695"/>
      <c r="M643" s="695"/>
      <c r="N643" s="695"/>
      <c r="O643" s="695"/>
      <c r="P643" s="695"/>
      <c r="Q643" s="695"/>
      <c r="R643" s="695"/>
      <c r="S643" s="695"/>
      <c r="T643" s="8"/>
      <c r="U643" s="8"/>
      <c r="V643" s="8"/>
      <c r="W643" s="8"/>
      <c r="X643" s="8"/>
      <c r="Y643" s="8"/>
      <c r="Z643" s="8"/>
      <c r="AA643" s="8"/>
      <c r="AB643" s="8"/>
    </row>
    <row r="644" ht="12.75" customHeight="1" spans="1:28" x14ac:dyDescent="0.25">
      <c r="A644" s="8"/>
      <c r="B644" s="8"/>
      <c r="C644" s="8"/>
      <c r="D644" s="8"/>
      <c r="E644" s="8"/>
      <c r="F644" s="8"/>
      <c r="G644" s="695"/>
      <c r="H644" s="695"/>
      <c r="I644" s="695"/>
      <c r="J644" s="695"/>
      <c r="K644" s="695"/>
      <c r="L644" s="695"/>
      <c r="M644" s="695"/>
      <c r="N644" s="695"/>
      <c r="O644" s="695"/>
      <c r="P644" s="695"/>
      <c r="Q644" s="695"/>
      <c r="R644" s="695"/>
      <c r="S644" s="695"/>
      <c r="T644" s="8"/>
      <c r="U644" s="8"/>
      <c r="V644" s="8"/>
      <c r="W644" s="8"/>
      <c r="X644" s="8"/>
      <c r="Y644" s="8"/>
      <c r="Z644" s="8"/>
      <c r="AA644" s="8"/>
      <c r="AB644" s="8"/>
    </row>
    <row r="645" ht="12.75" customHeight="1" spans="1:28" x14ac:dyDescent="0.25">
      <c r="A645" s="8"/>
      <c r="B645" s="8"/>
      <c r="C645" s="8"/>
      <c r="D645" s="8"/>
      <c r="E645" s="8"/>
      <c r="F645" s="8"/>
      <c r="G645" s="695"/>
      <c r="H645" s="695"/>
      <c r="I645" s="695"/>
      <c r="J645" s="695"/>
      <c r="K645" s="695"/>
      <c r="L645" s="695"/>
      <c r="M645" s="695"/>
      <c r="N645" s="695"/>
      <c r="O645" s="695"/>
      <c r="P645" s="695"/>
      <c r="Q645" s="695"/>
      <c r="R645" s="695"/>
      <c r="S645" s="695"/>
      <c r="T645" s="8"/>
      <c r="U645" s="8"/>
      <c r="V645" s="8"/>
      <c r="W645" s="8"/>
      <c r="X645" s="8"/>
      <c r="Y645" s="8"/>
      <c r="Z645" s="8"/>
      <c r="AA645" s="8"/>
      <c r="AB645" s="8"/>
    </row>
    <row r="646" ht="12.75" customHeight="1" spans="1:28" x14ac:dyDescent="0.25">
      <c r="A646" s="8"/>
      <c r="B646" s="8"/>
      <c r="C646" s="8"/>
      <c r="D646" s="8"/>
      <c r="E646" s="8"/>
      <c r="F646" s="8"/>
      <c r="G646" s="695"/>
      <c r="H646" s="695"/>
      <c r="I646" s="695"/>
      <c r="J646" s="695"/>
      <c r="K646" s="695"/>
      <c r="L646" s="695"/>
      <c r="M646" s="695"/>
      <c r="N646" s="695"/>
      <c r="O646" s="695"/>
      <c r="P646" s="695"/>
      <c r="Q646" s="695"/>
      <c r="R646" s="695"/>
      <c r="S646" s="695"/>
      <c r="T646" s="8"/>
      <c r="U646" s="8"/>
      <c r="V646" s="8"/>
      <c r="W646" s="8"/>
      <c r="X646" s="8"/>
      <c r="Y646" s="8"/>
      <c r="Z646" s="8"/>
      <c r="AA646" s="8"/>
      <c r="AB646" s="8"/>
    </row>
    <row r="647" ht="12.75" customHeight="1" spans="1:28" x14ac:dyDescent="0.25">
      <c r="A647" s="8"/>
      <c r="B647" s="8"/>
      <c r="C647" s="8"/>
      <c r="D647" s="8"/>
      <c r="E647" s="8"/>
      <c r="F647" s="8"/>
      <c r="G647" s="695"/>
      <c r="H647" s="695"/>
      <c r="I647" s="695"/>
      <c r="J647" s="695"/>
      <c r="K647" s="695"/>
      <c r="L647" s="695"/>
      <c r="M647" s="695"/>
      <c r="N647" s="695"/>
      <c r="O647" s="695"/>
      <c r="P647" s="695"/>
      <c r="Q647" s="695"/>
      <c r="R647" s="695"/>
      <c r="S647" s="695"/>
      <c r="T647" s="8"/>
      <c r="U647" s="8"/>
      <c r="V647" s="8"/>
      <c r="W647" s="8"/>
      <c r="X647" s="8"/>
      <c r="Y647" s="8"/>
      <c r="Z647" s="8"/>
      <c r="AA647" s="8"/>
      <c r="AB647" s="8"/>
    </row>
    <row r="648" ht="12.75" customHeight="1" spans="1:28" x14ac:dyDescent="0.25">
      <c r="A648" s="8"/>
      <c r="B648" s="8"/>
      <c r="C648" s="8"/>
      <c r="D648" s="8"/>
      <c r="E648" s="8"/>
      <c r="F648" s="8"/>
      <c r="G648" s="695"/>
      <c r="H648" s="695"/>
      <c r="I648" s="695"/>
      <c r="J648" s="695"/>
      <c r="K648" s="695"/>
      <c r="L648" s="695"/>
      <c r="M648" s="695"/>
      <c r="N648" s="695"/>
      <c r="O648" s="695"/>
      <c r="P648" s="695"/>
      <c r="Q648" s="695"/>
      <c r="R648" s="695"/>
      <c r="S648" s="695"/>
      <c r="T648" s="8"/>
      <c r="U648" s="8"/>
      <c r="V648" s="8"/>
      <c r="W648" s="8"/>
      <c r="X648" s="8"/>
      <c r="Y648" s="8"/>
      <c r="Z648" s="8"/>
      <c r="AA648" s="8"/>
      <c r="AB648" s="8"/>
    </row>
    <row r="649" ht="12.75" customHeight="1" spans="1:28" x14ac:dyDescent="0.25">
      <c r="A649" s="8"/>
      <c r="B649" s="8"/>
      <c r="C649" s="8"/>
      <c r="D649" s="8"/>
      <c r="E649" s="8"/>
      <c r="F649" s="8"/>
      <c r="G649" s="695"/>
      <c r="H649" s="695"/>
      <c r="I649" s="695"/>
      <c r="J649" s="695"/>
      <c r="K649" s="695"/>
      <c r="L649" s="695"/>
      <c r="M649" s="695"/>
      <c r="N649" s="695"/>
      <c r="O649" s="695"/>
      <c r="P649" s="695"/>
      <c r="Q649" s="695"/>
      <c r="R649" s="695"/>
      <c r="S649" s="695"/>
      <c r="T649" s="8"/>
      <c r="U649" s="8"/>
      <c r="V649" s="8"/>
      <c r="W649" s="8"/>
      <c r="X649" s="8"/>
      <c r="Y649" s="8"/>
      <c r="Z649" s="8"/>
      <c r="AA649" s="8"/>
      <c r="AB649" s="8"/>
    </row>
    <row r="650" ht="12.75" customHeight="1" spans="1:28" x14ac:dyDescent="0.25">
      <c r="A650" s="8"/>
      <c r="B650" s="8"/>
      <c r="C650" s="8"/>
      <c r="D650" s="8"/>
      <c r="E650" s="8"/>
      <c r="F650" s="8"/>
      <c r="G650" s="695"/>
      <c r="H650" s="695"/>
      <c r="I650" s="695"/>
      <c r="J650" s="695"/>
      <c r="K650" s="695"/>
      <c r="L650" s="695"/>
      <c r="M650" s="695"/>
      <c r="N650" s="695"/>
      <c r="O650" s="695"/>
      <c r="P650" s="695"/>
      <c r="Q650" s="695"/>
      <c r="R650" s="695"/>
      <c r="S650" s="695"/>
      <c r="T650" s="8"/>
      <c r="U650" s="8"/>
      <c r="V650" s="8"/>
      <c r="W650" s="8"/>
      <c r="X650" s="8"/>
      <c r="Y650" s="8"/>
      <c r="Z650" s="8"/>
      <c r="AA650" s="8"/>
      <c r="AB650" s="8"/>
    </row>
    <row r="651" ht="12.75" customHeight="1" spans="1:28" x14ac:dyDescent="0.25">
      <c r="A651" s="8"/>
      <c r="B651" s="8"/>
      <c r="C651" s="8"/>
      <c r="D651" s="8"/>
      <c r="E651" s="8"/>
      <c r="F651" s="8"/>
      <c r="G651" s="695"/>
      <c r="H651" s="695"/>
      <c r="I651" s="695"/>
      <c r="J651" s="695"/>
      <c r="K651" s="695"/>
      <c r="L651" s="695"/>
      <c r="M651" s="695"/>
      <c r="N651" s="695"/>
      <c r="O651" s="695"/>
      <c r="P651" s="695"/>
      <c r="Q651" s="695"/>
      <c r="R651" s="695"/>
      <c r="S651" s="695"/>
      <c r="T651" s="8"/>
      <c r="U651" s="8"/>
      <c r="V651" s="8"/>
      <c r="W651" s="8"/>
      <c r="X651" s="8"/>
      <c r="Y651" s="8"/>
      <c r="Z651" s="8"/>
      <c r="AA651" s="8"/>
      <c r="AB651" s="8"/>
    </row>
    <row r="652" ht="12.75" customHeight="1" spans="1:28" x14ac:dyDescent="0.25">
      <c r="A652" s="8"/>
      <c r="B652" s="8"/>
      <c r="C652" s="8"/>
      <c r="D652" s="8"/>
      <c r="E652" s="8"/>
      <c r="F652" s="8"/>
      <c r="G652" s="695"/>
      <c r="H652" s="695"/>
      <c r="I652" s="695"/>
      <c r="J652" s="695"/>
      <c r="K652" s="695"/>
      <c r="L652" s="695"/>
      <c r="M652" s="695"/>
      <c r="N652" s="695"/>
      <c r="O652" s="695"/>
      <c r="P652" s="695"/>
      <c r="Q652" s="695"/>
      <c r="R652" s="695"/>
      <c r="S652" s="695"/>
      <c r="T652" s="8"/>
      <c r="U652" s="8"/>
      <c r="V652" s="8"/>
      <c r="W652" s="8"/>
      <c r="X652" s="8"/>
      <c r="Y652" s="8"/>
      <c r="Z652" s="8"/>
      <c r="AA652" s="8"/>
      <c r="AB652" s="8"/>
    </row>
    <row r="653" ht="12.75" customHeight="1" spans="1:28" x14ac:dyDescent="0.25">
      <c r="A653" s="8"/>
      <c r="B653" s="8"/>
      <c r="C653" s="8"/>
      <c r="D653" s="8"/>
      <c r="E653" s="8"/>
      <c r="F653" s="8"/>
      <c r="G653" s="695"/>
      <c r="H653" s="695"/>
      <c r="I653" s="695"/>
      <c r="J653" s="695"/>
      <c r="K653" s="695"/>
      <c r="L653" s="695"/>
      <c r="M653" s="695"/>
      <c r="N653" s="695"/>
      <c r="O653" s="695"/>
      <c r="P653" s="695"/>
      <c r="Q653" s="695"/>
      <c r="R653" s="695"/>
      <c r="S653" s="695"/>
      <c r="T653" s="8"/>
      <c r="U653" s="8"/>
      <c r="V653" s="8"/>
      <c r="W653" s="8"/>
      <c r="X653" s="8"/>
      <c r="Y653" s="8"/>
      <c r="Z653" s="8"/>
      <c r="AA653" s="8"/>
      <c r="AB653" s="8"/>
    </row>
    <row r="654" ht="12.75" customHeight="1" spans="1:28" x14ac:dyDescent="0.25">
      <c r="A654" s="8"/>
      <c r="B654" s="8"/>
      <c r="C654" s="8"/>
      <c r="D654" s="8"/>
      <c r="E654" s="8"/>
      <c r="F654" s="8"/>
      <c r="G654" s="695"/>
      <c r="H654" s="695"/>
      <c r="I654" s="695"/>
      <c r="J654" s="695"/>
      <c r="K654" s="695"/>
      <c r="L654" s="695"/>
      <c r="M654" s="695"/>
      <c r="N654" s="695"/>
      <c r="O654" s="695"/>
      <c r="P654" s="695"/>
      <c r="Q654" s="695"/>
      <c r="R654" s="695"/>
      <c r="S654" s="695"/>
      <c r="T654" s="8"/>
      <c r="U654" s="8"/>
      <c r="V654" s="8"/>
      <c r="W654" s="8"/>
      <c r="X654" s="8"/>
      <c r="Y654" s="8"/>
      <c r="Z654" s="8"/>
      <c r="AA654" s="8"/>
      <c r="AB654" s="8"/>
    </row>
    <row r="655" ht="12.75" customHeight="1" spans="1:28" x14ac:dyDescent="0.25">
      <c r="A655" s="8"/>
      <c r="B655" s="8"/>
      <c r="C655" s="8"/>
      <c r="D655" s="8"/>
      <c r="E655" s="8"/>
      <c r="F655" s="8"/>
      <c r="G655" s="695"/>
      <c r="H655" s="695"/>
      <c r="I655" s="695"/>
      <c r="J655" s="695"/>
      <c r="K655" s="695"/>
      <c r="L655" s="695"/>
      <c r="M655" s="695"/>
      <c r="N655" s="695"/>
      <c r="O655" s="695"/>
      <c r="P655" s="695"/>
      <c r="Q655" s="695"/>
      <c r="R655" s="695"/>
      <c r="S655" s="695"/>
      <c r="T655" s="8"/>
      <c r="U655" s="8"/>
      <c r="V655" s="8"/>
      <c r="W655" s="8"/>
      <c r="X655" s="8"/>
      <c r="Y655" s="8"/>
      <c r="Z655" s="8"/>
      <c r="AA655" s="8"/>
      <c r="AB655" s="8"/>
    </row>
    <row r="656" ht="12.75" customHeight="1" spans="1:28" x14ac:dyDescent="0.25">
      <c r="A656" s="8"/>
      <c r="B656" s="8"/>
      <c r="C656" s="8"/>
      <c r="D656" s="8"/>
      <c r="E656" s="8"/>
      <c r="F656" s="8"/>
      <c r="G656" s="695"/>
      <c r="H656" s="695"/>
      <c r="I656" s="695"/>
      <c r="J656" s="695"/>
      <c r="K656" s="695"/>
      <c r="L656" s="695"/>
      <c r="M656" s="695"/>
      <c r="N656" s="695"/>
      <c r="O656" s="695"/>
      <c r="P656" s="695"/>
      <c r="Q656" s="695"/>
      <c r="R656" s="695"/>
      <c r="S656" s="695"/>
      <c r="T656" s="8"/>
      <c r="U656" s="8"/>
      <c r="V656" s="8"/>
      <c r="W656" s="8"/>
      <c r="X656" s="8"/>
      <c r="Y656" s="8"/>
      <c r="Z656" s="8"/>
      <c r="AA656" s="8"/>
      <c r="AB656" s="8"/>
    </row>
    <row r="657" ht="12.75" customHeight="1" spans="1:28" x14ac:dyDescent="0.25">
      <c r="A657" s="8"/>
      <c r="B657" s="8"/>
      <c r="C657" s="8"/>
      <c r="D657" s="8"/>
      <c r="E657" s="8"/>
      <c r="F657" s="8"/>
      <c r="G657" s="695"/>
      <c r="H657" s="695"/>
      <c r="I657" s="695"/>
      <c r="J657" s="695"/>
      <c r="K657" s="695"/>
      <c r="L657" s="695"/>
      <c r="M657" s="695"/>
      <c r="N657" s="695"/>
      <c r="O657" s="695"/>
      <c r="P657" s="695"/>
      <c r="Q657" s="695"/>
      <c r="R657" s="695"/>
      <c r="S657" s="695"/>
      <c r="T657" s="8"/>
      <c r="U657" s="8"/>
      <c r="V657" s="8"/>
      <c r="W657" s="8"/>
      <c r="X657" s="8"/>
      <c r="Y657" s="8"/>
      <c r="Z657" s="8"/>
      <c r="AA657" s="8"/>
      <c r="AB657" s="8"/>
    </row>
    <row r="658" ht="12.75" customHeight="1" spans="1:28" x14ac:dyDescent="0.25">
      <c r="A658" s="8"/>
      <c r="B658" s="8"/>
      <c r="C658" s="8"/>
      <c r="D658" s="8"/>
      <c r="E658" s="8"/>
      <c r="F658" s="8"/>
      <c r="G658" s="695"/>
      <c r="H658" s="695"/>
      <c r="I658" s="695"/>
      <c r="J658" s="695"/>
      <c r="K658" s="695"/>
      <c r="L658" s="695"/>
      <c r="M658" s="695"/>
      <c r="N658" s="695"/>
      <c r="O658" s="695"/>
      <c r="P658" s="695"/>
      <c r="Q658" s="695"/>
      <c r="R658" s="695"/>
      <c r="S658" s="695"/>
      <c r="T658" s="8"/>
      <c r="U658" s="8"/>
      <c r="V658" s="8"/>
      <c r="W658" s="8"/>
      <c r="X658" s="8"/>
      <c r="Y658" s="8"/>
      <c r="Z658" s="8"/>
      <c r="AA658" s="8"/>
      <c r="AB658" s="8"/>
    </row>
    <row r="659" ht="12.75" customHeight="1" spans="1:28" x14ac:dyDescent="0.25">
      <c r="A659" s="8"/>
      <c r="B659" s="8"/>
      <c r="C659" s="8"/>
      <c r="D659" s="8"/>
      <c r="E659" s="8"/>
      <c r="F659" s="8"/>
      <c r="G659" s="695"/>
      <c r="H659" s="695"/>
      <c r="I659" s="695"/>
      <c r="J659" s="695"/>
      <c r="K659" s="695"/>
      <c r="L659" s="695"/>
      <c r="M659" s="695"/>
      <c r="N659" s="695"/>
      <c r="O659" s="695"/>
      <c r="P659" s="695"/>
      <c r="Q659" s="695"/>
      <c r="R659" s="695"/>
      <c r="S659" s="695"/>
      <c r="T659" s="8"/>
      <c r="U659" s="8"/>
      <c r="V659" s="8"/>
      <c r="W659" s="8"/>
      <c r="X659" s="8"/>
      <c r="Y659" s="8"/>
      <c r="Z659" s="8"/>
      <c r="AA659" s="8"/>
      <c r="AB659" s="8"/>
    </row>
    <row r="660" ht="12.75" customHeight="1" spans="1:28" x14ac:dyDescent="0.25">
      <c r="A660" s="8"/>
      <c r="B660" s="8"/>
      <c r="C660" s="8"/>
      <c r="D660" s="8"/>
      <c r="E660" s="8"/>
      <c r="F660" s="8"/>
      <c r="G660" s="695"/>
      <c r="H660" s="695"/>
      <c r="I660" s="695"/>
      <c r="J660" s="695"/>
      <c r="K660" s="695"/>
      <c r="L660" s="695"/>
      <c r="M660" s="695"/>
      <c r="N660" s="695"/>
      <c r="O660" s="695"/>
      <c r="P660" s="695"/>
      <c r="Q660" s="695"/>
      <c r="R660" s="695"/>
      <c r="S660" s="695"/>
      <c r="T660" s="8"/>
      <c r="U660" s="8"/>
      <c r="V660" s="8"/>
      <c r="W660" s="8"/>
      <c r="X660" s="8"/>
      <c r="Y660" s="8"/>
      <c r="Z660" s="8"/>
      <c r="AA660" s="8"/>
      <c r="AB660" s="8"/>
    </row>
    <row r="661" ht="12.75" customHeight="1" spans="1:28" x14ac:dyDescent="0.25">
      <c r="A661" s="8"/>
      <c r="B661" s="8"/>
      <c r="C661" s="8"/>
      <c r="D661" s="8"/>
      <c r="E661" s="8"/>
      <c r="F661" s="8"/>
      <c r="G661" s="695"/>
      <c r="H661" s="695"/>
      <c r="I661" s="695"/>
      <c r="J661" s="695"/>
      <c r="K661" s="695"/>
      <c r="L661" s="695"/>
      <c r="M661" s="695"/>
      <c r="N661" s="695"/>
      <c r="O661" s="695"/>
      <c r="P661" s="695"/>
      <c r="Q661" s="695"/>
      <c r="R661" s="695"/>
      <c r="S661" s="695"/>
      <c r="T661" s="8"/>
      <c r="U661" s="8"/>
      <c r="V661" s="8"/>
      <c r="W661" s="8"/>
      <c r="X661" s="8"/>
      <c r="Y661" s="8"/>
      <c r="Z661" s="8"/>
      <c r="AA661" s="8"/>
      <c r="AB661" s="8"/>
    </row>
    <row r="662" ht="12.75" customHeight="1" spans="1:28" x14ac:dyDescent="0.25">
      <c r="A662" s="8"/>
      <c r="B662" s="8"/>
      <c r="C662" s="8"/>
      <c r="D662" s="8"/>
      <c r="E662" s="8"/>
      <c r="F662" s="8"/>
      <c r="G662" s="695"/>
      <c r="H662" s="695"/>
      <c r="I662" s="695"/>
      <c r="J662" s="695"/>
      <c r="K662" s="695"/>
      <c r="L662" s="695"/>
      <c r="M662" s="695"/>
      <c r="N662" s="695"/>
      <c r="O662" s="695"/>
      <c r="P662" s="695"/>
      <c r="Q662" s="695"/>
      <c r="R662" s="695"/>
      <c r="S662" s="695"/>
      <c r="T662" s="8"/>
      <c r="U662" s="8"/>
      <c r="V662" s="8"/>
      <c r="W662" s="8"/>
      <c r="X662" s="8"/>
      <c r="Y662" s="8"/>
      <c r="Z662" s="8"/>
      <c r="AA662" s="8"/>
      <c r="AB662" s="8"/>
    </row>
    <row r="663" ht="12.75" customHeight="1" spans="1:28" x14ac:dyDescent="0.25">
      <c r="A663" s="8"/>
      <c r="B663" s="8"/>
      <c r="C663" s="8"/>
      <c r="D663" s="8"/>
      <c r="E663" s="8"/>
      <c r="F663" s="8"/>
      <c r="G663" s="695"/>
      <c r="H663" s="695"/>
      <c r="I663" s="695"/>
      <c r="J663" s="695"/>
      <c r="K663" s="695"/>
      <c r="L663" s="695"/>
      <c r="M663" s="695"/>
      <c r="N663" s="695"/>
      <c r="O663" s="695"/>
      <c r="P663" s="695"/>
      <c r="Q663" s="695"/>
      <c r="R663" s="695"/>
      <c r="S663" s="695"/>
      <c r="T663" s="8"/>
      <c r="U663" s="8"/>
      <c r="V663" s="8"/>
      <c r="W663" s="8"/>
      <c r="X663" s="8"/>
      <c r="Y663" s="8"/>
      <c r="Z663" s="8"/>
      <c r="AA663" s="8"/>
      <c r="AB663" s="8"/>
    </row>
    <row r="664" ht="12.75" customHeight="1" spans="1:28" x14ac:dyDescent="0.25">
      <c r="A664" s="8"/>
      <c r="B664" s="8"/>
      <c r="C664" s="8"/>
      <c r="D664" s="8"/>
      <c r="E664" s="8"/>
      <c r="F664" s="8"/>
      <c r="G664" s="695"/>
      <c r="H664" s="695"/>
      <c r="I664" s="695"/>
      <c r="J664" s="695"/>
      <c r="K664" s="695"/>
      <c r="L664" s="695"/>
      <c r="M664" s="695"/>
      <c r="N664" s="695"/>
      <c r="O664" s="695"/>
      <c r="P664" s="695"/>
      <c r="Q664" s="695"/>
      <c r="R664" s="695"/>
      <c r="S664" s="695"/>
      <c r="T664" s="8"/>
      <c r="U664" s="8"/>
      <c r="V664" s="8"/>
      <c r="W664" s="8"/>
      <c r="X664" s="8"/>
      <c r="Y664" s="8"/>
      <c r="Z664" s="8"/>
      <c r="AA664" s="8"/>
      <c r="AB664" s="8"/>
    </row>
    <row r="665" ht="12.75" customHeight="1" spans="1:28" x14ac:dyDescent="0.25">
      <c r="A665" s="8"/>
      <c r="B665" s="8"/>
      <c r="C665" s="8"/>
      <c r="D665" s="8"/>
      <c r="E665" s="8"/>
      <c r="F665" s="8"/>
      <c r="G665" s="695"/>
      <c r="H665" s="695"/>
      <c r="I665" s="695"/>
      <c r="J665" s="695"/>
      <c r="K665" s="695"/>
      <c r="L665" s="695"/>
      <c r="M665" s="695"/>
      <c r="N665" s="695"/>
      <c r="O665" s="695"/>
      <c r="P665" s="695"/>
      <c r="Q665" s="695"/>
      <c r="R665" s="695"/>
      <c r="S665" s="695"/>
      <c r="T665" s="8"/>
      <c r="U665" s="8"/>
      <c r="V665" s="8"/>
      <c r="W665" s="8"/>
      <c r="X665" s="8"/>
      <c r="Y665" s="8"/>
      <c r="Z665" s="8"/>
      <c r="AA665" s="8"/>
      <c r="AB665" s="8"/>
    </row>
    <row r="666" ht="12.75" customHeight="1" spans="1:28" x14ac:dyDescent="0.25">
      <c r="A666" s="8"/>
      <c r="B666" s="8"/>
      <c r="C666" s="8"/>
      <c r="D666" s="8"/>
      <c r="E666" s="8"/>
      <c r="F666" s="8"/>
      <c r="G666" s="695"/>
      <c r="H666" s="695"/>
      <c r="I666" s="695"/>
      <c r="J666" s="695"/>
      <c r="K666" s="695"/>
      <c r="L666" s="695"/>
      <c r="M666" s="695"/>
      <c r="N666" s="695"/>
      <c r="O666" s="695"/>
      <c r="P666" s="695"/>
      <c r="Q666" s="695"/>
      <c r="R666" s="695"/>
      <c r="S666" s="695"/>
      <c r="T666" s="8"/>
      <c r="U666" s="8"/>
      <c r="V666" s="8"/>
      <c r="W666" s="8"/>
      <c r="X666" s="8"/>
      <c r="Y666" s="8"/>
      <c r="Z666" s="8"/>
      <c r="AA666" s="8"/>
      <c r="AB666" s="8"/>
    </row>
    <row r="667" ht="12.75" customHeight="1" spans="1:28" x14ac:dyDescent="0.25">
      <c r="A667" s="8"/>
      <c r="B667" s="8"/>
      <c r="C667" s="8"/>
      <c r="D667" s="8"/>
      <c r="E667" s="8"/>
      <c r="F667" s="8"/>
      <c r="G667" s="695"/>
      <c r="H667" s="695"/>
      <c r="I667" s="695"/>
      <c r="J667" s="695"/>
      <c r="K667" s="695"/>
      <c r="L667" s="695"/>
      <c r="M667" s="695"/>
      <c r="N667" s="695"/>
      <c r="O667" s="695"/>
      <c r="P667" s="695"/>
      <c r="Q667" s="695"/>
      <c r="R667" s="695"/>
      <c r="S667" s="695"/>
      <c r="T667" s="8"/>
      <c r="U667" s="8"/>
      <c r="V667" s="8"/>
      <c r="W667" s="8"/>
      <c r="X667" s="8"/>
      <c r="Y667" s="8"/>
      <c r="Z667" s="8"/>
      <c r="AA667" s="8"/>
      <c r="AB667" s="8"/>
    </row>
    <row r="668" ht="12.75" customHeight="1" spans="1:28" x14ac:dyDescent="0.25">
      <c r="A668" s="8"/>
      <c r="B668" s="8"/>
      <c r="C668" s="8"/>
      <c r="D668" s="8"/>
      <c r="E668" s="8"/>
      <c r="F668" s="8"/>
      <c r="G668" s="695"/>
      <c r="H668" s="695"/>
      <c r="I668" s="695"/>
      <c r="J668" s="695"/>
      <c r="K668" s="695"/>
      <c r="L668" s="695"/>
      <c r="M668" s="695"/>
      <c r="N668" s="695"/>
      <c r="O668" s="695"/>
      <c r="P668" s="695"/>
      <c r="Q668" s="695"/>
      <c r="R668" s="695"/>
      <c r="S668" s="695"/>
      <c r="T668" s="8"/>
      <c r="U668" s="8"/>
      <c r="V668" s="8"/>
      <c r="W668" s="8"/>
      <c r="X668" s="8"/>
      <c r="Y668" s="8"/>
      <c r="Z668" s="8"/>
      <c r="AA668" s="8"/>
      <c r="AB668" s="8"/>
    </row>
    <row r="669" ht="12.75" customHeight="1" spans="1:28" x14ac:dyDescent="0.25">
      <c r="A669" s="8"/>
      <c r="B669" s="8"/>
      <c r="C669" s="8"/>
      <c r="D669" s="8"/>
      <c r="E669" s="8"/>
      <c r="F669" s="8"/>
      <c r="G669" s="695"/>
      <c r="H669" s="695"/>
      <c r="I669" s="695"/>
      <c r="J669" s="695"/>
      <c r="K669" s="695"/>
      <c r="L669" s="695"/>
      <c r="M669" s="695"/>
      <c r="N669" s="695"/>
      <c r="O669" s="695"/>
      <c r="P669" s="695"/>
      <c r="Q669" s="695"/>
      <c r="R669" s="695"/>
      <c r="S669" s="695"/>
      <c r="T669" s="8"/>
      <c r="U669" s="8"/>
      <c r="V669" s="8"/>
      <c r="W669" s="8"/>
      <c r="X669" s="8"/>
      <c r="Y669" s="8"/>
      <c r="Z669" s="8"/>
      <c r="AA669" s="8"/>
      <c r="AB669" s="8"/>
    </row>
    <row r="670" ht="12.75" customHeight="1" spans="1:28" x14ac:dyDescent="0.25">
      <c r="A670" s="8"/>
      <c r="B670" s="8"/>
      <c r="C670" s="8"/>
      <c r="D670" s="8"/>
      <c r="E670" s="8"/>
      <c r="F670" s="8"/>
      <c r="G670" s="695"/>
      <c r="H670" s="695"/>
      <c r="I670" s="695"/>
      <c r="J670" s="695"/>
      <c r="K670" s="695"/>
      <c r="L670" s="695"/>
      <c r="M670" s="695"/>
      <c r="N670" s="695"/>
      <c r="O670" s="695"/>
      <c r="P670" s="695"/>
      <c r="Q670" s="695"/>
      <c r="R670" s="695"/>
      <c r="S670" s="695"/>
      <c r="T670" s="8"/>
      <c r="U670" s="8"/>
      <c r="V670" s="8"/>
      <c r="W670" s="8"/>
      <c r="X670" s="8"/>
      <c r="Y670" s="8"/>
      <c r="Z670" s="8"/>
      <c r="AA670" s="8"/>
      <c r="AB670" s="8"/>
    </row>
    <row r="671" ht="12.75" customHeight="1" spans="1:28" x14ac:dyDescent="0.25">
      <c r="A671" s="8"/>
      <c r="B671" s="8"/>
      <c r="C671" s="8"/>
      <c r="D671" s="8"/>
      <c r="E671" s="8"/>
      <c r="F671" s="8"/>
      <c r="G671" s="695"/>
      <c r="H671" s="695"/>
      <c r="I671" s="695"/>
      <c r="J671" s="695"/>
      <c r="K671" s="695"/>
      <c r="L671" s="695"/>
      <c r="M671" s="695"/>
      <c r="N671" s="695"/>
      <c r="O671" s="695"/>
      <c r="P671" s="695"/>
      <c r="Q671" s="695"/>
      <c r="R671" s="695"/>
      <c r="S671" s="695"/>
      <c r="T671" s="8"/>
      <c r="U671" s="8"/>
      <c r="V671" s="8"/>
      <c r="W671" s="8"/>
      <c r="X671" s="8"/>
      <c r="Y671" s="8"/>
      <c r="Z671" s="8"/>
      <c r="AA671" s="8"/>
      <c r="AB671" s="8"/>
    </row>
    <row r="672" ht="12.75" customHeight="1" spans="1:28" x14ac:dyDescent="0.25">
      <c r="A672" s="8"/>
      <c r="B672" s="8"/>
      <c r="C672" s="8"/>
      <c r="D672" s="8"/>
      <c r="E672" s="8"/>
      <c r="F672" s="8"/>
      <c r="G672" s="695"/>
      <c r="H672" s="695"/>
      <c r="I672" s="695"/>
      <c r="J672" s="695"/>
      <c r="K672" s="695"/>
      <c r="L672" s="695"/>
      <c r="M672" s="695"/>
      <c r="N672" s="695"/>
      <c r="O672" s="695"/>
      <c r="P672" s="695"/>
      <c r="Q672" s="695"/>
      <c r="R672" s="695"/>
      <c r="S672" s="695"/>
      <c r="T672" s="8"/>
      <c r="U672" s="8"/>
      <c r="V672" s="8"/>
      <c r="W672" s="8"/>
      <c r="X672" s="8"/>
      <c r="Y672" s="8"/>
      <c r="Z672" s="8"/>
      <c r="AA672" s="8"/>
      <c r="AB672" s="8"/>
    </row>
    <row r="673" ht="12.75" customHeight="1" spans="1:28" x14ac:dyDescent="0.25">
      <c r="A673" s="8"/>
      <c r="B673" s="8"/>
      <c r="C673" s="8"/>
      <c r="D673" s="8"/>
      <c r="E673" s="8"/>
      <c r="F673" s="8"/>
      <c r="G673" s="695"/>
      <c r="H673" s="695"/>
      <c r="I673" s="695"/>
      <c r="J673" s="695"/>
      <c r="K673" s="695"/>
      <c r="L673" s="695"/>
      <c r="M673" s="695"/>
      <c r="N673" s="695"/>
      <c r="O673" s="695"/>
      <c r="P673" s="695"/>
      <c r="Q673" s="695"/>
      <c r="R673" s="695"/>
      <c r="S673" s="695"/>
      <c r="T673" s="8"/>
      <c r="U673" s="8"/>
      <c r="V673" s="8"/>
      <c r="W673" s="8"/>
      <c r="X673" s="8"/>
      <c r="Y673" s="8"/>
      <c r="Z673" s="8"/>
      <c r="AA673" s="8"/>
      <c r="AB673" s="8"/>
    </row>
    <row r="674" ht="12.75" customHeight="1" spans="1:28" x14ac:dyDescent="0.25">
      <c r="A674" s="8"/>
      <c r="B674" s="8"/>
      <c r="C674" s="8"/>
      <c r="D674" s="8"/>
      <c r="E674" s="8"/>
      <c r="F674" s="8"/>
      <c r="G674" s="695"/>
      <c r="H674" s="695"/>
      <c r="I674" s="695"/>
      <c r="J674" s="695"/>
      <c r="K674" s="695"/>
      <c r="L674" s="695"/>
      <c r="M674" s="695"/>
      <c r="N674" s="695"/>
      <c r="O674" s="695"/>
      <c r="P674" s="695"/>
      <c r="Q674" s="695"/>
      <c r="R674" s="695"/>
      <c r="S674" s="695"/>
      <c r="T674" s="8"/>
      <c r="U674" s="8"/>
      <c r="V674" s="8"/>
      <c r="W674" s="8"/>
      <c r="X674" s="8"/>
      <c r="Y674" s="8"/>
      <c r="Z674" s="8"/>
      <c r="AA674" s="8"/>
      <c r="AB674" s="8"/>
    </row>
    <row r="675" ht="12.75" customHeight="1" spans="1:28" x14ac:dyDescent="0.25">
      <c r="A675" s="8"/>
      <c r="B675" s="8"/>
      <c r="C675" s="8"/>
      <c r="D675" s="8"/>
      <c r="E675" s="8"/>
      <c r="F675" s="8"/>
      <c r="G675" s="695"/>
      <c r="H675" s="695"/>
      <c r="I675" s="695"/>
      <c r="J675" s="695"/>
      <c r="K675" s="695"/>
      <c r="L675" s="695"/>
      <c r="M675" s="695"/>
      <c r="N675" s="695"/>
      <c r="O675" s="695"/>
      <c r="P675" s="695"/>
      <c r="Q675" s="695"/>
      <c r="R675" s="695"/>
      <c r="S675" s="695"/>
      <c r="T675" s="8"/>
      <c r="U675" s="8"/>
      <c r="V675" s="8"/>
      <c r="W675" s="8"/>
      <c r="X675" s="8"/>
      <c r="Y675" s="8"/>
      <c r="Z675" s="8"/>
      <c r="AA675" s="8"/>
      <c r="AB675" s="8"/>
    </row>
    <row r="676" ht="12.75" customHeight="1" spans="1:28" x14ac:dyDescent="0.25">
      <c r="A676" s="8"/>
      <c r="B676" s="8"/>
      <c r="C676" s="8"/>
      <c r="D676" s="8"/>
      <c r="E676" s="8"/>
      <c r="F676" s="8"/>
      <c r="G676" s="695"/>
      <c r="H676" s="695"/>
      <c r="I676" s="695"/>
      <c r="J676" s="695"/>
      <c r="K676" s="695"/>
      <c r="L676" s="695"/>
      <c r="M676" s="695"/>
      <c r="N676" s="695"/>
      <c r="O676" s="695"/>
      <c r="P676" s="695"/>
      <c r="Q676" s="695"/>
      <c r="R676" s="695"/>
      <c r="S676" s="695"/>
      <c r="T676" s="8"/>
      <c r="U676" s="8"/>
      <c r="V676" s="8"/>
      <c r="W676" s="8"/>
      <c r="X676" s="8"/>
      <c r="Y676" s="8"/>
      <c r="Z676" s="8"/>
      <c r="AA676" s="8"/>
      <c r="AB676" s="8"/>
    </row>
    <row r="677" ht="12.75" customHeight="1" spans="1:28" x14ac:dyDescent="0.25">
      <c r="A677" s="8"/>
      <c r="B677" s="8"/>
      <c r="C677" s="8"/>
      <c r="D677" s="8"/>
      <c r="E677" s="8"/>
      <c r="F677" s="8"/>
      <c r="G677" s="695"/>
      <c r="H677" s="695"/>
      <c r="I677" s="695"/>
      <c r="J677" s="695"/>
      <c r="K677" s="695"/>
      <c r="L677" s="695"/>
      <c r="M677" s="695"/>
      <c r="N677" s="695"/>
      <c r="O677" s="695"/>
      <c r="P677" s="695"/>
      <c r="Q677" s="695"/>
      <c r="R677" s="695"/>
      <c r="S677" s="695"/>
      <c r="T677" s="8"/>
      <c r="U677" s="8"/>
      <c r="V677" s="8"/>
      <c r="W677" s="8"/>
      <c r="X677" s="8"/>
      <c r="Y677" s="8"/>
      <c r="Z677" s="8"/>
      <c r="AA677" s="8"/>
      <c r="AB677" s="8"/>
    </row>
    <row r="678" ht="12.75" customHeight="1" spans="1:28" x14ac:dyDescent="0.25">
      <c r="A678" s="8"/>
      <c r="B678" s="8"/>
      <c r="C678" s="8"/>
      <c r="D678" s="8"/>
      <c r="E678" s="8"/>
      <c r="F678" s="8"/>
      <c r="G678" s="695"/>
      <c r="H678" s="695"/>
      <c r="I678" s="695"/>
      <c r="J678" s="695"/>
      <c r="K678" s="695"/>
      <c r="L678" s="695"/>
      <c r="M678" s="695"/>
      <c r="N678" s="695"/>
      <c r="O678" s="695"/>
      <c r="P678" s="695"/>
      <c r="Q678" s="695"/>
      <c r="R678" s="695"/>
      <c r="S678" s="695"/>
      <c r="T678" s="8"/>
      <c r="U678" s="8"/>
      <c r="V678" s="8"/>
      <c r="W678" s="8"/>
      <c r="X678" s="8"/>
      <c r="Y678" s="8"/>
      <c r="Z678" s="8"/>
      <c r="AA678" s="8"/>
      <c r="AB678" s="8"/>
    </row>
    <row r="679" ht="12.75" customHeight="1" spans="1:28" x14ac:dyDescent="0.25">
      <c r="A679" s="8"/>
      <c r="B679" s="8"/>
      <c r="C679" s="8"/>
      <c r="D679" s="8"/>
      <c r="E679" s="8"/>
      <c r="F679" s="8"/>
      <c r="G679" s="695"/>
      <c r="H679" s="695"/>
      <c r="I679" s="695"/>
      <c r="J679" s="695"/>
      <c r="K679" s="695"/>
      <c r="L679" s="695"/>
      <c r="M679" s="695"/>
      <c r="N679" s="695"/>
      <c r="O679" s="695"/>
      <c r="P679" s="695"/>
      <c r="Q679" s="695"/>
      <c r="R679" s="695"/>
      <c r="S679" s="695"/>
      <c r="T679" s="8"/>
      <c r="U679" s="8"/>
      <c r="V679" s="8"/>
      <c r="W679" s="8"/>
      <c r="X679" s="8"/>
      <c r="Y679" s="8"/>
      <c r="Z679" s="8"/>
      <c r="AA679" s="8"/>
      <c r="AB679" s="8"/>
    </row>
    <row r="680" ht="12.75" customHeight="1" spans="1:28" x14ac:dyDescent="0.25">
      <c r="A680" s="8"/>
      <c r="B680" s="8"/>
      <c r="C680" s="8"/>
      <c r="D680" s="8"/>
      <c r="E680" s="8"/>
      <c r="F680" s="8"/>
      <c r="G680" s="695"/>
      <c r="H680" s="695"/>
      <c r="I680" s="695"/>
      <c r="J680" s="695"/>
      <c r="K680" s="695"/>
      <c r="L680" s="695"/>
      <c r="M680" s="695"/>
      <c r="N680" s="695"/>
      <c r="O680" s="695"/>
      <c r="P680" s="695"/>
      <c r="Q680" s="695"/>
      <c r="R680" s="695"/>
      <c r="S680" s="695"/>
      <c r="T680" s="8"/>
      <c r="U680" s="8"/>
      <c r="V680" s="8"/>
      <c r="W680" s="8"/>
      <c r="X680" s="8"/>
      <c r="Y680" s="8"/>
      <c r="Z680" s="8"/>
      <c r="AA680" s="8"/>
      <c r="AB680" s="8"/>
    </row>
    <row r="681" ht="12.75" customHeight="1" spans="1:28" x14ac:dyDescent="0.25">
      <c r="A681" s="8"/>
      <c r="B681" s="8"/>
      <c r="C681" s="8"/>
      <c r="D681" s="8"/>
      <c r="E681" s="8"/>
      <c r="F681" s="8"/>
      <c r="G681" s="695"/>
      <c r="H681" s="695"/>
      <c r="I681" s="695"/>
      <c r="J681" s="695"/>
      <c r="K681" s="695"/>
      <c r="L681" s="695"/>
      <c r="M681" s="695"/>
      <c r="N681" s="695"/>
      <c r="O681" s="695"/>
      <c r="P681" s="695"/>
      <c r="Q681" s="695"/>
      <c r="R681" s="695"/>
      <c r="S681" s="695"/>
      <c r="T681" s="8"/>
      <c r="U681" s="8"/>
      <c r="V681" s="8"/>
      <c r="W681" s="8"/>
      <c r="X681" s="8"/>
      <c r="Y681" s="8"/>
      <c r="Z681" s="8"/>
      <c r="AA681" s="8"/>
      <c r="AB681" s="8"/>
    </row>
    <row r="682" ht="12.75" customHeight="1" spans="1:28" x14ac:dyDescent="0.25">
      <c r="A682" s="8"/>
      <c r="B682" s="8"/>
      <c r="C682" s="8"/>
      <c r="D682" s="8"/>
      <c r="E682" s="8"/>
      <c r="F682" s="8"/>
      <c r="G682" s="695"/>
      <c r="H682" s="695"/>
      <c r="I682" s="695"/>
      <c r="J682" s="695"/>
      <c r="K682" s="695"/>
      <c r="L682" s="695"/>
      <c r="M682" s="695"/>
      <c r="N682" s="695"/>
      <c r="O682" s="695"/>
      <c r="P682" s="695"/>
      <c r="Q682" s="695"/>
      <c r="R682" s="695"/>
      <c r="S682" s="695"/>
      <c r="T682" s="8"/>
      <c r="U682" s="8"/>
      <c r="V682" s="8"/>
      <c r="W682" s="8"/>
      <c r="X682" s="8"/>
      <c r="Y682" s="8"/>
      <c r="Z682" s="8"/>
      <c r="AA682" s="8"/>
      <c r="AB682" s="8"/>
    </row>
    <row r="683" ht="12.75" customHeight="1" spans="1:28" x14ac:dyDescent="0.25">
      <c r="A683" s="8"/>
      <c r="B683" s="8"/>
      <c r="C683" s="8"/>
      <c r="D683" s="8"/>
      <c r="E683" s="8"/>
      <c r="F683" s="8"/>
      <c r="G683" s="695"/>
      <c r="H683" s="695"/>
      <c r="I683" s="695"/>
      <c r="J683" s="695"/>
      <c r="K683" s="695"/>
      <c r="L683" s="695"/>
      <c r="M683" s="695"/>
      <c r="N683" s="695"/>
      <c r="O683" s="695"/>
      <c r="P683" s="695"/>
      <c r="Q683" s="695"/>
      <c r="R683" s="695"/>
      <c r="S683" s="695"/>
      <c r="T683" s="8"/>
      <c r="U683" s="8"/>
      <c r="V683" s="8"/>
      <c r="W683" s="8"/>
      <c r="X683" s="8"/>
      <c r="Y683" s="8"/>
      <c r="Z683" s="8"/>
      <c r="AA683" s="8"/>
      <c r="AB683" s="8"/>
    </row>
    <row r="684" ht="12.75" customHeight="1" spans="1:28" x14ac:dyDescent="0.25">
      <c r="A684" s="8"/>
      <c r="B684" s="8"/>
      <c r="C684" s="8"/>
      <c r="D684" s="8"/>
      <c r="E684" s="8"/>
      <c r="F684" s="8"/>
      <c r="G684" s="695"/>
      <c r="H684" s="695"/>
      <c r="I684" s="695"/>
      <c r="J684" s="695"/>
      <c r="K684" s="695"/>
      <c r="L684" s="695"/>
      <c r="M684" s="695"/>
      <c r="N684" s="695"/>
      <c r="O684" s="695"/>
      <c r="P684" s="695"/>
      <c r="Q684" s="695"/>
      <c r="R684" s="695"/>
      <c r="S684" s="695"/>
      <c r="T684" s="8"/>
      <c r="U684" s="8"/>
      <c r="V684" s="8"/>
      <c r="W684" s="8"/>
      <c r="X684" s="8"/>
      <c r="Y684" s="8"/>
      <c r="Z684" s="8"/>
      <c r="AA684" s="8"/>
      <c r="AB684" s="8"/>
    </row>
    <row r="685" ht="12.75" customHeight="1" spans="1:28" x14ac:dyDescent="0.25">
      <c r="A685" s="8"/>
      <c r="B685" s="8"/>
      <c r="C685" s="8"/>
      <c r="D685" s="8"/>
      <c r="E685" s="8"/>
      <c r="F685" s="8"/>
      <c r="G685" s="695"/>
      <c r="H685" s="695"/>
      <c r="I685" s="695"/>
      <c r="J685" s="695"/>
      <c r="K685" s="695"/>
      <c r="L685" s="695"/>
      <c r="M685" s="695"/>
      <c r="N685" s="695"/>
      <c r="O685" s="695"/>
      <c r="P685" s="695"/>
      <c r="Q685" s="695"/>
      <c r="R685" s="695"/>
      <c r="S685" s="695"/>
      <c r="T685" s="8"/>
      <c r="U685" s="8"/>
      <c r="V685" s="8"/>
      <c r="W685" s="8"/>
      <c r="X685" s="8"/>
      <c r="Y685" s="8"/>
      <c r="Z685" s="8"/>
      <c r="AA685" s="8"/>
      <c r="AB685" s="8"/>
    </row>
    <row r="686" ht="12.75" customHeight="1" spans="1:28" x14ac:dyDescent="0.25">
      <c r="A686" s="8"/>
      <c r="B686" s="8"/>
      <c r="C686" s="8"/>
      <c r="D686" s="8"/>
      <c r="E686" s="8"/>
      <c r="F686" s="8"/>
      <c r="G686" s="695"/>
      <c r="H686" s="695"/>
      <c r="I686" s="695"/>
      <c r="J686" s="695"/>
      <c r="K686" s="695"/>
      <c r="L686" s="695"/>
      <c r="M686" s="695"/>
      <c r="N686" s="695"/>
      <c r="O686" s="695"/>
      <c r="P686" s="695"/>
      <c r="Q686" s="695"/>
      <c r="R686" s="695"/>
      <c r="S686" s="695"/>
      <c r="T686" s="8"/>
      <c r="U686" s="8"/>
      <c r="V686" s="8"/>
      <c r="W686" s="8"/>
      <c r="X686" s="8"/>
      <c r="Y686" s="8"/>
      <c r="Z686" s="8"/>
      <c r="AA686" s="8"/>
      <c r="AB686" s="8"/>
    </row>
    <row r="687" ht="12.75" customHeight="1" spans="1:28" x14ac:dyDescent="0.25">
      <c r="A687" s="8"/>
      <c r="B687" s="8"/>
      <c r="C687" s="8"/>
      <c r="D687" s="8"/>
      <c r="E687" s="8"/>
      <c r="F687" s="8"/>
      <c r="G687" s="695"/>
      <c r="H687" s="695"/>
      <c r="I687" s="695"/>
      <c r="J687" s="695"/>
      <c r="K687" s="695"/>
      <c r="L687" s="695"/>
      <c r="M687" s="695"/>
      <c r="N687" s="695"/>
      <c r="O687" s="695"/>
      <c r="P687" s="695"/>
      <c r="Q687" s="695"/>
      <c r="R687" s="695"/>
      <c r="S687" s="695"/>
      <c r="T687" s="8"/>
      <c r="U687" s="8"/>
      <c r="V687" s="8"/>
      <c r="W687" s="8"/>
      <c r="X687" s="8"/>
      <c r="Y687" s="8"/>
      <c r="Z687" s="8"/>
      <c r="AA687" s="8"/>
      <c r="AB687" s="8"/>
    </row>
    <row r="688" ht="12.75" customHeight="1" spans="1:28" x14ac:dyDescent="0.25">
      <c r="A688" s="8"/>
      <c r="B688" s="8"/>
      <c r="C688" s="8"/>
      <c r="D688" s="8"/>
      <c r="E688" s="8"/>
      <c r="F688" s="8"/>
      <c r="G688" s="695"/>
      <c r="H688" s="695"/>
      <c r="I688" s="695"/>
      <c r="J688" s="695"/>
      <c r="K688" s="695"/>
      <c r="L688" s="695"/>
      <c r="M688" s="695"/>
      <c r="N688" s="695"/>
      <c r="O688" s="695"/>
      <c r="P688" s="695"/>
      <c r="Q688" s="695"/>
      <c r="R688" s="695"/>
      <c r="S688" s="695"/>
      <c r="T688" s="8"/>
      <c r="U688" s="8"/>
      <c r="V688" s="8"/>
      <c r="W688" s="8"/>
      <c r="X688" s="8"/>
      <c r="Y688" s="8"/>
      <c r="Z688" s="8"/>
      <c r="AA688" s="8"/>
      <c r="AB688" s="8"/>
    </row>
    <row r="689" ht="12.75" customHeight="1" spans="1:28" x14ac:dyDescent="0.25">
      <c r="A689" s="8"/>
      <c r="B689" s="8"/>
      <c r="C689" s="8"/>
      <c r="D689" s="8"/>
      <c r="E689" s="8"/>
      <c r="F689" s="8"/>
      <c r="G689" s="695"/>
      <c r="H689" s="695"/>
      <c r="I689" s="695"/>
      <c r="J689" s="695"/>
      <c r="K689" s="695"/>
      <c r="L689" s="695"/>
      <c r="M689" s="695"/>
      <c r="N689" s="695"/>
      <c r="O689" s="695"/>
      <c r="P689" s="695"/>
      <c r="Q689" s="695"/>
      <c r="R689" s="695"/>
      <c r="S689" s="695"/>
      <c r="T689" s="8"/>
      <c r="U689" s="8"/>
      <c r="V689" s="8"/>
      <c r="W689" s="8"/>
      <c r="X689" s="8"/>
      <c r="Y689" s="8"/>
      <c r="Z689" s="8"/>
      <c r="AA689" s="8"/>
      <c r="AB689" s="8"/>
    </row>
    <row r="690" ht="12.75" customHeight="1" spans="1:28" x14ac:dyDescent="0.25">
      <c r="A690" s="8"/>
      <c r="B690" s="8"/>
      <c r="C690" s="8"/>
      <c r="D690" s="8"/>
      <c r="E690" s="8"/>
      <c r="F690" s="8"/>
      <c r="G690" s="695"/>
      <c r="H690" s="695"/>
      <c r="I690" s="695"/>
      <c r="J690" s="695"/>
      <c r="K690" s="695"/>
      <c r="L690" s="695"/>
      <c r="M690" s="695"/>
      <c r="N690" s="695"/>
      <c r="O690" s="695"/>
      <c r="P690" s="695"/>
      <c r="Q690" s="695"/>
      <c r="R690" s="695"/>
      <c r="S690" s="695"/>
      <c r="T690" s="8"/>
      <c r="U690" s="8"/>
      <c r="V690" s="8"/>
      <c r="W690" s="8"/>
      <c r="X690" s="8"/>
      <c r="Y690" s="8"/>
      <c r="Z690" s="8"/>
      <c r="AA690" s="8"/>
      <c r="AB690" s="8"/>
    </row>
    <row r="691" ht="12.75" customHeight="1" spans="1:28" x14ac:dyDescent="0.25">
      <c r="A691" s="8"/>
      <c r="B691" s="8"/>
      <c r="C691" s="8"/>
      <c r="D691" s="8"/>
      <c r="E691" s="8"/>
      <c r="F691" s="8"/>
      <c r="G691" s="695"/>
      <c r="H691" s="695"/>
      <c r="I691" s="695"/>
      <c r="J691" s="695"/>
      <c r="K691" s="695"/>
      <c r="L691" s="695"/>
      <c r="M691" s="695"/>
      <c r="N691" s="695"/>
      <c r="O691" s="695"/>
      <c r="P691" s="695"/>
      <c r="Q691" s="695"/>
      <c r="R691" s="695"/>
      <c r="S691" s="695"/>
      <c r="T691" s="8"/>
      <c r="U691" s="8"/>
      <c r="V691" s="8"/>
      <c r="W691" s="8"/>
      <c r="X691" s="8"/>
      <c r="Y691" s="8"/>
      <c r="Z691" s="8"/>
      <c r="AA691" s="8"/>
      <c r="AB691" s="8"/>
    </row>
    <row r="692" ht="12.75" customHeight="1" spans="1:28" x14ac:dyDescent="0.25">
      <c r="A692" s="8"/>
      <c r="B692" s="8"/>
      <c r="C692" s="8"/>
      <c r="D692" s="8"/>
      <c r="E692" s="8"/>
      <c r="F692" s="8"/>
      <c r="G692" s="695"/>
      <c r="H692" s="695"/>
      <c r="I692" s="695"/>
      <c r="J692" s="695"/>
      <c r="K692" s="695"/>
      <c r="L692" s="695"/>
      <c r="M692" s="695"/>
      <c r="N692" s="695"/>
      <c r="O692" s="695"/>
      <c r="P692" s="695"/>
      <c r="Q692" s="695"/>
      <c r="R692" s="695"/>
      <c r="S692" s="695"/>
      <c r="T692" s="8"/>
      <c r="U692" s="8"/>
      <c r="V692" s="8"/>
      <c r="W692" s="8"/>
      <c r="X692" s="8"/>
      <c r="Y692" s="8"/>
      <c r="Z692" s="8"/>
      <c r="AA692" s="8"/>
      <c r="AB692" s="8"/>
    </row>
    <row r="693" ht="12.75" customHeight="1" spans="1:28" x14ac:dyDescent="0.25">
      <c r="A693" s="8"/>
      <c r="B693" s="8"/>
      <c r="C693" s="8"/>
      <c r="D693" s="8"/>
      <c r="E693" s="8"/>
      <c r="F693" s="8"/>
      <c r="G693" s="695"/>
      <c r="H693" s="695"/>
      <c r="I693" s="695"/>
      <c r="J693" s="695"/>
      <c r="K693" s="695"/>
      <c r="L693" s="695"/>
      <c r="M693" s="695"/>
      <c r="N693" s="695"/>
      <c r="O693" s="695"/>
      <c r="P693" s="695"/>
      <c r="Q693" s="695"/>
      <c r="R693" s="695"/>
      <c r="S693" s="695"/>
      <c r="T693" s="8"/>
      <c r="U693" s="8"/>
      <c r="V693" s="8"/>
      <c r="W693" s="8"/>
      <c r="X693" s="8"/>
      <c r="Y693" s="8"/>
      <c r="Z693" s="8"/>
      <c r="AA693" s="8"/>
      <c r="AB693" s="8"/>
    </row>
    <row r="694" ht="12.75" customHeight="1" spans="1:28" x14ac:dyDescent="0.25">
      <c r="A694" s="8"/>
      <c r="B694" s="8"/>
      <c r="C694" s="8"/>
      <c r="D694" s="8"/>
      <c r="E694" s="8"/>
      <c r="F694" s="8"/>
      <c r="G694" s="695"/>
      <c r="H694" s="695"/>
      <c r="I694" s="695"/>
      <c r="J694" s="695"/>
      <c r="K694" s="695"/>
      <c r="L694" s="695"/>
      <c r="M694" s="695"/>
      <c r="N694" s="695"/>
      <c r="O694" s="695"/>
      <c r="P694" s="695"/>
      <c r="Q694" s="695"/>
      <c r="R694" s="695"/>
      <c r="S694" s="695"/>
      <c r="T694" s="8"/>
      <c r="U694" s="8"/>
      <c r="V694" s="8"/>
      <c r="W694" s="8"/>
      <c r="X694" s="8"/>
      <c r="Y694" s="8"/>
      <c r="Z694" s="8"/>
      <c r="AA694" s="8"/>
      <c r="AB694" s="8"/>
    </row>
    <row r="695" ht="12.75" customHeight="1" spans="1:28" x14ac:dyDescent="0.25">
      <c r="A695" s="8"/>
      <c r="B695" s="8"/>
      <c r="C695" s="8"/>
      <c r="D695" s="8"/>
      <c r="E695" s="8"/>
      <c r="F695" s="8"/>
      <c r="G695" s="695"/>
      <c r="H695" s="695"/>
      <c r="I695" s="695"/>
      <c r="J695" s="695"/>
      <c r="K695" s="695"/>
      <c r="L695" s="695"/>
      <c r="M695" s="695"/>
      <c r="N695" s="695"/>
      <c r="O695" s="695"/>
      <c r="P695" s="695"/>
      <c r="Q695" s="695"/>
      <c r="R695" s="695"/>
      <c r="S695" s="695"/>
      <c r="T695" s="8"/>
      <c r="U695" s="8"/>
      <c r="V695" s="8"/>
      <c r="W695" s="8"/>
      <c r="X695" s="8"/>
      <c r="Y695" s="8"/>
      <c r="Z695" s="8"/>
      <c r="AA695" s="8"/>
      <c r="AB695" s="8"/>
    </row>
    <row r="696" ht="12.75" customHeight="1" spans="1:28" x14ac:dyDescent="0.25">
      <c r="A696" s="8"/>
      <c r="B696" s="8"/>
      <c r="C696" s="8"/>
      <c r="D696" s="8"/>
      <c r="E696" s="8"/>
      <c r="F696" s="8"/>
      <c r="G696" s="695"/>
      <c r="H696" s="695"/>
      <c r="I696" s="695"/>
      <c r="J696" s="695"/>
      <c r="K696" s="695"/>
      <c r="L696" s="695"/>
      <c r="M696" s="695"/>
      <c r="N696" s="695"/>
      <c r="O696" s="695"/>
      <c r="P696" s="695"/>
      <c r="Q696" s="695"/>
      <c r="R696" s="695"/>
      <c r="S696" s="695"/>
      <c r="T696" s="8"/>
      <c r="U696" s="8"/>
      <c r="V696" s="8"/>
      <c r="W696" s="8"/>
      <c r="X696" s="8"/>
      <c r="Y696" s="8"/>
      <c r="Z696" s="8"/>
      <c r="AA696" s="8"/>
      <c r="AB696" s="8"/>
    </row>
    <row r="697" ht="12.75" customHeight="1" spans="1:28" x14ac:dyDescent="0.25">
      <c r="A697" s="8"/>
      <c r="B697" s="8"/>
      <c r="C697" s="8"/>
      <c r="D697" s="8"/>
      <c r="E697" s="8"/>
      <c r="F697" s="8"/>
      <c r="G697" s="695"/>
      <c r="H697" s="695"/>
      <c r="I697" s="695"/>
      <c r="J697" s="695"/>
      <c r="K697" s="695"/>
      <c r="L697" s="695"/>
      <c r="M697" s="695"/>
      <c r="N697" s="695"/>
      <c r="O697" s="695"/>
      <c r="P697" s="695"/>
      <c r="Q697" s="695"/>
      <c r="R697" s="695"/>
      <c r="S697" s="695"/>
      <c r="T697" s="8"/>
      <c r="U697" s="8"/>
      <c r="V697" s="8"/>
      <c r="W697" s="8"/>
      <c r="X697" s="8"/>
      <c r="Y697" s="8"/>
      <c r="Z697" s="8"/>
      <c r="AA697" s="8"/>
      <c r="AB697" s="8"/>
    </row>
    <row r="698" ht="12.75" customHeight="1" spans="1:28" x14ac:dyDescent="0.25">
      <c r="A698" s="8"/>
      <c r="B698" s="8"/>
      <c r="C698" s="8"/>
      <c r="D698" s="8"/>
      <c r="E698" s="8"/>
      <c r="F698" s="8"/>
      <c r="G698" s="695"/>
      <c r="H698" s="695"/>
      <c r="I698" s="695"/>
      <c r="J698" s="695"/>
      <c r="K698" s="695"/>
      <c r="L698" s="695"/>
      <c r="M698" s="695"/>
      <c r="N698" s="695"/>
      <c r="O698" s="695"/>
      <c r="P698" s="695"/>
      <c r="Q698" s="695"/>
      <c r="R698" s="695"/>
      <c r="S698" s="695"/>
      <c r="T698" s="8"/>
      <c r="U698" s="8"/>
      <c r="V698" s="8"/>
      <c r="W698" s="8"/>
      <c r="X698" s="8"/>
      <c r="Y698" s="8"/>
      <c r="Z698" s="8"/>
      <c r="AA698" s="8"/>
      <c r="AB698" s="8"/>
    </row>
    <row r="699" ht="12.75" customHeight="1" spans="1:28" x14ac:dyDescent="0.25">
      <c r="A699" s="8"/>
      <c r="B699" s="8"/>
      <c r="C699" s="8"/>
      <c r="D699" s="8"/>
      <c r="E699" s="8"/>
      <c r="F699" s="8"/>
      <c r="G699" s="695"/>
      <c r="H699" s="695"/>
      <c r="I699" s="695"/>
      <c r="J699" s="695"/>
      <c r="K699" s="695"/>
      <c r="L699" s="695"/>
      <c r="M699" s="695"/>
      <c r="N699" s="695"/>
      <c r="O699" s="695"/>
      <c r="P699" s="695"/>
      <c r="Q699" s="695"/>
      <c r="R699" s="695"/>
      <c r="S699" s="695"/>
      <c r="T699" s="8"/>
      <c r="U699" s="8"/>
      <c r="V699" s="8"/>
      <c r="W699" s="8"/>
      <c r="X699" s="8"/>
      <c r="Y699" s="8"/>
      <c r="Z699" s="8"/>
      <c r="AA699" s="8"/>
      <c r="AB699" s="8"/>
    </row>
    <row r="700" ht="12.75" customHeight="1" spans="1:28" x14ac:dyDescent="0.25">
      <c r="A700" s="8"/>
      <c r="B700" s="8"/>
      <c r="C700" s="8"/>
      <c r="D700" s="8"/>
      <c r="E700" s="8"/>
      <c r="F700" s="8"/>
      <c r="G700" s="695"/>
      <c r="H700" s="695"/>
      <c r="I700" s="695"/>
      <c r="J700" s="695"/>
      <c r="K700" s="695"/>
      <c r="L700" s="695"/>
      <c r="M700" s="695"/>
      <c r="N700" s="695"/>
      <c r="O700" s="695"/>
      <c r="P700" s="695"/>
      <c r="Q700" s="695"/>
      <c r="R700" s="695"/>
      <c r="S700" s="695"/>
      <c r="T700" s="8"/>
      <c r="U700" s="8"/>
      <c r="V700" s="8"/>
      <c r="W700" s="8"/>
      <c r="X700" s="8"/>
      <c r="Y700" s="8"/>
      <c r="Z700" s="8"/>
      <c r="AA700" s="8"/>
      <c r="AB700" s="8"/>
    </row>
    <row r="701" ht="12.75" customHeight="1" spans="1:28" x14ac:dyDescent="0.25">
      <c r="A701" s="8"/>
      <c r="B701" s="8"/>
      <c r="C701" s="8"/>
      <c r="D701" s="8"/>
      <c r="E701" s="8"/>
      <c r="F701" s="8"/>
      <c r="G701" s="695"/>
      <c r="H701" s="695"/>
      <c r="I701" s="695"/>
      <c r="J701" s="695"/>
      <c r="K701" s="695"/>
      <c r="L701" s="695"/>
      <c r="M701" s="695"/>
      <c r="N701" s="695"/>
      <c r="O701" s="695"/>
      <c r="P701" s="695"/>
      <c r="Q701" s="695"/>
      <c r="R701" s="695"/>
      <c r="S701" s="695"/>
      <c r="T701" s="8"/>
      <c r="U701" s="8"/>
      <c r="V701" s="8"/>
      <c r="W701" s="8"/>
      <c r="X701" s="8"/>
      <c r="Y701" s="8"/>
      <c r="Z701" s="8"/>
      <c r="AA701" s="8"/>
      <c r="AB701" s="8"/>
    </row>
    <row r="702" ht="12.75" customHeight="1" spans="1:28" x14ac:dyDescent="0.25">
      <c r="A702" s="8"/>
      <c r="B702" s="8"/>
      <c r="C702" s="8"/>
      <c r="D702" s="8"/>
      <c r="E702" s="8"/>
      <c r="F702" s="8"/>
      <c r="G702" s="695"/>
      <c r="H702" s="695"/>
      <c r="I702" s="695"/>
      <c r="J702" s="695"/>
      <c r="K702" s="695"/>
      <c r="L702" s="695"/>
      <c r="M702" s="695"/>
      <c r="N702" s="695"/>
      <c r="O702" s="695"/>
      <c r="P702" s="695"/>
      <c r="Q702" s="695"/>
      <c r="R702" s="695"/>
      <c r="S702" s="695"/>
      <c r="T702" s="8"/>
      <c r="U702" s="8"/>
      <c r="V702" s="8"/>
      <c r="W702" s="8"/>
      <c r="X702" s="8"/>
      <c r="Y702" s="8"/>
      <c r="Z702" s="8"/>
      <c r="AA702" s="8"/>
      <c r="AB702" s="8"/>
    </row>
    <row r="703" ht="12.75" customHeight="1" spans="1:28" x14ac:dyDescent="0.25">
      <c r="A703" s="8"/>
      <c r="B703" s="8"/>
      <c r="C703" s="8"/>
      <c r="D703" s="8"/>
      <c r="E703" s="8"/>
      <c r="F703" s="8"/>
      <c r="G703" s="695"/>
      <c r="H703" s="695"/>
      <c r="I703" s="695"/>
      <c r="J703" s="695"/>
      <c r="K703" s="695"/>
      <c r="L703" s="695"/>
      <c r="M703" s="695"/>
      <c r="N703" s="695"/>
      <c r="O703" s="695"/>
      <c r="P703" s="695"/>
      <c r="Q703" s="695"/>
      <c r="R703" s="695"/>
      <c r="S703" s="695"/>
      <c r="T703" s="8"/>
      <c r="U703" s="8"/>
      <c r="V703" s="8"/>
      <c r="W703" s="8"/>
      <c r="X703" s="8"/>
      <c r="Y703" s="8"/>
      <c r="Z703" s="8"/>
      <c r="AA703" s="8"/>
      <c r="AB703" s="8"/>
    </row>
    <row r="704" ht="12.75" customHeight="1" spans="1:28" x14ac:dyDescent="0.25">
      <c r="A704" s="8"/>
      <c r="B704" s="8"/>
      <c r="C704" s="8"/>
      <c r="D704" s="8"/>
      <c r="E704" s="8"/>
      <c r="F704" s="8"/>
      <c r="G704" s="695"/>
      <c r="H704" s="695"/>
      <c r="I704" s="695"/>
      <c r="J704" s="695"/>
      <c r="K704" s="695"/>
      <c r="L704" s="695"/>
      <c r="M704" s="695"/>
      <c r="N704" s="695"/>
      <c r="O704" s="695"/>
      <c r="P704" s="695"/>
      <c r="Q704" s="695"/>
      <c r="R704" s="695"/>
      <c r="S704" s="695"/>
      <c r="T704" s="8"/>
      <c r="U704" s="8"/>
      <c r="V704" s="8"/>
      <c r="W704" s="8"/>
      <c r="X704" s="8"/>
      <c r="Y704" s="8"/>
      <c r="Z704" s="8"/>
      <c r="AA704" s="8"/>
      <c r="AB704" s="8"/>
    </row>
    <row r="705" ht="12.75" customHeight="1" spans="1:28" x14ac:dyDescent="0.25">
      <c r="A705" s="8"/>
      <c r="B705" s="8"/>
      <c r="C705" s="8"/>
      <c r="D705" s="8"/>
      <c r="E705" s="8"/>
      <c r="F705" s="8"/>
      <c r="G705" s="695"/>
      <c r="H705" s="695"/>
      <c r="I705" s="695"/>
      <c r="J705" s="695"/>
      <c r="K705" s="695"/>
      <c r="L705" s="695"/>
      <c r="M705" s="695"/>
      <c r="N705" s="695"/>
      <c r="O705" s="695"/>
      <c r="P705" s="695"/>
      <c r="Q705" s="695"/>
      <c r="R705" s="695"/>
      <c r="S705" s="695"/>
      <c r="T705" s="8"/>
      <c r="U705" s="8"/>
      <c r="V705" s="8"/>
      <c r="W705" s="8"/>
      <c r="X705" s="8"/>
      <c r="Y705" s="8"/>
      <c r="Z705" s="8"/>
      <c r="AA705" s="8"/>
      <c r="AB705" s="8"/>
    </row>
    <row r="706" ht="12.75" customHeight="1" spans="1:28" x14ac:dyDescent="0.25">
      <c r="A706" s="8"/>
      <c r="B706" s="8"/>
      <c r="C706" s="8"/>
      <c r="D706" s="8"/>
      <c r="E706" s="8"/>
      <c r="F706" s="8"/>
      <c r="G706" s="695"/>
      <c r="H706" s="695"/>
      <c r="I706" s="695"/>
      <c r="J706" s="695"/>
      <c r="K706" s="695"/>
      <c r="L706" s="695"/>
      <c r="M706" s="695"/>
      <c r="N706" s="695"/>
      <c r="O706" s="695"/>
      <c r="P706" s="695"/>
      <c r="Q706" s="695"/>
      <c r="R706" s="695"/>
      <c r="S706" s="695"/>
      <c r="T706" s="8"/>
      <c r="U706" s="8"/>
      <c r="V706" s="8"/>
      <c r="W706" s="8"/>
      <c r="X706" s="8"/>
      <c r="Y706" s="8"/>
      <c r="Z706" s="8"/>
      <c r="AA706" s="8"/>
      <c r="AB706" s="8"/>
    </row>
    <row r="707" ht="12.75" customHeight="1" spans="1:28" x14ac:dyDescent="0.25">
      <c r="A707" s="8"/>
      <c r="B707" s="8"/>
      <c r="C707" s="8"/>
      <c r="D707" s="8"/>
      <c r="E707" s="8"/>
      <c r="F707" s="8"/>
      <c r="G707" s="695"/>
      <c r="H707" s="695"/>
      <c r="I707" s="695"/>
      <c r="J707" s="695"/>
      <c r="K707" s="695"/>
      <c r="L707" s="695"/>
      <c r="M707" s="695"/>
      <c r="N707" s="695"/>
      <c r="O707" s="695"/>
      <c r="P707" s="695"/>
      <c r="Q707" s="695"/>
      <c r="R707" s="695"/>
      <c r="S707" s="695"/>
      <c r="T707" s="8"/>
      <c r="U707" s="8"/>
      <c r="V707" s="8"/>
      <c r="W707" s="8"/>
      <c r="X707" s="8"/>
      <c r="Y707" s="8"/>
      <c r="Z707" s="8"/>
      <c r="AA707" s="8"/>
      <c r="AB707" s="8"/>
    </row>
    <row r="708" ht="12.75" customHeight="1" spans="1:28" x14ac:dyDescent="0.25">
      <c r="A708" s="8"/>
      <c r="B708" s="8"/>
      <c r="C708" s="8"/>
      <c r="D708" s="8"/>
      <c r="E708" s="8"/>
      <c r="F708" s="8"/>
      <c r="G708" s="695"/>
      <c r="H708" s="695"/>
      <c r="I708" s="695"/>
      <c r="J708" s="695"/>
      <c r="K708" s="695"/>
      <c r="L708" s="695"/>
      <c r="M708" s="695"/>
      <c r="N708" s="695"/>
      <c r="O708" s="695"/>
      <c r="P708" s="695"/>
      <c r="Q708" s="695"/>
      <c r="R708" s="695"/>
      <c r="S708" s="695"/>
      <c r="T708" s="8"/>
      <c r="U708" s="8"/>
      <c r="V708" s="8"/>
      <c r="W708" s="8"/>
      <c r="X708" s="8"/>
      <c r="Y708" s="8"/>
      <c r="Z708" s="8"/>
      <c r="AA708" s="8"/>
      <c r="AB708" s="8"/>
    </row>
    <row r="709" ht="12.75" customHeight="1" spans="1:28" x14ac:dyDescent="0.25">
      <c r="A709" s="8"/>
      <c r="B709" s="8"/>
      <c r="C709" s="8"/>
      <c r="D709" s="8"/>
      <c r="E709" s="8"/>
      <c r="F709" s="8"/>
      <c r="G709" s="695"/>
      <c r="H709" s="695"/>
      <c r="I709" s="695"/>
      <c r="J709" s="695"/>
      <c r="K709" s="695"/>
      <c r="L709" s="695"/>
      <c r="M709" s="695"/>
      <c r="N709" s="695"/>
      <c r="O709" s="695"/>
      <c r="P709" s="695"/>
      <c r="Q709" s="695"/>
      <c r="R709" s="695"/>
      <c r="S709" s="695"/>
      <c r="T709" s="8"/>
      <c r="U709" s="8"/>
      <c r="V709" s="8"/>
      <c r="W709" s="8"/>
      <c r="X709" s="8"/>
      <c r="Y709" s="8"/>
      <c r="Z709" s="8"/>
      <c r="AA709" s="8"/>
      <c r="AB709" s="8"/>
    </row>
    <row r="710" ht="12.75" customHeight="1" spans="1:28" x14ac:dyDescent="0.25">
      <c r="A710" s="8"/>
      <c r="B710" s="8"/>
      <c r="C710" s="8"/>
      <c r="D710" s="8"/>
      <c r="E710" s="8"/>
      <c r="F710" s="8"/>
      <c r="G710" s="695"/>
      <c r="H710" s="695"/>
      <c r="I710" s="695"/>
      <c r="J710" s="695"/>
      <c r="K710" s="695"/>
      <c r="L710" s="695"/>
      <c r="M710" s="695"/>
      <c r="N710" s="695"/>
      <c r="O710" s="695"/>
      <c r="P710" s="695"/>
      <c r="Q710" s="695"/>
      <c r="R710" s="695"/>
      <c r="S710" s="695"/>
      <c r="T710" s="8"/>
      <c r="U710" s="8"/>
      <c r="V710" s="8"/>
      <c r="W710" s="8"/>
      <c r="X710" s="8"/>
      <c r="Y710" s="8"/>
      <c r="Z710" s="8"/>
      <c r="AA710" s="8"/>
      <c r="AB710" s="8"/>
    </row>
    <row r="711" ht="12.75" customHeight="1" spans="1:28" x14ac:dyDescent="0.25">
      <c r="A711" s="8"/>
      <c r="B711" s="8"/>
      <c r="C711" s="8"/>
      <c r="D711" s="8"/>
      <c r="E711" s="8"/>
      <c r="F711" s="8"/>
      <c r="G711" s="695"/>
      <c r="H711" s="695"/>
      <c r="I711" s="695"/>
      <c r="J711" s="695"/>
      <c r="K711" s="695"/>
      <c r="L711" s="695"/>
      <c r="M711" s="695"/>
      <c r="N711" s="695"/>
      <c r="O711" s="695"/>
      <c r="P711" s="695"/>
      <c r="Q711" s="695"/>
      <c r="R711" s="695"/>
      <c r="S711" s="695"/>
      <c r="T711" s="8"/>
      <c r="U711" s="8"/>
      <c r="V711" s="8"/>
      <c r="W711" s="8"/>
      <c r="X711" s="8"/>
      <c r="Y711" s="8"/>
      <c r="Z711" s="8"/>
      <c r="AA711" s="8"/>
      <c r="AB711" s="8"/>
    </row>
    <row r="712" ht="12.75" customHeight="1" spans="1:28" x14ac:dyDescent="0.25">
      <c r="A712" s="8"/>
      <c r="B712" s="8"/>
      <c r="C712" s="8"/>
      <c r="D712" s="8"/>
      <c r="E712" s="8"/>
      <c r="F712" s="8"/>
      <c r="G712" s="695"/>
      <c r="H712" s="695"/>
      <c r="I712" s="695"/>
      <c r="J712" s="695"/>
      <c r="K712" s="695"/>
      <c r="L712" s="695"/>
      <c r="M712" s="695"/>
      <c r="N712" s="695"/>
      <c r="O712" s="695"/>
      <c r="P712" s="695"/>
      <c r="Q712" s="695"/>
      <c r="R712" s="695"/>
      <c r="S712" s="695"/>
      <c r="T712" s="8"/>
      <c r="U712" s="8"/>
      <c r="V712" s="8"/>
      <c r="W712" s="8"/>
      <c r="X712" s="8"/>
      <c r="Y712" s="8"/>
      <c r="Z712" s="8"/>
      <c r="AA712" s="8"/>
      <c r="AB712" s="8"/>
    </row>
    <row r="713" ht="12.75" customHeight="1" spans="1:28" x14ac:dyDescent="0.25">
      <c r="A713" s="8"/>
      <c r="B713" s="8"/>
      <c r="C713" s="8"/>
      <c r="D713" s="8"/>
      <c r="E713" s="8"/>
      <c r="F713" s="8"/>
      <c r="G713" s="695"/>
      <c r="H713" s="695"/>
      <c r="I713" s="695"/>
      <c r="J713" s="695"/>
      <c r="K713" s="695"/>
      <c r="L713" s="695"/>
      <c r="M713" s="695"/>
      <c r="N713" s="695"/>
      <c r="O713" s="695"/>
      <c r="P713" s="695"/>
      <c r="Q713" s="695"/>
      <c r="R713" s="695"/>
      <c r="S713" s="695"/>
      <c r="T713" s="8"/>
      <c r="U713" s="8"/>
      <c r="V713" s="8"/>
      <c r="W713" s="8"/>
      <c r="X713" s="8"/>
      <c r="Y713" s="8"/>
      <c r="Z713" s="8"/>
      <c r="AA713" s="8"/>
      <c r="AB713" s="8"/>
    </row>
    <row r="714" ht="12.75" customHeight="1" spans="1:28" x14ac:dyDescent="0.25">
      <c r="A714" s="8"/>
      <c r="B714" s="8"/>
      <c r="C714" s="8"/>
      <c r="D714" s="8"/>
      <c r="E714" s="8"/>
      <c r="F714" s="8"/>
      <c r="G714" s="695"/>
      <c r="H714" s="695"/>
      <c r="I714" s="695"/>
      <c r="J714" s="695"/>
      <c r="K714" s="695"/>
      <c r="L714" s="695"/>
      <c r="M714" s="695"/>
      <c r="N714" s="695"/>
      <c r="O714" s="695"/>
      <c r="P714" s="695"/>
      <c r="Q714" s="695"/>
      <c r="R714" s="695"/>
      <c r="S714" s="695"/>
      <c r="T714" s="8"/>
      <c r="U714" s="8"/>
      <c r="V714" s="8"/>
      <c r="W714" s="8"/>
      <c r="X714" s="8"/>
      <c r="Y714" s="8"/>
      <c r="Z714" s="8"/>
      <c r="AA714" s="8"/>
      <c r="AB714" s="8"/>
    </row>
    <row r="715" ht="12.75" customHeight="1" spans="1:28" x14ac:dyDescent="0.25">
      <c r="A715" s="8"/>
      <c r="B715" s="8"/>
      <c r="C715" s="8"/>
      <c r="D715" s="8"/>
      <c r="E715" s="8"/>
      <c r="F715" s="8"/>
      <c r="G715" s="695"/>
      <c r="H715" s="695"/>
      <c r="I715" s="695"/>
      <c r="J715" s="695"/>
      <c r="K715" s="695"/>
      <c r="L715" s="695"/>
      <c r="M715" s="695"/>
      <c r="N715" s="695"/>
      <c r="O715" s="695"/>
      <c r="P715" s="695"/>
      <c r="Q715" s="695"/>
      <c r="R715" s="695"/>
      <c r="S715" s="695"/>
      <c r="T715" s="8"/>
      <c r="U715" s="8"/>
      <c r="V715" s="8"/>
      <c r="W715" s="8"/>
      <c r="X715" s="8"/>
      <c r="Y715" s="8"/>
      <c r="Z715" s="8"/>
      <c r="AA715" s="8"/>
      <c r="AB715" s="8"/>
    </row>
    <row r="716" ht="12.75" customHeight="1" spans="1:28" x14ac:dyDescent="0.25">
      <c r="A716" s="8"/>
      <c r="B716" s="8"/>
      <c r="C716" s="8"/>
      <c r="D716" s="8"/>
      <c r="E716" s="8"/>
      <c r="F716" s="8"/>
      <c r="G716" s="695"/>
      <c r="H716" s="695"/>
      <c r="I716" s="695"/>
      <c r="J716" s="695"/>
      <c r="K716" s="695"/>
      <c r="L716" s="695"/>
      <c r="M716" s="695"/>
      <c r="N716" s="695"/>
      <c r="O716" s="695"/>
      <c r="P716" s="695"/>
      <c r="Q716" s="695"/>
      <c r="R716" s="695"/>
      <c r="S716" s="695"/>
      <c r="T716" s="8"/>
      <c r="U716" s="8"/>
      <c r="V716" s="8"/>
      <c r="W716" s="8"/>
      <c r="X716" s="8"/>
      <c r="Y716" s="8"/>
      <c r="Z716" s="8"/>
      <c r="AA716" s="8"/>
      <c r="AB716" s="8"/>
    </row>
    <row r="717" ht="12.75" customHeight="1" spans="1:28" x14ac:dyDescent="0.25">
      <c r="A717" s="8"/>
      <c r="B717" s="8"/>
      <c r="C717" s="8"/>
      <c r="D717" s="8"/>
      <c r="E717" s="8"/>
      <c r="F717" s="8"/>
      <c r="G717" s="695"/>
      <c r="H717" s="695"/>
      <c r="I717" s="695"/>
      <c r="J717" s="695"/>
      <c r="K717" s="695"/>
      <c r="L717" s="695"/>
      <c r="M717" s="695"/>
      <c r="N717" s="695"/>
      <c r="O717" s="695"/>
      <c r="P717" s="695"/>
      <c r="Q717" s="695"/>
      <c r="R717" s="695"/>
      <c r="S717" s="695"/>
      <c r="T717" s="8"/>
      <c r="U717" s="8"/>
      <c r="V717" s="8"/>
      <c r="W717" s="8"/>
      <c r="X717" s="8"/>
      <c r="Y717" s="8"/>
      <c r="Z717" s="8"/>
      <c r="AA717" s="8"/>
      <c r="AB717" s="8"/>
    </row>
    <row r="718" ht="12.75" customHeight="1" spans="1:28" x14ac:dyDescent="0.25">
      <c r="A718" s="8"/>
      <c r="B718" s="8"/>
      <c r="C718" s="8"/>
      <c r="D718" s="8"/>
      <c r="E718" s="8"/>
      <c r="F718" s="8"/>
      <c r="G718" s="695"/>
      <c r="H718" s="695"/>
      <c r="I718" s="695"/>
      <c r="J718" s="695"/>
      <c r="K718" s="695"/>
      <c r="L718" s="695"/>
      <c r="M718" s="695"/>
      <c r="N718" s="695"/>
      <c r="O718" s="695"/>
      <c r="P718" s="695"/>
      <c r="Q718" s="695"/>
      <c r="R718" s="695"/>
      <c r="S718" s="695"/>
      <c r="T718" s="8"/>
      <c r="U718" s="8"/>
      <c r="V718" s="8"/>
      <c r="W718" s="8"/>
      <c r="X718" s="8"/>
      <c r="Y718" s="8"/>
      <c r="Z718" s="8"/>
      <c r="AA718" s="8"/>
      <c r="AB718" s="8"/>
    </row>
    <row r="719" ht="12.75" customHeight="1" spans="1:28" x14ac:dyDescent="0.25">
      <c r="A719" s="8"/>
      <c r="B719" s="8"/>
      <c r="C719" s="8"/>
      <c r="D719" s="8"/>
      <c r="E719" s="8"/>
      <c r="F719" s="8"/>
      <c r="G719" s="695"/>
      <c r="H719" s="695"/>
      <c r="I719" s="695"/>
      <c r="J719" s="695"/>
      <c r="K719" s="695"/>
      <c r="L719" s="695"/>
      <c r="M719" s="695"/>
      <c r="N719" s="695"/>
      <c r="O719" s="695"/>
      <c r="P719" s="695"/>
      <c r="Q719" s="695"/>
      <c r="R719" s="695"/>
      <c r="S719" s="695"/>
      <c r="T719" s="8"/>
      <c r="U719" s="8"/>
      <c r="V719" s="8"/>
      <c r="W719" s="8"/>
      <c r="X719" s="8"/>
      <c r="Y719" s="8"/>
      <c r="Z719" s="8"/>
      <c r="AA719" s="8"/>
      <c r="AB719" s="8"/>
    </row>
    <row r="720" ht="12.75" customHeight="1" spans="1:28" x14ac:dyDescent="0.25">
      <c r="A720" s="8"/>
      <c r="B720" s="8"/>
      <c r="C720" s="8"/>
      <c r="D720" s="8"/>
      <c r="E720" s="8"/>
      <c r="F720" s="8"/>
      <c r="G720" s="695"/>
      <c r="H720" s="695"/>
      <c r="I720" s="695"/>
      <c r="J720" s="695"/>
      <c r="K720" s="695"/>
      <c r="L720" s="695"/>
      <c r="M720" s="695"/>
      <c r="N720" s="695"/>
      <c r="O720" s="695"/>
      <c r="P720" s="695"/>
      <c r="Q720" s="695"/>
      <c r="R720" s="695"/>
      <c r="S720" s="695"/>
      <c r="T720" s="8"/>
      <c r="U720" s="8"/>
      <c r="V720" s="8"/>
      <c r="W720" s="8"/>
      <c r="X720" s="8"/>
      <c r="Y720" s="8"/>
      <c r="Z720" s="8"/>
      <c r="AA720" s="8"/>
      <c r="AB720" s="8"/>
    </row>
    <row r="721" ht="12.75" customHeight="1" spans="1:28" x14ac:dyDescent="0.25">
      <c r="A721" s="8"/>
      <c r="B721" s="8"/>
      <c r="C721" s="8"/>
      <c r="D721" s="8"/>
      <c r="E721" s="8"/>
      <c r="F721" s="8"/>
      <c r="G721" s="695"/>
      <c r="H721" s="695"/>
      <c r="I721" s="695"/>
      <c r="J721" s="695"/>
      <c r="K721" s="695"/>
      <c r="L721" s="695"/>
      <c r="M721" s="695"/>
      <c r="N721" s="695"/>
      <c r="O721" s="695"/>
      <c r="P721" s="695"/>
      <c r="Q721" s="695"/>
      <c r="R721" s="695"/>
      <c r="S721" s="695"/>
      <c r="T721" s="8"/>
      <c r="U721" s="8"/>
      <c r="V721" s="8"/>
      <c r="W721" s="8"/>
      <c r="X721" s="8"/>
      <c r="Y721" s="8"/>
      <c r="Z721" s="8"/>
      <c r="AA721" s="8"/>
      <c r="AB721" s="8"/>
    </row>
    <row r="722" ht="12.75" customHeight="1" spans="1:28" x14ac:dyDescent="0.25">
      <c r="A722" s="8"/>
      <c r="B722" s="8"/>
      <c r="C722" s="8"/>
      <c r="D722" s="8"/>
      <c r="E722" s="8"/>
      <c r="F722" s="8"/>
      <c r="G722" s="695"/>
      <c r="H722" s="695"/>
      <c r="I722" s="695"/>
      <c r="J722" s="695"/>
      <c r="K722" s="695"/>
      <c r="L722" s="695"/>
      <c r="M722" s="695"/>
      <c r="N722" s="695"/>
      <c r="O722" s="695"/>
      <c r="P722" s="695"/>
      <c r="Q722" s="695"/>
      <c r="R722" s="695"/>
      <c r="S722" s="695"/>
      <c r="T722" s="8"/>
      <c r="U722" s="8"/>
      <c r="V722" s="8"/>
      <c r="W722" s="8"/>
      <c r="X722" s="8"/>
      <c r="Y722" s="8"/>
      <c r="Z722" s="8"/>
      <c r="AA722" s="8"/>
      <c r="AB722" s="8"/>
    </row>
    <row r="723" ht="12.75" customHeight="1" spans="1:28" x14ac:dyDescent="0.25">
      <c r="A723" s="8"/>
      <c r="B723" s="8"/>
      <c r="C723" s="8"/>
      <c r="D723" s="8"/>
      <c r="E723" s="8"/>
      <c r="F723" s="8"/>
      <c r="G723" s="695"/>
      <c r="H723" s="695"/>
      <c r="I723" s="695"/>
      <c r="J723" s="695"/>
      <c r="K723" s="695"/>
      <c r="L723" s="695"/>
      <c r="M723" s="695"/>
      <c r="N723" s="695"/>
      <c r="O723" s="695"/>
      <c r="P723" s="695"/>
      <c r="Q723" s="695"/>
      <c r="R723" s="695"/>
      <c r="S723" s="695"/>
      <c r="T723" s="8"/>
      <c r="U723" s="8"/>
      <c r="V723" s="8"/>
      <c r="W723" s="8"/>
      <c r="X723" s="8"/>
      <c r="Y723" s="8"/>
      <c r="Z723" s="8"/>
      <c r="AA723" s="8"/>
      <c r="AB723" s="8"/>
    </row>
    <row r="724" ht="12.75" customHeight="1" spans="1:28" x14ac:dyDescent="0.25">
      <c r="A724" s="8"/>
      <c r="B724" s="8"/>
      <c r="C724" s="8"/>
      <c r="D724" s="8"/>
      <c r="E724" s="8"/>
      <c r="F724" s="8"/>
      <c r="G724" s="695"/>
      <c r="H724" s="695"/>
      <c r="I724" s="695"/>
      <c r="J724" s="695"/>
      <c r="K724" s="695"/>
      <c r="L724" s="695"/>
      <c r="M724" s="695"/>
      <c r="N724" s="695"/>
      <c r="O724" s="695"/>
      <c r="P724" s="695"/>
      <c r="Q724" s="695"/>
      <c r="R724" s="695"/>
      <c r="S724" s="695"/>
      <c r="T724" s="8"/>
      <c r="U724" s="8"/>
      <c r="V724" s="8"/>
      <c r="W724" s="8"/>
      <c r="X724" s="8"/>
      <c r="Y724" s="8"/>
      <c r="Z724" s="8"/>
      <c r="AA724" s="8"/>
      <c r="AB724" s="8"/>
    </row>
    <row r="725" ht="12.75" customHeight="1" spans="1:28" x14ac:dyDescent="0.25">
      <c r="A725" s="8"/>
      <c r="B725" s="8"/>
      <c r="C725" s="8"/>
      <c r="D725" s="8"/>
      <c r="E725" s="8"/>
      <c r="F725" s="8"/>
      <c r="G725" s="695"/>
      <c r="H725" s="695"/>
      <c r="I725" s="695"/>
      <c r="J725" s="695"/>
      <c r="K725" s="695"/>
      <c r="L725" s="695"/>
      <c r="M725" s="695"/>
      <c r="N725" s="695"/>
      <c r="O725" s="695"/>
      <c r="P725" s="695"/>
      <c r="Q725" s="695"/>
      <c r="R725" s="695"/>
      <c r="S725" s="695"/>
      <c r="T725" s="8"/>
      <c r="U725" s="8"/>
      <c r="V725" s="8"/>
      <c r="W725" s="8"/>
      <c r="X725" s="8"/>
      <c r="Y725" s="8"/>
      <c r="Z725" s="8"/>
      <c r="AA725" s="8"/>
      <c r="AB725" s="8"/>
    </row>
    <row r="726" ht="12.75" customHeight="1" spans="1:28" x14ac:dyDescent="0.25">
      <c r="A726" s="8"/>
      <c r="B726" s="8"/>
      <c r="C726" s="8"/>
      <c r="D726" s="8"/>
      <c r="E726" s="8"/>
      <c r="F726" s="8"/>
      <c r="G726" s="695"/>
      <c r="H726" s="695"/>
      <c r="I726" s="695"/>
      <c r="J726" s="695"/>
      <c r="K726" s="695"/>
      <c r="L726" s="695"/>
      <c r="M726" s="695"/>
      <c r="N726" s="695"/>
      <c r="O726" s="695"/>
      <c r="P726" s="695"/>
      <c r="Q726" s="695"/>
      <c r="R726" s="695"/>
      <c r="S726" s="695"/>
      <c r="T726" s="8"/>
      <c r="U726" s="8"/>
      <c r="V726" s="8"/>
      <c r="W726" s="8"/>
      <c r="X726" s="8"/>
      <c r="Y726" s="8"/>
      <c r="Z726" s="8"/>
      <c r="AA726" s="8"/>
      <c r="AB726" s="8"/>
    </row>
    <row r="727" ht="12.75" customHeight="1" spans="1:28" x14ac:dyDescent="0.25">
      <c r="A727" s="8"/>
      <c r="B727" s="8"/>
      <c r="C727" s="8"/>
      <c r="D727" s="8"/>
      <c r="E727" s="8"/>
      <c r="F727" s="8"/>
      <c r="G727" s="695"/>
      <c r="H727" s="695"/>
      <c r="I727" s="695"/>
      <c r="J727" s="695"/>
      <c r="K727" s="695"/>
      <c r="L727" s="695"/>
      <c r="M727" s="695"/>
      <c r="N727" s="695"/>
      <c r="O727" s="695"/>
      <c r="P727" s="695"/>
      <c r="Q727" s="695"/>
      <c r="R727" s="695"/>
      <c r="S727" s="695"/>
      <c r="T727" s="8"/>
      <c r="U727" s="8"/>
      <c r="V727" s="8"/>
      <c r="W727" s="8"/>
      <c r="X727" s="8"/>
      <c r="Y727" s="8"/>
      <c r="Z727" s="8"/>
      <c r="AA727" s="8"/>
      <c r="AB727" s="8"/>
    </row>
    <row r="728" ht="12.75" customHeight="1" spans="1:28" x14ac:dyDescent="0.25">
      <c r="A728" s="8"/>
      <c r="B728" s="8"/>
      <c r="C728" s="8"/>
      <c r="D728" s="8"/>
      <c r="E728" s="8"/>
      <c r="F728" s="8"/>
      <c r="G728" s="695"/>
      <c r="H728" s="695"/>
      <c r="I728" s="695"/>
      <c r="J728" s="695"/>
      <c r="K728" s="695"/>
      <c r="L728" s="695"/>
      <c r="M728" s="695"/>
      <c r="N728" s="695"/>
      <c r="O728" s="695"/>
      <c r="P728" s="695"/>
      <c r="Q728" s="695"/>
      <c r="R728" s="695"/>
      <c r="S728" s="695"/>
      <c r="T728" s="8"/>
      <c r="U728" s="8"/>
      <c r="V728" s="8"/>
      <c r="W728" s="8"/>
      <c r="X728" s="8"/>
      <c r="Y728" s="8"/>
      <c r="Z728" s="8"/>
      <c r="AA728" s="8"/>
      <c r="AB728" s="8"/>
    </row>
    <row r="729" ht="12.75" customHeight="1" spans="1:28" x14ac:dyDescent="0.25">
      <c r="A729" s="8"/>
      <c r="B729" s="8"/>
      <c r="C729" s="8"/>
      <c r="D729" s="8"/>
      <c r="E729" s="8"/>
      <c r="F729" s="8"/>
      <c r="G729" s="695"/>
      <c r="H729" s="695"/>
      <c r="I729" s="695"/>
      <c r="J729" s="695"/>
      <c r="K729" s="695"/>
      <c r="L729" s="695"/>
      <c r="M729" s="695"/>
      <c r="N729" s="695"/>
      <c r="O729" s="695"/>
      <c r="P729" s="695"/>
      <c r="Q729" s="695"/>
      <c r="R729" s="695"/>
      <c r="S729" s="695"/>
      <c r="T729" s="8"/>
      <c r="U729" s="8"/>
      <c r="V729" s="8"/>
      <c r="W729" s="8"/>
      <c r="X729" s="8"/>
      <c r="Y729" s="8"/>
      <c r="Z729" s="8"/>
      <c r="AA729" s="8"/>
      <c r="AB729" s="8"/>
    </row>
    <row r="730" ht="12.75" customHeight="1" spans="1:28" x14ac:dyDescent="0.25">
      <c r="A730" s="8"/>
      <c r="B730" s="8"/>
      <c r="C730" s="8"/>
      <c r="D730" s="8"/>
      <c r="E730" s="8"/>
      <c r="F730" s="8"/>
      <c r="G730" s="695"/>
      <c r="H730" s="695"/>
      <c r="I730" s="695"/>
      <c r="J730" s="695"/>
      <c r="K730" s="695"/>
      <c r="L730" s="695"/>
      <c r="M730" s="695"/>
      <c r="N730" s="695"/>
      <c r="O730" s="695"/>
      <c r="P730" s="695"/>
      <c r="Q730" s="695"/>
      <c r="R730" s="695"/>
      <c r="S730" s="695"/>
      <c r="T730" s="8"/>
      <c r="U730" s="8"/>
      <c r="V730" s="8"/>
      <c r="W730" s="8"/>
      <c r="X730" s="8"/>
      <c r="Y730" s="8"/>
      <c r="Z730" s="8"/>
      <c r="AA730" s="8"/>
      <c r="AB730" s="8"/>
    </row>
    <row r="731" ht="12.75" customHeight="1" spans="1:28" x14ac:dyDescent="0.25">
      <c r="A731" s="8"/>
      <c r="B731" s="8"/>
      <c r="C731" s="8"/>
      <c r="D731" s="8"/>
      <c r="E731" s="8"/>
      <c r="F731" s="8"/>
      <c r="G731" s="695"/>
      <c r="H731" s="695"/>
      <c r="I731" s="695"/>
      <c r="J731" s="695"/>
      <c r="K731" s="695"/>
      <c r="L731" s="695"/>
      <c r="M731" s="695"/>
      <c r="N731" s="695"/>
      <c r="O731" s="695"/>
      <c r="P731" s="695"/>
      <c r="Q731" s="695"/>
      <c r="R731" s="695"/>
      <c r="S731" s="695"/>
      <c r="T731" s="8"/>
      <c r="U731" s="8"/>
      <c r="V731" s="8"/>
      <c r="W731" s="8"/>
      <c r="X731" s="8"/>
      <c r="Y731" s="8"/>
      <c r="Z731" s="8"/>
      <c r="AA731" s="8"/>
      <c r="AB731" s="8"/>
    </row>
    <row r="732" ht="12.75" customHeight="1" spans="1:28" x14ac:dyDescent="0.25">
      <c r="A732" s="8"/>
      <c r="B732" s="8"/>
      <c r="C732" s="8"/>
      <c r="D732" s="8"/>
      <c r="E732" s="8"/>
      <c r="F732" s="8"/>
      <c r="G732" s="695"/>
      <c r="H732" s="695"/>
      <c r="I732" s="695"/>
      <c r="J732" s="695"/>
      <c r="K732" s="695"/>
      <c r="L732" s="695"/>
      <c r="M732" s="695"/>
      <c r="N732" s="695"/>
      <c r="O732" s="695"/>
      <c r="P732" s="695"/>
      <c r="Q732" s="695"/>
      <c r="R732" s="695"/>
      <c r="S732" s="695"/>
      <c r="T732" s="8"/>
      <c r="U732" s="8"/>
      <c r="V732" s="8"/>
      <c r="W732" s="8"/>
      <c r="X732" s="8"/>
      <c r="Y732" s="8"/>
      <c r="Z732" s="8"/>
      <c r="AA732" s="8"/>
      <c r="AB732" s="8"/>
    </row>
    <row r="733" ht="12.75" customHeight="1" spans="1:28" x14ac:dyDescent="0.25">
      <c r="A733" s="8"/>
      <c r="B733" s="8"/>
      <c r="C733" s="8"/>
      <c r="D733" s="8"/>
      <c r="E733" s="8"/>
      <c r="F733" s="8"/>
      <c r="G733" s="695"/>
      <c r="H733" s="695"/>
      <c r="I733" s="695"/>
      <c r="J733" s="695"/>
      <c r="K733" s="695"/>
      <c r="L733" s="695"/>
      <c r="M733" s="695"/>
      <c r="N733" s="695"/>
      <c r="O733" s="695"/>
      <c r="P733" s="695"/>
      <c r="Q733" s="695"/>
      <c r="R733" s="695"/>
      <c r="S733" s="695"/>
      <c r="T733" s="8"/>
      <c r="U733" s="8"/>
      <c r="V733" s="8"/>
      <c r="W733" s="8"/>
      <c r="X733" s="8"/>
      <c r="Y733" s="8"/>
      <c r="Z733" s="8"/>
      <c r="AA733" s="8"/>
      <c r="AB733" s="8"/>
    </row>
    <row r="734" ht="12.75" customHeight="1" spans="1:28" x14ac:dyDescent="0.25">
      <c r="A734" s="8"/>
      <c r="B734" s="8"/>
      <c r="C734" s="8"/>
      <c r="D734" s="8"/>
      <c r="E734" s="8"/>
      <c r="F734" s="8"/>
      <c r="G734" s="695"/>
      <c r="H734" s="695"/>
      <c r="I734" s="695"/>
      <c r="J734" s="695"/>
      <c r="K734" s="695"/>
      <c r="L734" s="695"/>
      <c r="M734" s="695"/>
      <c r="N734" s="695"/>
      <c r="O734" s="695"/>
      <c r="P734" s="695"/>
      <c r="Q734" s="695"/>
      <c r="R734" s="695"/>
      <c r="S734" s="695"/>
      <c r="T734" s="8"/>
      <c r="U734" s="8"/>
      <c r="V734" s="8"/>
      <c r="W734" s="8"/>
      <c r="X734" s="8"/>
      <c r="Y734" s="8"/>
      <c r="Z734" s="8"/>
      <c r="AA734" s="8"/>
      <c r="AB734" s="8"/>
    </row>
    <row r="735" ht="12.75" customHeight="1" spans="1:28" x14ac:dyDescent="0.25">
      <c r="A735" s="8"/>
      <c r="B735" s="8"/>
      <c r="C735" s="8"/>
      <c r="D735" s="8"/>
      <c r="E735" s="8"/>
      <c r="F735" s="8"/>
      <c r="G735" s="695"/>
      <c r="H735" s="695"/>
      <c r="I735" s="695"/>
      <c r="J735" s="695"/>
      <c r="K735" s="695"/>
      <c r="L735" s="695"/>
      <c r="M735" s="695"/>
      <c r="N735" s="695"/>
      <c r="O735" s="695"/>
      <c r="P735" s="695"/>
      <c r="Q735" s="695"/>
      <c r="R735" s="695"/>
      <c r="S735" s="695"/>
      <c r="T735" s="8"/>
      <c r="U735" s="8"/>
      <c r="V735" s="8"/>
      <c r="W735" s="8"/>
      <c r="X735" s="8"/>
      <c r="Y735" s="8"/>
      <c r="Z735" s="8"/>
      <c r="AA735" s="8"/>
      <c r="AB735" s="8"/>
    </row>
    <row r="736" ht="12.75" customHeight="1" spans="1:28" x14ac:dyDescent="0.25">
      <c r="A736" s="8"/>
      <c r="B736" s="8"/>
      <c r="C736" s="8"/>
      <c r="D736" s="8"/>
      <c r="E736" s="8"/>
      <c r="F736" s="8"/>
      <c r="G736" s="695"/>
      <c r="H736" s="695"/>
      <c r="I736" s="695"/>
      <c r="J736" s="695"/>
      <c r="K736" s="695"/>
      <c r="L736" s="695"/>
      <c r="M736" s="695"/>
      <c r="N736" s="695"/>
      <c r="O736" s="695"/>
      <c r="P736" s="695"/>
      <c r="Q736" s="695"/>
      <c r="R736" s="695"/>
      <c r="S736" s="695"/>
      <c r="T736" s="8"/>
      <c r="U736" s="8"/>
      <c r="V736" s="8"/>
      <c r="W736" s="8"/>
      <c r="X736" s="8"/>
      <c r="Y736" s="8"/>
      <c r="Z736" s="8"/>
      <c r="AA736" s="8"/>
      <c r="AB736" s="8"/>
    </row>
    <row r="737" ht="12.75" customHeight="1" spans="1:28" x14ac:dyDescent="0.25">
      <c r="A737" s="8"/>
      <c r="B737" s="8"/>
      <c r="C737" s="8"/>
      <c r="D737" s="8"/>
      <c r="E737" s="8"/>
      <c r="F737" s="8"/>
      <c r="G737" s="695"/>
      <c r="H737" s="695"/>
      <c r="I737" s="695"/>
      <c r="J737" s="695"/>
      <c r="K737" s="695"/>
      <c r="L737" s="695"/>
      <c r="M737" s="695"/>
      <c r="N737" s="695"/>
      <c r="O737" s="695"/>
      <c r="P737" s="695"/>
      <c r="Q737" s="695"/>
      <c r="R737" s="695"/>
      <c r="S737" s="695"/>
      <c r="T737" s="8"/>
      <c r="U737" s="8"/>
      <c r="V737" s="8"/>
      <c r="W737" s="8"/>
      <c r="X737" s="8"/>
      <c r="Y737" s="8"/>
      <c r="Z737" s="8"/>
      <c r="AA737" s="8"/>
      <c r="AB737" s="8"/>
    </row>
    <row r="738" ht="12.75" customHeight="1" spans="1:28" x14ac:dyDescent="0.25">
      <c r="A738" s="8"/>
      <c r="B738" s="8"/>
      <c r="C738" s="8"/>
      <c r="D738" s="8"/>
      <c r="E738" s="8"/>
      <c r="F738" s="8"/>
      <c r="G738" s="695"/>
      <c r="H738" s="695"/>
      <c r="I738" s="695"/>
      <c r="J738" s="695"/>
      <c r="K738" s="695"/>
      <c r="L738" s="695"/>
      <c r="M738" s="695"/>
      <c r="N738" s="695"/>
      <c r="O738" s="695"/>
      <c r="P738" s="695"/>
      <c r="Q738" s="695"/>
      <c r="R738" s="695"/>
      <c r="S738" s="695"/>
      <c r="T738" s="8"/>
      <c r="U738" s="8"/>
      <c r="V738" s="8"/>
      <c r="W738" s="8"/>
      <c r="X738" s="8"/>
      <c r="Y738" s="8"/>
      <c r="Z738" s="8"/>
      <c r="AA738" s="8"/>
      <c r="AB738" s="8"/>
    </row>
    <row r="739" ht="12.75" customHeight="1" spans="1:28" x14ac:dyDescent="0.25">
      <c r="A739" s="8"/>
      <c r="B739" s="8"/>
      <c r="C739" s="8"/>
      <c r="D739" s="8"/>
      <c r="E739" s="8"/>
      <c r="F739" s="8"/>
      <c r="G739" s="695"/>
      <c r="H739" s="695"/>
      <c r="I739" s="695"/>
      <c r="J739" s="695"/>
      <c r="K739" s="695"/>
      <c r="L739" s="695"/>
      <c r="M739" s="695"/>
      <c r="N739" s="695"/>
      <c r="O739" s="695"/>
      <c r="P739" s="695"/>
      <c r="Q739" s="695"/>
      <c r="R739" s="695"/>
      <c r="S739" s="695"/>
      <c r="T739" s="8"/>
      <c r="U739" s="8"/>
      <c r="V739" s="8"/>
      <c r="W739" s="8"/>
      <c r="X739" s="8"/>
      <c r="Y739" s="8"/>
      <c r="Z739" s="8"/>
      <c r="AA739" s="8"/>
      <c r="AB739" s="8"/>
    </row>
    <row r="740" ht="12.75" customHeight="1" spans="1:28" x14ac:dyDescent="0.25">
      <c r="A740" s="8"/>
      <c r="B740" s="8"/>
      <c r="C740" s="8"/>
      <c r="D740" s="8"/>
      <c r="E740" s="8"/>
      <c r="F740" s="8"/>
      <c r="G740" s="695"/>
      <c r="H740" s="695"/>
      <c r="I740" s="695"/>
      <c r="J740" s="695"/>
      <c r="K740" s="695"/>
      <c r="L740" s="695"/>
      <c r="M740" s="695"/>
      <c r="N740" s="695"/>
      <c r="O740" s="695"/>
      <c r="P740" s="695"/>
      <c r="Q740" s="695"/>
      <c r="R740" s="695"/>
      <c r="S740" s="695"/>
      <c r="T740" s="8"/>
      <c r="U740" s="8"/>
      <c r="V740" s="8"/>
      <c r="W740" s="8"/>
      <c r="X740" s="8"/>
      <c r="Y740" s="8"/>
      <c r="Z740" s="8"/>
      <c r="AA740" s="8"/>
      <c r="AB740" s="8"/>
    </row>
    <row r="741" ht="12.75" customHeight="1" spans="1:28" x14ac:dyDescent="0.25">
      <c r="A741" s="8"/>
      <c r="B741" s="8"/>
      <c r="C741" s="8"/>
      <c r="D741" s="8"/>
      <c r="E741" s="8"/>
      <c r="F741" s="8"/>
      <c r="G741" s="695"/>
      <c r="H741" s="695"/>
      <c r="I741" s="695"/>
      <c r="J741" s="695"/>
      <c r="K741" s="695"/>
      <c r="L741" s="695"/>
      <c r="M741" s="695"/>
      <c r="N741" s="695"/>
      <c r="O741" s="695"/>
      <c r="P741" s="695"/>
      <c r="Q741" s="695"/>
      <c r="R741" s="695"/>
      <c r="S741" s="695"/>
      <c r="T741" s="8"/>
      <c r="U741" s="8"/>
      <c r="V741" s="8"/>
      <c r="W741" s="8"/>
      <c r="X741" s="8"/>
      <c r="Y741" s="8"/>
      <c r="Z741" s="8"/>
      <c r="AA741" s="8"/>
      <c r="AB741" s="8"/>
    </row>
    <row r="742" ht="12.75" customHeight="1" spans="1:28" x14ac:dyDescent="0.25">
      <c r="A742" s="8"/>
      <c r="B742" s="8"/>
      <c r="C742" s="8"/>
      <c r="D742" s="8"/>
      <c r="E742" s="8"/>
      <c r="F742" s="8"/>
      <c r="G742" s="695"/>
      <c r="H742" s="695"/>
      <c r="I742" s="695"/>
      <c r="J742" s="695"/>
      <c r="K742" s="695"/>
      <c r="L742" s="695"/>
      <c r="M742" s="695"/>
      <c r="N742" s="695"/>
      <c r="O742" s="695"/>
      <c r="P742" s="695"/>
      <c r="Q742" s="695"/>
      <c r="R742" s="695"/>
      <c r="S742" s="695"/>
      <c r="T742" s="8"/>
      <c r="U742" s="8"/>
      <c r="V742" s="8"/>
      <c r="W742" s="8"/>
      <c r="X742" s="8"/>
      <c r="Y742" s="8"/>
      <c r="Z742" s="8"/>
      <c r="AA742" s="8"/>
      <c r="AB742" s="8"/>
    </row>
    <row r="743" ht="12.75" customHeight="1" spans="1:28" x14ac:dyDescent="0.25">
      <c r="A743" s="8"/>
      <c r="B743" s="8"/>
      <c r="C743" s="8"/>
      <c r="D743" s="8"/>
      <c r="E743" s="8"/>
      <c r="F743" s="8"/>
      <c r="G743" s="695"/>
      <c r="H743" s="695"/>
      <c r="I743" s="695"/>
      <c r="J743" s="695"/>
      <c r="K743" s="695"/>
      <c r="L743" s="695"/>
      <c r="M743" s="695"/>
      <c r="N743" s="695"/>
      <c r="O743" s="695"/>
      <c r="P743" s="695"/>
      <c r="Q743" s="695"/>
      <c r="R743" s="695"/>
      <c r="S743" s="695"/>
      <c r="T743" s="8"/>
      <c r="U743" s="8"/>
      <c r="V743" s="8"/>
      <c r="W743" s="8"/>
      <c r="X743" s="8"/>
      <c r="Y743" s="8"/>
      <c r="Z743" s="8"/>
      <c r="AA743" s="8"/>
      <c r="AB743" s="8"/>
    </row>
    <row r="744" ht="12.75" customHeight="1" spans="1:28" x14ac:dyDescent="0.25">
      <c r="A744" s="8"/>
      <c r="B744" s="8"/>
      <c r="C744" s="8"/>
      <c r="D744" s="8"/>
      <c r="E744" s="8"/>
      <c r="F744" s="8"/>
      <c r="G744" s="695"/>
      <c r="H744" s="695"/>
      <c r="I744" s="695"/>
      <c r="J744" s="695"/>
      <c r="K744" s="695"/>
      <c r="L744" s="695"/>
      <c r="M744" s="695"/>
      <c r="N744" s="695"/>
      <c r="O744" s="695"/>
      <c r="P744" s="695"/>
      <c r="Q744" s="695"/>
      <c r="R744" s="695"/>
      <c r="S744" s="695"/>
      <c r="T744" s="8"/>
      <c r="U744" s="8"/>
      <c r="V744" s="8"/>
      <c r="W744" s="8"/>
      <c r="X744" s="8"/>
      <c r="Y744" s="8"/>
      <c r="Z744" s="8"/>
      <c r="AA744" s="8"/>
      <c r="AB744" s="8"/>
    </row>
    <row r="745" ht="12.75" customHeight="1" spans="1:28" x14ac:dyDescent="0.25">
      <c r="A745" s="8"/>
      <c r="B745" s="8"/>
      <c r="C745" s="8"/>
      <c r="D745" s="8"/>
      <c r="E745" s="8"/>
      <c r="F745" s="8"/>
      <c r="G745" s="695"/>
      <c r="H745" s="695"/>
      <c r="I745" s="695"/>
      <c r="J745" s="695"/>
      <c r="K745" s="695"/>
      <c r="L745" s="695"/>
      <c r="M745" s="695"/>
      <c r="N745" s="695"/>
      <c r="O745" s="695"/>
      <c r="P745" s="695"/>
      <c r="Q745" s="695"/>
      <c r="R745" s="695"/>
      <c r="S745" s="695"/>
      <c r="T745" s="8"/>
      <c r="U745" s="8"/>
      <c r="V745" s="8"/>
      <c r="W745" s="8"/>
      <c r="X745" s="8"/>
      <c r="Y745" s="8"/>
      <c r="Z745" s="8"/>
      <c r="AA745" s="8"/>
      <c r="AB745" s="8"/>
    </row>
    <row r="746" ht="12.75" customHeight="1" spans="1:28" x14ac:dyDescent="0.25">
      <c r="A746" s="8"/>
      <c r="B746" s="8"/>
      <c r="C746" s="8"/>
      <c r="D746" s="8"/>
      <c r="E746" s="8"/>
      <c r="F746" s="8"/>
      <c r="G746" s="695"/>
      <c r="H746" s="695"/>
      <c r="I746" s="695"/>
      <c r="J746" s="695"/>
      <c r="K746" s="695"/>
      <c r="L746" s="695"/>
      <c r="M746" s="695"/>
      <c r="N746" s="695"/>
      <c r="O746" s="695"/>
      <c r="P746" s="695"/>
      <c r="Q746" s="695"/>
      <c r="R746" s="695"/>
      <c r="S746" s="695"/>
      <c r="T746" s="8"/>
      <c r="U746" s="8"/>
      <c r="V746" s="8"/>
      <c r="W746" s="8"/>
      <c r="X746" s="8"/>
      <c r="Y746" s="8"/>
      <c r="Z746" s="8"/>
      <c r="AA746" s="8"/>
      <c r="AB746" s="8"/>
    </row>
    <row r="747" ht="12.75" customHeight="1" spans="1:28" x14ac:dyDescent="0.25">
      <c r="A747" s="8"/>
      <c r="B747" s="8"/>
      <c r="C747" s="8"/>
      <c r="D747" s="8"/>
      <c r="E747" s="8"/>
      <c r="F747" s="8"/>
      <c r="G747" s="695"/>
      <c r="H747" s="695"/>
      <c r="I747" s="695"/>
      <c r="J747" s="695"/>
      <c r="K747" s="695"/>
      <c r="L747" s="695"/>
      <c r="M747" s="695"/>
      <c r="N747" s="695"/>
      <c r="O747" s="695"/>
      <c r="P747" s="695"/>
      <c r="Q747" s="695"/>
      <c r="R747" s="695"/>
      <c r="S747" s="695"/>
      <c r="T747" s="8"/>
      <c r="U747" s="8"/>
      <c r="V747" s="8"/>
      <c r="W747" s="8"/>
      <c r="X747" s="8"/>
      <c r="Y747" s="8"/>
      <c r="Z747" s="8"/>
      <c r="AA747" s="8"/>
      <c r="AB747" s="8"/>
    </row>
    <row r="748" ht="12.75" customHeight="1" spans="1:28" x14ac:dyDescent="0.25">
      <c r="A748" s="8"/>
      <c r="B748" s="8"/>
      <c r="C748" s="8"/>
      <c r="D748" s="8"/>
      <c r="E748" s="8"/>
      <c r="F748" s="8"/>
      <c r="G748" s="695"/>
      <c r="H748" s="695"/>
      <c r="I748" s="695"/>
      <c r="J748" s="695"/>
      <c r="K748" s="695"/>
      <c r="L748" s="695"/>
      <c r="M748" s="695"/>
      <c r="N748" s="695"/>
      <c r="O748" s="695"/>
      <c r="P748" s="695"/>
      <c r="Q748" s="695"/>
      <c r="R748" s="695"/>
      <c r="S748" s="695"/>
      <c r="T748" s="8"/>
      <c r="U748" s="8"/>
      <c r="V748" s="8"/>
      <c r="W748" s="8"/>
      <c r="X748" s="8"/>
      <c r="Y748" s="8"/>
      <c r="Z748" s="8"/>
      <c r="AA748" s="8"/>
      <c r="AB748" s="8"/>
    </row>
    <row r="749" ht="12.75" customHeight="1" spans="1:28" x14ac:dyDescent="0.25">
      <c r="A749" s="8"/>
      <c r="B749" s="8"/>
      <c r="C749" s="8"/>
      <c r="D749" s="8"/>
      <c r="E749" s="8"/>
      <c r="F749" s="8"/>
      <c r="G749" s="695"/>
      <c r="H749" s="695"/>
      <c r="I749" s="695"/>
      <c r="J749" s="695"/>
      <c r="K749" s="695"/>
      <c r="L749" s="695"/>
      <c r="M749" s="695"/>
      <c r="N749" s="695"/>
      <c r="O749" s="695"/>
      <c r="P749" s="695"/>
      <c r="Q749" s="695"/>
      <c r="R749" s="695"/>
      <c r="S749" s="695"/>
      <c r="T749" s="8"/>
      <c r="U749" s="8"/>
      <c r="V749" s="8"/>
      <c r="W749" s="8"/>
      <c r="X749" s="8"/>
      <c r="Y749" s="8"/>
      <c r="Z749" s="8"/>
      <c r="AA749" s="8"/>
      <c r="AB749" s="8"/>
    </row>
    <row r="750" ht="12.75" customHeight="1" spans="1:28" x14ac:dyDescent="0.25">
      <c r="A750" s="8"/>
      <c r="B750" s="8"/>
      <c r="C750" s="8"/>
      <c r="D750" s="8"/>
      <c r="E750" s="8"/>
      <c r="F750" s="8"/>
      <c r="G750" s="695"/>
      <c r="H750" s="695"/>
      <c r="I750" s="695"/>
      <c r="J750" s="695"/>
      <c r="K750" s="695"/>
      <c r="L750" s="695"/>
      <c r="M750" s="695"/>
      <c r="N750" s="695"/>
      <c r="O750" s="695"/>
      <c r="P750" s="695"/>
      <c r="Q750" s="695"/>
      <c r="R750" s="695"/>
      <c r="S750" s="695"/>
      <c r="T750" s="8"/>
      <c r="U750" s="8"/>
      <c r="V750" s="8"/>
      <c r="W750" s="8"/>
      <c r="X750" s="8"/>
      <c r="Y750" s="8"/>
      <c r="Z750" s="8"/>
      <c r="AA750" s="8"/>
      <c r="AB750" s="8"/>
    </row>
    <row r="751" ht="12.75" customHeight="1" spans="1:28" x14ac:dyDescent="0.25">
      <c r="A751" s="8"/>
      <c r="B751" s="8"/>
      <c r="C751" s="8"/>
      <c r="D751" s="8"/>
      <c r="E751" s="8"/>
      <c r="F751" s="8"/>
      <c r="G751" s="695"/>
      <c r="H751" s="695"/>
      <c r="I751" s="695"/>
      <c r="J751" s="695"/>
      <c r="K751" s="695"/>
      <c r="L751" s="695"/>
      <c r="M751" s="695"/>
      <c r="N751" s="695"/>
      <c r="O751" s="695"/>
      <c r="P751" s="695"/>
      <c r="Q751" s="695"/>
      <c r="R751" s="695"/>
      <c r="S751" s="695"/>
      <c r="T751" s="8"/>
      <c r="U751" s="8"/>
      <c r="V751" s="8"/>
      <c r="W751" s="8"/>
      <c r="X751" s="8"/>
      <c r="Y751" s="8"/>
      <c r="Z751" s="8"/>
      <c r="AA751" s="8"/>
      <c r="AB751" s="8"/>
    </row>
    <row r="752" ht="12.75" customHeight="1" spans="1:28" x14ac:dyDescent="0.25">
      <c r="A752" s="8"/>
      <c r="B752" s="8"/>
      <c r="C752" s="8"/>
      <c r="D752" s="8"/>
      <c r="E752" s="8"/>
      <c r="F752" s="8"/>
      <c r="G752" s="695"/>
      <c r="H752" s="695"/>
      <c r="I752" s="695"/>
      <c r="J752" s="695"/>
      <c r="K752" s="695"/>
      <c r="L752" s="695"/>
      <c r="M752" s="695"/>
      <c r="N752" s="695"/>
      <c r="O752" s="695"/>
      <c r="P752" s="695"/>
      <c r="Q752" s="695"/>
      <c r="R752" s="695"/>
      <c r="S752" s="695"/>
      <c r="T752" s="8"/>
      <c r="U752" s="8"/>
      <c r="V752" s="8"/>
      <c r="W752" s="8"/>
      <c r="X752" s="8"/>
      <c r="Y752" s="8"/>
      <c r="Z752" s="8"/>
      <c r="AA752" s="8"/>
      <c r="AB752" s="8"/>
    </row>
    <row r="753" ht="12.75" customHeight="1" spans="1:28" x14ac:dyDescent="0.25">
      <c r="A753" s="8"/>
      <c r="B753" s="8"/>
      <c r="C753" s="8"/>
      <c r="D753" s="8"/>
      <c r="E753" s="8"/>
      <c r="F753" s="8"/>
      <c r="G753" s="695"/>
      <c r="H753" s="695"/>
      <c r="I753" s="695"/>
      <c r="J753" s="695"/>
      <c r="K753" s="695"/>
      <c r="L753" s="695"/>
      <c r="M753" s="695"/>
      <c r="N753" s="695"/>
      <c r="O753" s="695"/>
      <c r="P753" s="695"/>
      <c r="Q753" s="695"/>
      <c r="R753" s="695"/>
      <c r="S753" s="695"/>
      <c r="T753" s="8"/>
      <c r="U753" s="8"/>
      <c r="V753" s="8"/>
      <c r="W753" s="8"/>
      <c r="X753" s="8"/>
      <c r="Y753" s="8"/>
      <c r="Z753" s="8"/>
      <c r="AA753" s="8"/>
      <c r="AB753" s="8"/>
    </row>
    <row r="754" ht="12.75" customHeight="1" spans="1:28" x14ac:dyDescent="0.25">
      <c r="A754" s="8"/>
      <c r="B754" s="8"/>
      <c r="C754" s="8"/>
      <c r="D754" s="8"/>
      <c r="E754" s="8"/>
      <c r="F754" s="8"/>
      <c r="G754" s="695"/>
      <c r="H754" s="695"/>
      <c r="I754" s="695"/>
      <c r="J754" s="695"/>
      <c r="K754" s="695"/>
      <c r="L754" s="695"/>
      <c r="M754" s="695"/>
      <c r="N754" s="695"/>
      <c r="O754" s="695"/>
      <c r="P754" s="695"/>
      <c r="Q754" s="695"/>
      <c r="R754" s="695"/>
      <c r="S754" s="695"/>
      <c r="T754" s="8"/>
      <c r="U754" s="8"/>
      <c r="V754" s="8"/>
      <c r="W754" s="8"/>
      <c r="X754" s="8"/>
      <c r="Y754" s="8"/>
      <c r="Z754" s="8"/>
      <c r="AA754" s="8"/>
      <c r="AB754" s="8"/>
    </row>
    <row r="755" ht="12.75" customHeight="1" spans="1:28" x14ac:dyDescent="0.25">
      <c r="A755" s="8"/>
      <c r="B755" s="8"/>
      <c r="C755" s="8"/>
      <c r="D755" s="8"/>
      <c r="E755" s="8"/>
      <c r="F755" s="8"/>
      <c r="G755" s="695"/>
      <c r="H755" s="695"/>
      <c r="I755" s="695"/>
      <c r="J755" s="695"/>
      <c r="K755" s="695"/>
      <c r="L755" s="695"/>
      <c r="M755" s="695"/>
      <c r="N755" s="695"/>
      <c r="O755" s="695"/>
      <c r="P755" s="695"/>
      <c r="Q755" s="695"/>
      <c r="R755" s="695"/>
      <c r="S755" s="695"/>
      <c r="T755" s="8"/>
      <c r="U755" s="8"/>
      <c r="V755" s="8"/>
      <c r="W755" s="8"/>
      <c r="X755" s="8"/>
      <c r="Y755" s="8"/>
      <c r="Z755" s="8"/>
      <c r="AA755" s="8"/>
      <c r="AB755" s="8"/>
    </row>
    <row r="756" ht="12.75" customHeight="1" spans="1:28" x14ac:dyDescent="0.25">
      <c r="A756" s="8"/>
      <c r="B756" s="8"/>
      <c r="C756" s="8"/>
      <c r="D756" s="8"/>
      <c r="E756" s="8"/>
      <c r="F756" s="8"/>
      <c r="G756" s="695"/>
      <c r="H756" s="695"/>
      <c r="I756" s="695"/>
      <c r="J756" s="695"/>
      <c r="K756" s="695"/>
      <c r="L756" s="695"/>
      <c r="M756" s="695"/>
      <c r="N756" s="695"/>
      <c r="O756" s="695"/>
      <c r="P756" s="695"/>
      <c r="Q756" s="695"/>
      <c r="R756" s="695"/>
      <c r="S756" s="695"/>
      <c r="T756" s="8"/>
      <c r="U756" s="8"/>
      <c r="V756" s="8"/>
      <c r="W756" s="8"/>
      <c r="X756" s="8"/>
      <c r="Y756" s="8"/>
      <c r="Z756" s="8"/>
      <c r="AA756" s="8"/>
      <c r="AB756" s="8"/>
    </row>
    <row r="757" ht="12.75" customHeight="1" spans="1:28" x14ac:dyDescent="0.25">
      <c r="A757" s="8"/>
      <c r="B757" s="8"/>
      <c r="C757" s="8"/>
      <c r="D757" s="8"/>
      <c r="E757" s="8"/>
      <c r="F757" s="8"/>
      <c r="G757" s="695"/>
      <c r="H757" s="695"/>
      <c r="I757" s="695"/>
      <c r="J757" s="695"/>
      <c r="K757" s="695"/>
      <c r="L757" s="695"/>
      <c r="M757" s="695"/>
      <c r="N757" s="695"/>
      <c r="O757" s="695"/>
      <c r="P757" s="695"/>
      <c r="Q757" s="695"/>
      <c r="R757" s="695"/>
      <c r="S757" s="695"/>
      <c r="T757" s="8"/>
      <c r="U757" s="8"/>
      <c r="V757" s="8"/>
      <c r="W757" s="8"/>
      <c r="X757" s="8"/>
      <c r="Y757" s="8"/>
      <c r="Z757" s="8"/>
      <c r="AA757" s="8"/>
      <c r="AB757" s="8"/>
    </row>
    <row r="758" ht="12.75" customHeight="1" spans="1:28" x14ac:dyDescent="0.25">
      <c r="A758" s="8"/>
      <c r="B758" s="8"/>
      <c r="C758" s="8"/>
      <c r="D758" s="8"/>
      <c r="E758" s="8"/>
      <c r="F758" s="8"/>
      <c r="G758" s="695"/>
      <c r="H758" s="695"/>
      <c r="I758" s="695"/>
      <c r="J758" s="695"/>
      <c r="K758" s="695"/>
      <c r="L758" s="695"/>
      <c r="M758" s="695"/>
      <c r="N758" s="695"/>
      <c r="O758" s="695"/>
      <c r="P758" s="695"/>
      <c r="Q758" s="695"/>
      <c r="R758" s="695"/>
      <c r="S758" s="695"/>
      <c r="T758" s="8"/>
      <c r="U758" s="8"/>
      <c r="V758" s="8"/>
      <c r="W758" s="8"/>
      <c r="X758" s="8"/>
      <c r="Y758" s="8"/>
      <c r="Z758" s="8"/>
      <c r="AA758" s="8"/>
      <c r="AB758" s="8"/>
    </row>
    <row r="759" ht="12.75" customHeight="1" spans="1:28" x14ac:dyDescent="0.25">
      <c r="A759" s="8"/>
      <c r="B759" s="8"/>
      <c r="C759" s="8"/>
      <c r="D759" s="8"/>
      <c r="E759" s="8"/>
      <c r="F759" s="8"/>
      <c r="G759" s="695"/>
      <c r="H759" s="695"/>
      <c r="I759" s="695"/>
      <c r="J759" s="695"/>
      <c r="K759" s="695"/>
      <c r="L759" s="695"/>
      <c r="M759" s="695"/>
      <c r="N759" s="695"/>
      <c r="O759" s="695"/>
      <c r="P759" s="695"/>
      <c r="Q759" s="695"/>
      <c r="R759" s="695"/>
      <c r="S759" s="695"/>
      <c r="T759" s="8"/>
      <c r="U759" s="8"/>
      <c r="V759" s="8"/>
      <c r="W759" s="8"/>
      <c r="X759" s="8"/>
      <c r="Y759" s="8"/>
      <c r="Z759" s="8"/>
      <c r="AA759" s="8"/>
      <c r="AB759" s="8"/>
    </row>
    <row r="760" ht="12.75" customHeight="1" spans="1:28" x14ac:dyDescent="0.25">
      <c r="A760" s="8"/>
      <c r="B760" s="8"/>
      <c r="C760" s="8"/>
      <c r="D760" s="8"/>
      <c r="E760" s="8"/>
      <c r="F760" s="8"/>
      <c r="G760" s="695"/>
      <c r="H760" s="695"/>
      <c r="I760" s="695"/>
      <c r="J760" s="695"/>
      <c r="K760" s="695"/>
      <c r="L760" s="695"/>
      <c r="M760" s="695"/>
      <c r="N760" s="695"/>
      <c r="O760" s="695"/>
      <c r="P760" s="695"/>
      <c r="Q760" s="695"/>
      <c r="R760" s="695"/>
      <c r="S760" s="695"/>
      <c r="T760" s="8"/>
      <c r="U760" s="8"/>
      <c r="V760" s="8"/>
      <c r="W760" s="8"/>
      <c r="X760" s="8"/>
      <c r="Y760" s="8"/>
      <c r="Z760" s="8"/>
      <c r="AA760" s="8"/>
      <c r="AB760" s="8"/>
    </row>
    <row r="761" ht="12.75" customHeight="1" spans="1:28" x14ac:dyDescent="0.25">
      <c r="A761" s="8"/>
      <c r="B761" s="8"/>
      <c r="C761" s="8"/>
      <c r="D761" s="8"/>
      <c r="E761" s="8"/>
      <c r="F761" s="8"/>
      <c r="G761" s="695"/>
      <c r="H761" s="695"/>
      <c r="I761" s="695"/>
      <c r="J761" s="695"/>
      <c r="K761" s="695"/>
      <c r="L761" s="695"/>
      <c r="M761" s="695"/>
      <c r="N761" s="695"/>
      <c r="O761" s="695"/>
      <c r="P761" s="695"/>
      <c r="Q761" s="695"/>
      <c r="R761" s="695"/>
      <c r="S761" s="695"/>
      <c r="T761" s="8"/>
      <c r="U761" s="8"/>
      <c r="V761" s="8"/>
      <c r="W761" s="8"/>
      <c r="X761" s="8"/>
      <c r="Y761" s="8"/>
      <c r="Z761" s="8"/>
      <c r="AA761" s="8"/>
      <c r="AB761" s="8"/>
    </row>
    <row r="762" ht="12.75" customHeight="1" spans="1:28" x14ac:dyDescent="0.25">
      <c r="A762" s="8"/>
      <c r="B762" s="8"/>
      <c r="C762" s="8"/>
      <c r="D762" s="8"/>
      <c r="E762" s="8"/>
      <c r="F762" s="8"/>
      <c r="G762" s="695"/>
      <c r="H762" s="695"/>
      <c r="I762" s="695"/>
      <c r="J762" s="695"/>
      <c r="K762" s="695"/>
      <c r="L762" s="695"/>
      <c r="M762" s="695"/>
      <c r="N762" s="695"/>
      <c r="O762" s="695"/>
      <c r="P762" s="695"/>
      <c r="Q762" s="695"/>
      <c r="R762" s="695"/>
      <c r="S762" s="695"/>
      <c r="T762" s="8"/>
      <c r="U762" s="8"/>
      <c r="V762" s="8"/>
      <c r="W762" s="8"/>
      <c r="X762" s="8"/>
      <c r="Y762" s="8"/>
      <c r="Z762" s="8"/>
      <c r="AA762" s="8"/>
      <c r="AB762" s="8"/>
    </row>
    <row r="763" ht="12.75" customHeight="1" spans="1:28" x14ac:dyDescent="0.25">
      <c r="A763" s="8"/>
      <c r="B763" s="8"/>
      <c r="C763" s="8"/>
      <c r="D763" s="8"/>
      <c r="E763" s="8"/>
      <c r="F763" s="8"/>
      <c r="G763" s="695"/>
      <c r="H763" s="695"/>
      <c r="I763" s="695"/>
      <c r="J763" s="695"/>
      <c r="K763" s="695"/>
      <c r="L763" s="695"/>
      <c r="M763" s="695"/>
      <c r="N763" s="695"/>
      <c r="O763" s="695"/>
      <c r="P763" s="695"/>
      <c r="Q763" s="695"/>
      <c r="R763" s="695"/>
      <c r="S763" s="695"/>
      <c r="T763" s="8"/>
      <c r="U763" s="8"/>
      <c r="V763" s="8"/>
      <c r="W763" s="8"/>
      <c r="X763" s="8"/>
      <c r="Y763" s="8"/>
      <c r="Z763" s="8"/>
      <c r="AA763" s="8"/>
      <c r="AB763" s="8"/>
    </row>
    <row r="764" ht="12.75" customHeight="1" spans="1:28" x14ac:dyDescent="0.25">
      <c r="A764" s="8"/>
      <c r="B764" s="8"/>
      <c r="C764" s="8"/>
      <c r="D764" s="8"/>
      <c r="E764" s="8"/>
      <c r="F764" s="8"/>
      <c r="G764" s="695"/>
      <c r="H764" s="695"/>
      <c r="I764" s="695"/>
      <c r="J764" s="695"/>
      <c r="K764" s="695"/>
      <c r="L764" s="695"/>
      <c r="M764" s="695"/>
      <c r="N764" s="695"/>
      <c r="O764" s="695"/>
      <c r="P764" s="695"/>
      <c r="Q764" s="695"/>
      <c r="R764" s="695"/>
      <c r="S764" s="695"/>
      <c r="T764" s="8"/>
      <c r="U764" s="8"/>
      <c r="V764" s="8"/>
      <c r="W764" s="8"/>
      <c r="X764" s="8"/>
      <c r="Y764" s="8"/>
      <c r="Z764" s="8"/>
      <c r="AA764" s="8"/>
      <c r="AB764" s="8"/>
    </row>
    <row r="765" ht="12.75" customHeight="1" spans="1:28" x14ac:dyDescent="0.25">
      <c r="A765" s="8"/>
      <c r="B765" s="8"/>
      <c r="C765" s="8"/>
      <c r="D765" s="8"/>
      <c r="E765" s="8"/>
      <c r="F765" s="8"/>
      <c r="G765" s="695"/>
      <c r="H765" s="695"/>
      <c r="I765" s="695"/>
      <c r="J765" s="695"/>
      <c r="K765" s="695"/>
      <c r="L765" s="695"/>
      <c r="M765" s="695"/>
      <c r="N765" s="695"/>
      <c r="O765" s="695"/>
      <c r="P765" s="695"/>
      <c r="Q765" s="695"/>
      <c r="R765" s="695"/>
      <c r="S765" s="695"/>
      <c r="T765" s="8"/>
      <c r="U765" s="8"/>
      <c r="V765" s="8"/>
      <c r="W765" s="8"/>
      <c r="X765" s="8"/>
      <c r="Y765" s="8"/>
      <c r="Z765" s="8"/>
      <c r="AA765" s="8"/>
      <c r="AB765" s="8"/>
    </row>
    <row r="766" ht="12.75" customHeight="1" spans="1:28" x14ac:dyDescent="0.25">
      <c r="A766" s="8"/>
      <c r="B766" s="8"/>
      <c r="C766" s="8"/>
      <c r="D766" s="8"/>
      <c r="E766" s="8"/>
      <c r="F766" s="8"/>
      <c r="G766" s="695"/>
      <c r="H766" s="695"/>
      <c r="I766" s="695"/>
      <c r="J766" s="695"/>
      <c r="K766" s="695"/>
      <c r="L766" s="695"/>
      <c r="M766" s="695"/>
      <c r="N766" s="695"/>
      <c r="O766" s="695"/>
      <c r="P766" s="695"/>
      <c r="Q766" s="695"/>
      <c r="R766" s="695"/>
      <c r="S766" s="695"/>
      <c r="T766" s="8"/>
      <c r="U766" s="8"/>
      <c r="V766" s="8"/>
      <c r="W766" s="8"/>
      <c r="X766" s="8"/>
      <c r="Y766" s="8"/>
      <c r="Z766" s="8"/>
      <c r="AA766" s="8"/>
      <c r="AB766" s="8"/>
    </row>
    <row r="767" ht="12.75" customHeight="1" spans="1:28" x14ac:dyDescent="0.25">
      <c r="A767" s="8"/>
      <c r="B767" s="8"/>
      <c r="C767" s="8"/>
      <c r="D767" s="8"/>
      <c r="E767" s="8"/>
      <c r="F767" s="8"/>
      <c r="G767" s="695"/>
      <c r="H767" s="695"/>
      <c r="I767" s="695"/>
      <c r="J767" s="695"/>
      <c r="K767" s="695"/>
      <c r="L767" s="695"/>
      <c r="M767" s="695"/>
      <c r="N767" s="695"/>
      <c r="O767" s="695"/>
      <c r="P767" s="695"/>
      <c r="Q767" s="695"/>
      <c r="R767" s="695"/>
      <c r="S767" s="695"/>
      <c r="T767" s="8"/>
      <c r="U767" s="8"/>
      <c r="V767" s="8"/>
      <c r="W767" s="8"/>
      <c r="X767" s="8"/>
      <c r="Y767" s="8"/>
      <c r="Z767" s="8"/>
      <c r="AA767" s="8"/>
      <c r="AB767" s="8"/>
    </row>
    <row r="768" ht="12.75" customHeight="1" spans="1:28" x14ac:dyDescent="0.25">
      <c r="A768" s="8"/>
      <c r="B768" s="8"/>
      <c r="C768" s="8"/>
      <c r="D768" s="8"/>
      <c r="E768" s="8"/>
      <c r="F768" s="8"/>
      <c r="G768" s="695"/>
      <c r="H768" s="695"/>
      <c r="I768" s="695"/>
      <c r="J768" s="695"/>
      <c r="K768" s="695"/>
      <c r="L768" s="695"/>
      <c r="M768" s="695"/>
      <c r="N768" s="695"/>
      <c r="O768" s="695"/>
      <c r="P768" s="695"/>
      <c r="Q768" s="695"/>
      <c r="R768" s="695"/>
      <c r="S768" s="695"/>
      <c r="T768" s="8"/>
      <c r="U768" s="8"/>
      <c r="V768" s="8"/>
      <c r="W768" s="8"/>
      <c r="X768" s="8"/>
      <c r="Y768" s="8"/>
      <c r="Z768" s="8"/>
      <c r="AA768" s="8"/>
      <c r="AB768" s="8"/>
    </row>
    <row r="769" ht="12.75" customHeight="1" spans="1:28" x14ac:dyDescent="0.25">
      <c r="A769" s="8"/>
      <c r="B769" s="8"/>
      <c r="C769" s="8"/>
      <c r="D769" s="8"/>
      <c r="E769" s="8"/>
      <c r="F769" s="8"/>
      <c r="G769" s="695"/>
      <c r="H769" s="695"/>
      <c r="I769" s="695"/>
      <c r="J769" s="695"/>
      <c r="K769" s="695"/>
      <c r="L769" s="695"/>
      <c r="M769" s="695"/>
      <c r="N769" s="695"/>
      <c r="O769" s="695"/>
      <c r="P769" s="695"/>
      <c r="Q769" s="695"/>
      <c r="R769" s="695"/>
      <c r="S769" s="695"/>
      <c r="T769" s="8"/>
      <c r="U769" s="8"/>
      <c r="V769" s="8"/>
      <c r="W769" s="8"/>
      <c r="X769" s="8"/>
      <c r="Y769" s="8"/>
      <c r="Z769" s="8"/>
      <c r="AA769" s="8"/>
      <c r="AB769" s="8"/>
    </row>
    <row r="770" ht="12.75" customHeight="1" spans="1:28" x14ac:dyDescent="0.25">
      <c r="A770" s="8"/>
      <c r="B770" s="8"/>
      <c r="C770" s="8"/>
      <c r="D770" s="8"/>
      <c r="E770" s="8"/>
      <c r="F770" s="8"/>
      <c r="G770" s="695"/>
      <c r="H770" s="695"/>
      <c r="I770" s="695"/>
      <c r="J770" s="695"/>
      <c r="K770" s="695"/>
      <c r="L770" s="695"/>
      <c r="M770" s="695"/>
      <c r="N770" s="695"/>
      <c r="O770" s="695"/>
      <c r="P770" s="695"/>
      <c r="Q770" s="695"/>
      <c r="R770" s="695"/>
      <c r="S770" s="695"/>
      <c r="T770" s="8"/>
      <c r="U770" s="8"/>
      <c r="V770" s="8"/>
      <c r="W770" s="8"/>
      <c r="X770" s="8"/>
      <c r="Y770" s="8"/>
      <c r="Z770" s="8"/>
      <c r="AA770" s="8"/>
      <c r="AB770" s="8"/>
    </row>
    <row r="771" ht="12.75" customHeight="1" spans="1:28" x14ac:dyDescent="0.25">
      <c r="A771" s="8"/>
      <c r="B771" s="8"/>
      <c r="C771" s="8"/>
      <c r="D771" s="8"/>
      <c r="E771" s="8"/>
      <c r="F771" s="8"/>
      <c r="G771" s="695"/>
      <c r="H771" s="695"/>
      <c r="I771" s="695"/>
      <c r="J771" s="695"/>
      <c r="K771" s="695"/>
      <c r="L771" s="695"/>
      <c r="M771" s="695"/>
      <c r="N771" s="695"/>
      <c r="O771" s="695"/>
      <c r="P771" s="695"/>
      <c r="Q771" s="695"/>
      <c r="R771" s="695"/>
      <c r="S771" s="695"/>
      <c r="T771" s="8"/>
      <c r="U771" s="8"/>
      <c r="V771" s="8"/>
      <c r="W771" s="8"/>
      <c r="X771" s="8"/>
      <c r="Y771" s="8"/>
      <c r="Z771" s="8"/>
      <c r="AA771" s="8"/>
      <c r="AB771" s="8"/>
    </row>
    <row r="772" ht="12.75" customHeight="1" spans="1:28" x14ac:dyDescent="0.25">
      <c r="A772" s="8"/>
      <c r="B772" s="8"/>
      <c r="C772" s="8"/>
      <c r="D772" s="8"/>
      <c r="E772" s="8"/>
      <c r="F772" s="8"/>
      <c r="G772" s="695"/>
      <c r="H772" s="695"/>
      <c r="I772" s="695"/>
      <c r="J772" s="695"/>
      <c r="K772" s="695"/>
      <c r="L772" s="695"/>
      <c r="M772" s="695"/>
      <c r="N772" s="695"/>
      <c r="O772" s="695"/>
      <c r="P772" s="695"/>
      <c r="Q772" s="695"/>
      <c r="R772" s="695"/>
      <c r="S772" s="695"/>
      <c r="T772" s="8"/>
      <c r="U772" s="8"/>
      <c r="V772" s="8"/>
      <c r="W772" s="8"/>
      <c r="X772" s="8"/>
      <c r="Y772" s="8"/>
      <c r="Z772" s="8"/>
      <c r="AA772" s="8"/>
      <c r="AB772" s="8"/>
    </row>
    <row r="773" ht="12.75" customHeight="1" spans="1:28" x14ac:dyDescent="0.25">
      <c r="A773" s="8"/>
      <c r="B773" s="8"/>
      <c r="C773" s="8"/>
      <c r="D773" s="8"/>
      <c r="E773" s="8"/>
      <c r="F773" s="8"/>
      <c r="G773" s="695"/>
      <c r="H773" s="695"/>
      <c r="I773" s="695"/>
      <c r="J773" s="695"/>
      <c r="K773" s="695"/>
      <c r="L773" s="695"/>
      <c r="M773" s="695"/>
      <c r="N773" s="695"/>
      <c r="O773" s="695"/>
      <c r="P773" s="695"/>
      <c r="Q773" s="695"/>
      <c r="R773" s="695"/>
      <c r="S773" s="695"/>
      <c r="T773" s="8"/>
      <c r="U773" s="8"/>
      <c r="V773" s="8"/>
      <c r="W773" s="8"/>
      <c r="X773" s="8"/>
      <c r="Y773" s="8"/>
      <c r="Z773" s="8"/>
      <c r="AA773" s="8"/>
      <c r="AB773" s="8"/>
    </row>
    <row r="774" ht="12.75" customHeight="1" spans="1:28" x14ac:dyDescent="0.25">
      <c r="A774" s="8"/>
      <c r="B774" s="8"/>
      <c r="C774" s="8"/>
      <c r="D774" s="8"/>
      <c r="E774" s="8"/>
      <c r="F774" s="8"/>
      <c r="G774" s="695"/>
      <c r="H774" s="695"/>
      <c r="I774" s="695"/>
      <c r="J774" s="695"/>
      <c r="K774" s="695"/>
      <c r="L774" s="695"/>
      <c r="M774" s="695"/>
      <c r="N774" s="695"/>
      <c r="O774" s="695"/>
      <c r="P774" s="695"/>
      <c r="Q774" s="695"/>
      <c r="R774" s="695"/>
      <c r="S774" s="695"/>
      <c r="T774" s="8"/>
      <c r="U774" s="8"/>
      <c r="V774" s="8"/>
      <c r="W774" s="8"/>
      <c r="X774" s="8"/>
      <c r="Y774" s="8"/>
      <c r="Z774" s="8"/>
      <c r="AA774" s="8"/>
      <c r="AB774" s="8"/>
    </row>
    <row r="775" ht="12.75" customHeight="1" spans="1:28" x14ac:dyDescent="0.25">
      <c r="A775" s="8"/>
      <c r="B775" s="8"/>
      <c r="C775" s="8"/>
      <c r="D775" s="8"/>
      <c r="E775" s="8"/>
      <c r="F775" s="8"/>
      <c r="G775" s="695"/>
      <c r="H775" s="695"/>
      <c r="I775" s="695"/>
      <c r="J775" s="695"/>
      <c r="K775" s="695"/>
      <c r="L775" s="695"/>
      <c r="M775" s="695"/>
      <c r="N775" s="695"/>
      <c r="O775" s="695"/>
      <c r="P775" s="695"/>
      <c r="Q775" s="695"/>
      <c r="R775" s="695"/>
      <c r="S775" s="695"/>
      <c r="T775" s="8"/>
      <c r="U775" s="8"/>
      <c r="V775" s="8"/>
      <c r="W775" s="8"/>
      <c r="X775" s="8"/>
      <c r="Y775" s="8"/>
      <c r="Z775" s="8"/>
      <c r="AA775" s="8"/>
      <c r="AB775" s="8"/>
    </row>
    <row r="776" ht="12.75" customHeight="1" spans="1:28" x14ac:dyDescent="0.25">
      <c r="A776" s="8"/>
      <c r="B776" s="8"/>
      <c r="C776" s="8"/>
      <c r="D776" s="8"/>
      <c r="E776" s="8"/>
      <c r="F776" s="8"/>
      <c r="G776" s="695"/>
      <c r="H776" s="695"/>
      <c r="I776" s="695"/>
      <c r="J776" s="695"/>
      <c r="K776" s="695"/>
      <c r="L776" s="695"/>
      <c r="M776" s="695"/>
      <c r="N776" s="695"/>
      <c r="O776" s="695"/>
      <c r="P776" s="695"/>
      <c r="Q776" s="695"/>
      <c r="R776" s="695"/>
      <c r="S776" s="695"/>
      <c r="T776" s="8"/>
      <c r="U776" s="8"/>
      <c r="V776" s="8"/>
      <c r="W776" s="8"/>
      <c r="X776" s="8"/>
      <c r="Y776" s="8"/>
      <c r="Z776" s="8"/>
      <c r="AA776" s="8"/>
      <c r="AB776" s="8"/>
    </row>
    <row r="777" ht="12.75" customHeight="1" spans="1:28" x14ac:dyDescent="0.25">
      <c r="A777" s="8"/>
      <c r="B777" s="8"/>
      <c r="C777" s="8"/>
      <c r="D777" s="8"/>
      <c r="E777" s="8"/>
      <c r="F777" s="8"/>
      <c r="G777" s="695"/>
      <c r="H777" s="695"/>
      <c r="I777" s="695"/>
      <c r="J777" s="695"/>
      <c r="K777" s="695"/>
      <c r="L777" s="695"/>
      <c r="M777" s="695"/>
      <c r="N777" s="695"/>
      <c r="O777" s="695"/>
      <c r="P777" s="695"/>
      <c r="Q777" s="695"/>
      <c r="R777" s="695"/>
      <c r="S777" s="695"/>
      <c r="T777" s="8"/>
      <c r="U777" s="8"/>
      <c r="V777" s="8"/>
      <c r="W777" s="8"/>
      <c r="X777" s="8"/>
      <c r="Y777" s="8"/>
      <c r="Z777" s="8"/>
      <c r="AA777" s="8"/>
      <c r="AB777" s="8"/>
    </row>
    <row r="778" ht="12.75" customHeight="1" spans="1:28" x14ac:dyDescent="0.25">
      <c r="A778" s="8"/>
      <c r="B778" s="8"/>
      <c r="C778" s="8"/>
      <c r="D778" s="8"/>
      <c r="E778" s="8"/>
      <c r="F778" s="8"/>
      <c r="G778" s="695"/>
      <c r="H778" s="695"/>
      <c r="I778" s="695"/>
      <c r="J778" s="695"/>
      <c r="K778" s="695"/>
      <c r="L778" s="695"/>
      <c r="M778" s="695"/>
      <c r="N778" s="695"/>
      <c r="O778" s="695"/>
      <c r="P778" s="695"/>
      <c r="Q778" s="695"/>
      <c r="R778" s="695"/>
      <c r="S778" s="695"/>
      <c r="T778" s="8"/>
      <c r="U778" s="8"/>
      <c r="V778" s="8"/>
      <c r="W778" s="8"/>
      <c r="X778" s="8"/>
      <c r="Y778" s="8"/>
      <c r="Z778" s="8"/>
      <c r="AA778" s="8"/>
      <c r="AB778" s="8"/>
    </row>
    <row r="779" ht="12.75" customHeight="1" spans="1:28" x14ac:dyDescent="0.25">
      <c r="A779" s="8"/>
      <c r="B779" s="8"/>
      <c r="C779" s="8"/>
      <c r="D779" s="8"/>
      <c r="E779" s="8"/>
      <c r="F779" s="8"/>
      <c r="G779" s="695"/>
      <c r="H779" s="695"/>
      <c r="I779" s="695"/>
      <c r="J779" s="695"/>
      <c r="K779" s="695"/>
      <c r="L779" s="695"/>
      <c r="M779" s="695"/>
      <c r="N779" s="695"/>
      <c r="O779" s="695"/>
      <c r="P779" s="695"/>
      <c r="Q779" s="695"/>
      <c r="R779" s="695"/>
      <c r="S779" s="695"/>
      <c r="T779" s="8"/>
      <c r="U779" s="8"/>
      <c r="V779" s="8"/>
      <c r="W779" s="8"/>
      <c r="X779" s="8"/>
      <c r="Y779" s="8"/>
      <c r="Z779" s="8"/>
      <c r="AA779" s="8"/>
      <c r="AB779" s="8"/>
    </row>
    <row r="780" ht="12.75" customHeight="1" spans="1:28" x14ac:dyDescent="0.25">
      <c r="A780" s="8"/>
      <c r="B780" s="8"/>
      <c r="C780" s="8"/>
      <c r="D780" s="8"/>
      <c r="E780" s="8"/>
      <c r="F780" s="8"/>
      <c r="G780" s="695"/>
      <c r="H780" s="695"/>
      <c r="I780" s="695"/>
      <c r="J780" s="695"/>
      <c r="K780" s="695"/>
      <c r="L780" s="695"/>
      <c r="M780" s="695"/>
      <c r="N780" s="695"/>
      <c r="O780" s="695"/>
      <c r="P780" s="695"/>
      <c r="Q780" s="695"/>
      <c r="R780" s="695"/>
      <c r="S780" s="695"/>
      <c r="T780" s="8"/>
      <c r="U780" s="8"/>
      <c r="V780" s="8"/>
      <c r="W780" s="8"/>
      <c r="X780" s="8"/>
      <c r="Y780" s="8"/>
      <c r="Z780" s="8"/>
      <c r="AA780" s="8"/>
      <c r="AB780" s="8"/>
    </row>
    <row r="781" ht="12.75" customHeight="1" spans="1:28" x14ac:dyDescent="0.25">
      <c r="A781" s="8"/>
      <c r="B781" s="8"/>
      <c r="C781" s="8"/>
      <c r="D781" s="8"/>
      <c r="E781" s="8"/>
      <c r="F781" s="8"/>
      <c r="G781" s="695"/>
      <c r="H781" s="695"/>
      <c r="I781" s="695"/>
      <c r="J781" s="695"/>
      <c r="K781" s="695"/>
      <c r="L781" s="695"/>
      <c r="M781" s="695"/>
      <c r="N781" s="695"/>
      <c r="O781" s="695"/>
      <c r="P781" s="695"/>
      <c r="Q781" s="695"/>
      <c r="R781" s="695"/>
      <c r="S781" s="695"/>
      <c r="T781" s="8"/>
      <c r="U781" s="8"/>
      <c r="V781" s="8"/>
      <c r="W781" s="8"/>
      <c r="X781" s="8"/>
      <c r="Y781" s="8"/>
      <c r="Z781" s="8"/>
      <c r="AA781" s="8"/>
      <c r="AB781" s="8"/>
    </row>
    <row r="782" ht="12.75" customHeight="1" spans="1:28" x14ac:dyDescent="0.25">
      <c r="A782" s="8"/>
      <c r="B782" s="8"/>
      <c r="C782" s="8"/>
      <c r="D782" s="8"/>
      <c r="E782" s="8"/>
      <c r="F782" s="8"/>
      <c r="G782" s="695"/>
      <c r="H782" s="695"/>
      <c r="I782" s="695"/>
      <c r="J782" s="695"/>
      <c r="K782" s="695"/>
      <c r="L782" s="695"/>
      <c r="M782" s="695"/>
      <c r="N782" s="695"/>
      <c r="O782" s="695"/>
      <c r="P782" s="695"/>
      <c r="Q782" s="695"/>
      <c r="R782" s="695"/>
      <c r="S782" s="695"/>
      <c r="T782" s="8"/>
      <c r="U782" s="8"/>
      <c r="V782" s="8"/>
      <c r="W782" s="8"/>
      <c r="X782" s="8"/>
      <c r="Y782" s="8"/>
      <c r="Z782" s="8"/>
      <c r="AA782" s="8"/>
      <c r="AB782" s="8"/>
    </row>
    <row r="783" ht="12.75" customHeight="1" spans="1:28" x14ac:dyDescent="0.25">
      <c r="A783" s="8"/>
      <c r="B783" s="8"/>
      <c r="C783" s="8"/>
      <c r="D783" s="8"/>
      <c r="E783" s="8"/>
      <c r="F783" s="8"/>
      <c r="G783" s="695"/>
      <c r="H783" s="695"/>
      <c r="I783" s="695"/>
      <c r="J783" s="695"/>
      <c r="K783" s="695"/>
      <c r="L783" s="695"/>
      <c r="M783" s="695"/>
      <c r="N783" s="695"/>
      <c r="O783" s="695"/>
      <c r="P783" s="695"/>
      <c r="Q783" s="695"/>
      <c r="R783" s="695"/>
      <c r="S783" s="695"/>
      <c r="T783" s="8"/>
      <c r="U783" s="8"/>
      <c r="V783" s="8"/>
      <c r="W783" s="8"/>
      <c r="X783" s="8"/>
      <c r="Y783" s="8"/>
      <c r="Z783" s="8"/>
      <c r="AA783" s="8"/>
      <c r="AB783" s="8"/>
    </row>
    <row r="784" ht="12.75" customHeight="1" spans="1:28" x14ac:dyDescent="0.25">
      <c r="A784" s="8"/>
      <c r="B784" s="8"/>
      <c r="C784" s="8"/>
      <c r="D784" s="8"/>
      <c r="E784" s="8"/>
      <c r="F784" s="8"/>
      <c r="G784" s="695"/>
      <c r="H784" s="695"/>
      <c r="I784" s="695"/>
      <c r="J784" s="695"/>
      <c r="K784" s="695"/>
      <c r="L784" s="695"/>
      <c r="M784" s="695"/>
      <c r="N784" s="695"/>
      <c r="O784" s="695"/>
      <c r="P784" s="695"/>
      <c r="Q784" s="695"/>
      <c r="R784" s="695"/>
      <c r="S784" s="695"/>
      <c r="T784" s="8"/>
      <c r="U784" s="8"/>
      <c r="V784" s="8"/>
      <c r="W784" s="8"/>
      <c r="X784" s="8"/>
      <c r="Y784" s="8"/>
      <c r="Z784" s="8"/>
      <c r="AA784" s="8"/>
      <c r="AB784" s="8"/>
    </row>
    <row r="785" ht="12.75" customHeight="1" spans="1:28" x14ac:dyDescent="0.25">
      <c r="A785" s="8"/>
      <c r="B785" s="8"/>
      <c r="C785" s="8"/>
      <c r="D785" s="8"/>
      <c r="E785" s="8"/>
      <c r="F785" s="8"/>
      <c r="G785" s="695"/>
      <c r="H785" s="695"/>
      <c r="I785" s="695"/>
      <c r="J785" s="695"/>
      <c r="K785" s="695"/>
      <c r="L785" s="695"/>
      <c r="M785" s="695"/>
      <c r="N785" s="695"/>
      <c r="O785" s="695"/>
      <c r="P785" s="695"/>
      <c r="Q785" s="695"/>
      <c r="R785" s="695"/>
      <c r="S785" s="695"/>
      <c r="T785" s="8"/>
      <c r="U785" s="8"/>
      <c r="V785" s="8"/>
      <c r="W785" s="8"/>
      <c r="X785" s="8"/>
      <c r="Y785" s="8"/>
      <c r="Z785" s="8"/>
      <c r="AA785" s="8"/>
      <c r="AB785" s="8"/>
    </row>
    <row r="786" ht="12.75" customHeight="1" spans="1:28" x14ac:dyDescent="0.25">
      <c r="A786" s="8"/>
      <c r="B786" s="8"/>
      <c r="C786" s="8"/>
      <c r="D786" s="8"/>
      <c r="E786" s="8"/>
      <c r="F786" s="8"/>
      <c r="G786" s="695"/>
      <c r="H786" s="695"/>
      <c r="I786" s="695"/>
      <c r="J786" s="695"/>
      <c r="K786" s="695"/>
      <c r="L786" s="695"/>
      <c r="M786" s="695"/>
      <c r="N786" s="695"/>
      <c r="O786" s="695"/>
      <c r="P786" s="695"/>
      <c r="Q786" s="695"/>
      <c r="R786" s="695"/>
      <c r="S786" s="695"/>
      <c r="T786" s="8"/>
      <c r="U786" s="8"/>
      <c r="V786" s="8"/>
      <c r="W786" s="8"/>
      <c r="X786" s="8"/>
      <c r="Y786" s="8"/>
      <c r="Z786" s="8"/>
      <c r="AA786" s="8"/>
      <c r="AB786" s="8"/>
    </row>
    <row r="787" ht="12.75" customHeight="1" spans="1:28" x14ac:dyDescent="0.25">
      <c r="A787" s="8"/>
      <c r="B787" s="8"/>
      <c r="C787" s="8"/>
      <c r="D787" s="8"/>
      <c r="E787" s="8"/>
      <c r="F787" s="8"/>
      <c r="G787" s="695"/>
      <c r="H787" s="695"/>
      <c r="I787" s="695"/>
      <c r="J787" s="695"/>
      <c r="K787" s="695"/>
      <c r="L787" s="695"/>
      <c r="M787" s="695"/>
      <c r="N787" s="695"/>
      <c r="O787" s="695"/>
      <c r="P787" s="695"/>
      <c r="Q787" s="695"/>
      <c r="R787" s="695"/>
      <c r="S787" s="695"/>
      <c r="T787" s="8"/>
      <c r="U787" s="8"/>
      <c r="V787" s="8"/>
      <c r="W787" s="8"/>
      <c r="X787" s="8"/>
      <c r="Y787" s="8"/>
      <c r="Z787" s="8"/>
      <c r="AA787" s="8"/>
      <c r="AB787" s="8"/>
    </row>
    <row r="788" ht="12.75" customHeight="1" spans="1:28" x14ac:dyDescent="0.25">
      <c r="A788" s="8"/>
      <c r="B788" s="8"/>
      <c r="C788" s="8"/>
      <c r="D788" s="8"/>
      <c r="E788" s="8"/>
      <c r="F788" s="8"/>
      <c r="G788" s="695"/>
      <c r="H788" s="695"/>
      <c r="I788" s="695"/>
      <c r="J788" s="695"/>
      <c r="K788" s="695"/>
      <c r="L788" s="695"/>
      <c r="M788" s="695"/>
      <c r="N788" s="695"/>
      <c r="O788" s="695"/>
      <c r="P788" s="695"/>
      <c r="Q788" s="695"/>
      <c r="R788" s="695"/>
      <c r="S788" s="695"/>
      <c r="T788" s="8"/>
      <c r="U788" s="8"/>
      <c r="V788" s="8"/>
      <c r="W788" s="8"/>
      <c r="X788" s="8"/>
      <c r="Y788" s="8"/>
      <c r="Z788" s="8"/>
      <c r="AA788" s="8"/>
      <c r="AB788" s="8"/>
    </row>
    <row r="789" ht="12.75" customHeight="1" spans="1:28" x14ac:dyDescent="0.25">
      <c r="A789" s="8"/>
      <c r="B789" s="8"/>
      <c r="C789" s="8"/>
      <c r="D789" s="8"/>
      <c r="E789" s="8"/>
      <c r="F789" s="8"/>
      <c r="G789" s="695"/>
      <c r="H789" s="695"/>
      <c r="I789" s="695"/>
      <c r="J789" s="695"/>
      <c r="K789" s="695"/>
      <c r="L789" s="695"/>
      <c r="M789" s="695"/>
      <c r="N789" s="695"/>
      <c r="O789" s="695"/>
      <c r="P789" s="695"/>
      <c r="Q789" s="695"/>
      <c r="R789" s="695"/>
      <c r="S789" s="695"/>
      <c r="T789" s="8"/>
      <c r="U789" s="8"/>
      <c r="V789" s="8"/>
      <c r="W789" s="8"/>
      <c r="X789" s="8"/>
      <c r="Y789" s="8"/>
      <c r="Z789" s="8"/>
      <c r="AA789" s="8"/>
      <c r="AB789" s="8"/>
    </row>
    <row r="790" ht="12.75" customHeight="1" spans="1:28" x14ac:dyDescent="0.25">
      <c r="A790" s="8"/>
      <c r="B790" s="8"/>
      <c r="C790" s="8"/>
      <c r="D790" s="8"/>
      <c r="E790" s="8"/>
      <c r="F790" s="8"/>
      <c r="G790" s="695"/>
      <c r="H790" s="695"/>
      <c r="I790" s="695"/>
      <c r="J790" s="695"/>
      <c r="K790" s="695"/>
      <c r="L790" s="695"/>
      <c r="M790" s="695"/>
      <c r="N790" s="695"/>
      <c r="O790" s="695"/>
      <c r="P790" s="695"/>
      <c r="Q790" s="695"/>
      <c r="R790" s="695"/>
      <c r="S790" s="695"/>
      <c r="T790" s="8"/>
      <c r="U790" s="8"/>
      <c r="V790" s="8"/>
      <c r="W790" s="8"/>
      <c r="X790" s="8"/>
      <c r="Y790" s="8"/>
      <c r="Z790" s="8"/>
      <c r="AA790" s="8"/>
      <c r="AB790" s="8"/>
    </row>
    <row r="791" ht="12.75" customHeight="1" spans="1:28" x14ac:dyDescent="0.25">
      <c r="A791" s="8"/>
      <c r="B791" s="8"/>
      <c r="C791" s="8"/>
      <c r="D791" s="8"/>
      <c r="E791" s="8"/>
      <c r="F791" s="8"/>
      <c r="G791" s="695"/>
      <c r="H791" s="695"/>
      <c r="I791" s="695"/>
      <c r="J791" s="695"/>
      <c r="K791" s="695"/>
      <c r="L791" s="695"/>
      <c r="M791" s="695"/>
      <c r="N791" s="695"/>
      <c r="O791" s="695"/>
      <c r="P791" s="695"/>
      <c r="Q791" s="695"/>
      <c r="R791" s="695"/>
      <c r="S791" s="695"/>
      <c r="T791" s="8"/>
      <c r="U791" s="8"/>
      <c r="V791" s="8"/>
      <c r="W791" s="8"/>
      <c r="X791" s="8"/>
      <c r="Y791" s="8"/>
      <c r="Z791" s="8"/>
      <c r="AA791" s="8"/>
      <c r="AB791" s="8"/>
    </row>
    <row r="792" ht="12.75" customHeight="1" spans="1:28" x14ac:dyDescent="0.25">
      <c r="A792" s="8"/>
      <c r="B792" s="8"/>
      <c r="C792" s="8"/>
      <c r="D792" s="8"/>
      <c r="E792" s="8"/>
      <c r="F792" s="8"/>
      <c r="G792" s="695"/>
      <c r="H792" s="695"/>
      <c r="I792" s="695"/>
      <c r="J792" s="695"/>
      <c r="K792" s="695"/>
      <c r="L792" s="695"/>
      <c r="M792" s="695"/>
      <c r="N792" s="695"/>
      <c r="O792" s="695"/>
      <c r="P792" s="695"/>
      <c r="Q792" s="695"/>
      <c r="R792" s="695"/>
      <c r="S792" s="695"/>
      <c r="T792" s="8"/>
      <c r="U792" s="8"/>
      <c r="V792" s="8"/>
      <c r="W792" s="8"/>
      <c r="X792" s="8"/>
      <c r="Y792" s="8"/>
      <c r="Z792" s="8"/>
      <c r="AA792" s="8"/>
      <c r="AB792" s="8"/>
    </row>
    <row r="793" ht="12.75" customHeight="1" spans="1:28" x14ac:dyDescent="0.25">
      <c r="A793" s="8"/>
      <c r="B793" s="8"/>
      <c r="C793" s="8"/>
      <c r="D793" s="8"/>
      <c r="E793" s="8"/>
      <c r="F793" s="8"/>
      <c r="G793" s="695"/>
      <c r="H793" s="695"/>
      <c r="I793" s="695"/>
      <c r="J793" s="695"/>
      <c r="K793" s="695"/>
      <c r="L793" s="695"/>
      <c r="M793" s="695"/>
      <c r="N793" s="695"/>
      <c r="O793" s="695"/>
      <c r="P793" s="695"/>
      <c r="Q793" s="695"/>
      <c r="R793" s="695"/>
      <c r="S793" s="695"/>
      <c r="T793" s="8"/>
      <c r="U793" s="8"/>
      <c r="V793" s="8"/>
      <c r="W793" s="8"/>
      <c r="X793" s="8"/>
      <c r="Y793" s="8"/>
      <c r="Z793" s="8"/>
      <c r="AA793" s="8"/>
      <c r="AB793" s="8"/>
    </row>
    <row r="794" ht="12.75" customHeight="1" spans="1:28" x14ac:dyDescent="0.25">
      <c r="A794" s="8"/>
      <c r="B794" s="8"/>
      <c r="C794" s="8"/>
      <c r="D794" s="8"/>
      <c r="E794" s="8"/>
      <c r="F794" s="8"/>
      <c r="G794" s="695"/>
      <c r="H794" s="695"/>
      <c r="I794" s="695"/>
      <c r="J794" s="695"/>
      <c r="K794" s="695"/>
      <c r="L794" s="695"/>
      <c r="M794" s="695"/>
      <c r="N794" s="695"/>
      <c r="O794" s="695"/>
      <c r="P794" s="695"/>
      <c r="Q794" s="695"/>
      <c r="R794" s="695"/>
      <c r="S794" s="695"/>
      <c r="T794" s="8"/>
      <c r="U794" s="8"/>
      <c r="V794" s="8"/>
      <c r="W794" s="8"/>
      <c r="X794" s="8"/>
      <c r="Y794" s="8"/>
      <c r="Z794" s="8"/>
      <c r="AA794" s="8"/>
      <c r="AB794" s="8"/>
    </row>
    <row r="795" ht="12.75" customHeight="1" spans="1:28" x14ac:dyDescent="0.25">
      <c r="A795" s="8"/>
      <c r="B795" s="8"/>
      <c r="C795" s="8"/>
      <c r="D795" s="8"/>
      <c r="E795" s="8"/>
      <c r="F795" s="8"/>
      <c r="G795" s="695"/>
      <c r="H795" s="695"/>
      <c r="I795" s="695"/>
      <c r="J795" s="695"/>
      <c r="K795" s="695"/>
      <c r="L795" s="695"/>
      <c r="M795" s="695"/>
      <c r="N795" s="695"/>
      <c r="O795" s="695"/>
      <c r="P795" s="695"/>
      <c r="Q795" s="695"/>
      <c r="R795" s="695"/>
      <c r="S795" s="695"/>
      <c r="T795" s="8"/>
      <c r="U795" s="8"/>
      <c r="V795" s="8"/>
      <c r="W795" s="8"/>
      <c r="X795" s="8"/>
      <c r="Y795" s="8"/>
      <c r="Z795" s="8"/>
      <c r="AA795" s="8"/>
      <c r="AB795" s="8"/>
    </row>
    <row r="796" ht="12.75" customHeight="1" spans="1:28" x14ac:dyDescent="0.25">
      <c r="A796" s="8"/>
      <c r="B796" s="8"/>
      <c r="C796" s="8"/>
      <c r="D796" s="8"/>
      <c r="E796" s="8"/>
      <c r="F796" s="8"/>
      <c r="G796" s="695"/>
      <c r="H796" s="695"/>
      <c r="I796" s="695"/>
      <c r="J796" s="695"/>
      <c r="K796" s="695"/>
      <c r="L796" s="695"/>
      <c r="M796" s="695"/>
      <c r="N796" s="695"/>
      <c r="O796" s="695"/>
      <c r="P796" s="695"/>
      <c r="Q796" s="695"/>
      <c r="R796" s="695"/>
      <c r="S796" s="695"/>
      <c r="T796" s="8"/>
      <c r="U796" s="8"/>
      <c r="V796" s="8"/>
      <c r="W796" s="8"/>
      <c r="X796" s="8"/>
      <c r="Y796" s="8"/>
      <c r="Z796" s="8"/>
      <c r="AA796" s="8"/>
      <c r="AB796" s="8"/>
    </row>
    <row r="797" ht="12.75" customHeight="1" spans="1:28" x14ac:dyDescent="0.25">
      <c r="A797" s="8"/>
      <c r="B797" s="8"/>
      <c r="C797" s="8"/>
      <c r="D797" s="8"/>
      <c r="E797" s="8"/>
      <c r="F797" s="8"/>
      <c r="G797" s="695"/>
      <c r="H797" s="695"/>
      <c r="I797" s="695"/>
      <c r="J797" s="695"/>
      <c r="K797" s="695"/>
      <c r="L797" s="695"/>
      <c r="M797" s="695"/>
      <c r="N797" s="695"/>
      <c r="O797" s="695"/>
      <c r="P797" s="695"/>
      <c r="Q797" s="695"/>
      <c r="R797" s="695"/>
      <c r="S797" s="695"/>
      <c r="T797" s="8"/>
      <c r="U797" s="8"/>
      <c r="V797" s="8"/>
      <c r="W797" s="8"/>
      <c r="X797" s="8"/>
      <c r="Y797" s="8"/>
      <c r="Z797" s="8"/>
      <c r="AA797" s="8"/>
      <c r="AB797" s="8"/>
    </row>
    <row r="798" ht="12.75" customHeight="1" spans="1:28" x14ac:dyDescent="0.25">
      <c r="A798" s="8"/>
      <c r="B798" s="8"/>
      <c r="C798" s="8"/>
      <c r="D798" s="8"/>
      <c r="E798" s="8"/>
      <c r="F798" s="8"/>
      <c r="G798" s="695"/>
      <c r="H798" s="695"/>
      <c r="I798" s="695"/>
      <c r="J798" s="695"/>
      <c r="K798" s="695"/>
      <c r="L798" s="695"/>
      <c r="M798" s="695"/>
      <c r="N798" s="695"/>
      <c r="O798" s="695"/>
      <c r="P798" s="695"/>
      <c r="Q798" s="695"/>
      <c r="R798" s="695"/>
      <c r="S798" s="695"/>
      <c r="T798" s="8"/>
      <c r="U798" s="8"/>
      <c r="V798" s="8"/>
      <c r="W798" s="8"/>
      <c r="X798" s="8"/>
      <c r="Y798" s="8"/>
      <c r="Z798" s="8"/>
      <c r="AA798" s="8"/>
      <c r="AB798" s="8"/>
    </row>
    <row r="799" ht="12.75" customHeight="1" spans="1:28" x14ac:dyDescent="0.25">
      <c r="A799" s="8"/>
      <c r="B799" s="8"/>
      <c r="C799" s="8"/>
      <c r="D799" s="8"/>
      <c r="E799" s="8"/>
      <c r="F799" s="8"/>
      <c r="G799" s="695"/>
      <c r="H799" s="695"/>
      <c r="I799" s="695"/>
      <c r="J799" s="695"/>
      <c r="K799" s="695"/>
      <c r="L799" s="695"/>
      <c r="M799" s="695"/>
      <c r="N799" s="695"/>
      <c r="O799" s="695"/>
      <c r="P799" s="695"/>
      <c r="Q799" s="695"/>
      <c r="R799" s="695"/>
      <c r="S799" s="695"/>
      <c r="T799" s="8"/>
      <c r="U799" s="8"/>
      <c r="V799" s="8"/>
      <c r="W799" s="8"/>
      <c r="X799" s="8"/>
      <c r="Y799" s="8"/>
      <c r="Z799" s="8"/>
      <c r="AA799" s="8"/>
      <c r="AB799" s="8"/>
    </row>
    <row r="800" ht="12.75" customHeight="1" spans="1:28" x14ac:dyDescent="0.25">
      <c r="A800" s="8"/>
      <c r="B800" s="8"/>
      <c r="C800" s="8"/>
      <c r="D800" s="8"/>
      <c r="E800" s="8"/>
      <c r="F800" s="8"/>
      <c r="G800" s="695"/>
      <c r="H800" s="695"/>
      <c r="I800" s="695"/>
      <c r="J800" s="695"/>
      <c r="K800" s="695"/>
      <c r="L800" s="695"/>
      <c r="M800" s="695"/>
      <c r="N800" s="695"/>
      <c r="O800" s="695"/>
      <c r="P800" s="695"/>
      <c r="Q800" s="695"/>
      <c r="R800" s="695"/>
      <c r="S800" s="695"/>
      <c r="T800" s="8"/>
      <c r="U800" s="8"/>
      <c r="V800" s="8"/>
      <c r="W800" s="8"/>
      <c r="X800" s="8"/>
      <c r="Y800" s="8"/>
      <c r="Z800" s="8"/>
      <c r="AA800" s="8"/>
      <c r="AB800" s="8"/>
    </row>
    <row r="801" ht="12.75" customHeight="1" spans="1:28" x14ac:dyDescent="0.25">
      <c r="A801" s="8"/>
      <c r="B801" s="8"/>
      <c r="C801" s="8"/>
      <c r="D801" s="8"/>
      <c r="E801" s="8"/>
      <c r="F801" s="8"/>
      <c r="G801" s="695"/>
      <c r="H801" s="695"/>
      <c r="I801" s="695"/>
      <c r="J801" s="695"/>
      <c r="K801" s="695"/>
      <c r="L801" s="695"/>
      <c r="M801" s="695"/>
      <c r="N801" s="695"/>
      <c r="O801" s="695"/>
      <c r="P801" s="695"/>
      <c r="Q801" s="695"/>
      <c r="R801" s="695"/>
      <c r="S801" s="695"/>
      <c r="T801" s="8"/>
      <c r="U801" s="8"/>
      <c r="V801" s="8"/>
      <c r="W801" s="8"/>
      <c r="X801" s="8"/>
      <c r="Y801" s="8"/>
      <c r="Z801" s="8"/>
      <c r="AA801" s="8"/>
      <c r="AB801" s="8"/>
    </row>
    <row r="802" ht="12.75" customHeight="1" spans="1:28" x14ac:dyDescent="0.25">
      <c r="A802" s="8"/>
      <c r="B802" s="8"/>
      <c r="C802" s="8"/>
      <c r="D802" s="8"/>
      <c r="E802" s="8"/>
      <c r="F802" s="8"/>
      <c r="G802" s="695"/>
      <c r="H802" s="695"/>
      <c r="I802" s="695"/>
      <c r="J802" s="695"/>
      <c r="K802" s="695"/>
      <c r="L802" s="695"/>
      <c r="M802" s="695"/>
      <c r="N802" s="695"/>
      <c r="O802" s="695"/>
      <c r="P802" s="695"/>
      <c r="Q802" s="695"/>
      <c r="R802" s="695"/>
      <c r="S802" s="695"/>
      <c r="T802" s="8"/>
      <c r="U802" s="8"/>
      <c r="V802" s="8"/>
      <c r="W802" s="8"/>
      <c r="X802" s="8"/>
      <c r="Y802" s="8"/>
      <c r="Z802" s="8"/>
      <c r="AA802" s="8"/>
      <c r="AB802" s="8"/>
    </row>
    <row r="803" ht="12.75" customHeight="1" spans="1:28" x14ac:dyDescent="0.25">
      <c r="A803" s="8"/>
      <c r="B803" s="8"/>
      <c r="C803" s="8"/>
      <c r="D803" s="8"/>
      <c r="E803" s="8"/>
      <c r="F803" s="8"/>
      <c r="G803" s="695"/>
      <c r="H803" s="695"/>
      <c r="I803" s="695"/>
      <c r="J803" s="695"/>
      <c r="K803" s="695"/>
      <c r="L803" s="695"/>
      <c r="M803" s="695"/>
      <c r="N803" s="695"/>
      <c r="O803" s="695"/>
      <c r="P803" s="695"/>
      <c r="Q803" s="695"/>
      <c r="R803" s="695"/>
      <c r="S803" s="695"/>
      <c r="T803" s="8"/>
      <c r="U803" s="8"/>
      <c r="V803" s="8"/>
      <c r="W803" s="8"/>
      <c r="X803" s="8"/>
      <c r="Y803" s="8"/>
      <c r="Z803" s="8"/>
      <c r="AA803" s="8"/>
      <c r="AB803" s="8"/>
    </row>
    <row r="804" ht="12.75" customHeight="1" spans="1:28" x14ac:dyDescent="0.25">
      <c r="A804" s="8"/>
      <c r="B804" s="8"/>
      <c r="C804" s="8"/>
      <c r="D804" s="8"/>
      <c r="E804" s="8"/>
      <c r="F804" s="8"/>
      <c r="G804" s="695"/>
      <c r="H804" s="695"/>
      <c r="I804" s="695"/>
      <c r="J804" s="695"/>
      <c r="K804" s="695"/>
      <c r="L804" s="695"/>
      <c r="M804" s="695"/>
      <c r="N804" s="695"/>
      <c r="O804" s="695"/>
      <c r="P804" s="695"/>
      <c r="Q804" s="695"/>
      <c r="R804" s="695"/>
      <c r="S804" s="695"/>
      <c r="T804" s="8"/>
      <c r="U804" s="8"/>
      <c r="V804" s="8"/>
      <c r="W804" s="8"/>
      <c r="X804" s="8"/>
      <c r="Y804" s="8"/>
      <c r="Z804" s="8"/>
      <c r="AA804" s="8"/>
      <c r="AB804" s="8"/>
    </row>
    <row r="805" ht="12.75" customHeight="1" spans="1:28" x14ac:dyDescent="0.25">
      <c r="A805" s="8"/>
      <c r="B805" s="8"/>
      <c r="C805" s="8"/>
      <c r="D805" s="8"/>
      <c r="E805" s="8"/>
      <c r="F805" s="8"/>
      <c r="G805" s="695"/>
      <c r="H805" s="695"/>
      <c r="I805" s="695"/>
      <c r="J805" s="695"/>
      <c r="K805" s="695"/>
      <c r="L805" s="695"/>
      <c r="M805" s="695"/>
      <c r="N805" s="695"/>
      <c r="O805" s="695"/>
      <c r="P805" s="695"/>
      <c r="Q805" s="695"/>
      <c r="R805" s="695"/>
      <c r="S805" s="695"/>
      <c r="T805" s="8"/>
      <c r="U805" s="8"/>
      <c r="V805" s="8"/>
      <c r="W805" s="8"/>
      <c r="X805" s="8"/>
      <c r="Y805" s="8"/>
      <c r="Z805" s="8"/>
      <c r="AA805" s="8"/>
      <c r="AB805" s="8"/>
    </row>
    <row r="806" ht="12.75" customHeight="1" spans="1:28" x14ac:dyDescent="0.25">
      <c r="A806" s="8"/>
      <c r="B806" s="8"/>
      <c r="C806" s="8"/>
      <c r="D806" s="8"/>
      <c r="E806" s="8"/>
      <c r="F806" s="8"/>
      <c r="G806" s="695"/>
      <c r="H806" s="695"/>
      <c r="I806" s="695"/>
      <c r="J806" s="695"/>
      <c r="K806" s="695"/>
      <c r="L806" s="695"/>
      <c r="M806" s="695"/>
      <c r="N806" s="695"/>
      <c r="O806" s="695"/>
      <c r="P806" s="695"/>
      <c r="Q806" s="695"/>
      <c r="R806" s="695"/>
      <c r="S806" s="695"/>
      <c r="T806" s="8"/>
      <c r="U806" s="8"/>
      <c r="V806" s="8"/>
      <c r="W806" s="8"/>
      <c r="X806" s="8"/>
      <c r="Y806" s="8"/>
      <c r="Z806" s="8"/>
      <c r="AA806" s="8"/>
      <c r="AB806" s="8"/>
    </row>
    <row r="807" ht="12.75" customHeight="1" spans="1:28" x14ac:dyDescent="0.25">
      <c r="A807" s="8"/>
      <c r="B807" s="8"/>
      <c r="C807" s="8"/>
      <c r="D807" s="8"/>
      <c r="E807" s="8"/>
      <c r="F807" s="8"/>
      <c r="G807" s="695"/>
      <c r="H807" s="695"/>
      <c r="I807" s="695"/>
      <c r="J807" s="695"/>
      <c r="K807" s="695"/>
      <c r="L807" s="695"/>
      <c r="M807" s="695"/>
      <c r="N807" s="695"/>
      <c r="O807" s="695"/>
      <c r="P807" s="695"/>
      <c r="Q807" s="695"/>
      <c r="R807" s="695"/>
      <c r="S807" s="695"/>
      <c r="T807" s="8"/>
      <c r="U807" s="8"/>
      <c r="V807" s="8"/>
      <c r="W807" s="8"/>
      <c r="X807" s="8"/>
      <c r="Y807" s="8"/>
      <c r="Z807" s="8"/>
      <c r="AA807" s="8"/>
      <c r="AB807" s="8"/>
    </row>
    <row r="808" ht="12.75" customHeight="1" spans="1:28" x14ac:dyDescent="0.25">
      <c r="A808" s="8"/>
      <c r="B808" s="8"/>
      <c r="C808" s="8"/>
      <c r="D808" s="8"/>
      <c r="E808" s="8"/>
      <c r="F808" s="8"/>
      <c r="G808" s="695"/>
      <c r="H808" s="695"/>
      <c r="I808" s="695"/>
      <c r="J808" s="695"/>
      <c r="K808" s="695"/>
      <c r="L808" s="695"/>
      <c r="M808" s="695"/>
      <c r="N808" s="695"/>
      <c r="O808" s="695"/>
      <c r="P808" s="695"/>
      <c r="Q808" s="695"/>
      <c r="R808" s="695"/>
      <c r="S808" s="695"/>
      <c r="T808" s="8"/>
      <c r="U808" s="8"/>
      <c r="V808" s="8"/>
      <c r="W808" s="8"/>
      <c r="X808" s="8"/>
      <c r="Y808" s="8"/>
      <c r="Z808" s="8"/>
      <c r="AA808" s="8"/>
      <c r="AB808" s="8"/>
    </row>
    <row r="809" ht="12.75" customHeight="1" spans="1:28" x14ac:dyDescent="0.25">
      <c r="A809" s="8"/>
      <c r="B809" s="8"/>
      <c r="C809" s="8"/>
      <c r="D809" s="8"/>
      <c r="E809" s="8"/>
      <c r="F809" s="8"/>
      <c r="G809" s="695"/>
      <c r="H809" s="695"/>
      <c r="I809" s="695"/>
      <c r="J809" s="695"/>
      <c r="K809" s="695"/>
      <c r="L809" s="695"/>
      <c r="M809" s="695"/>
      <c r="N809" s="695"/>
      <c r="O809" s="695"/>
      <c r="P809" s="695"/>
      <c r="Q809" s="695"/>
      <c r="R809" s="695"/>
      <c r="S809" s="695"/>
      <c r="T809" s="8"/>
      <c r="U809" s="8"/>
      <c r="V809" s="8"/>
      <c r="W809" s="8"/>
      <c r="X809" s="8"/>
      <c r="Y809" s="8"/>
      <c r="Z809" s="8"/>
      <c r="AA809" s="8"/>
      <c r="AB809" s="8"/>
    </row>
    <row r="810" ht="12.75" customHeight="1" spans="1:28" x14ac:dyDescent="0.25">
      <c r="A810" s="8"/>
      <c r="B810" s="8"/>
      <c r="C810" s="8"/>
      <c r="D810" s="8"/>
      <c r="E810" s="8"/>
      <c r="F810" s="8"/>
      <c r="G810" s="695"/>
      <c r="H810" s="695"/>
      <c r="I810" s="695"/>
      <c r="J810" s="695"/>
      <c r="K810" s="695"/>
      <c r="L810" s="695"/>
      <c r="M810" s="695"/>
      <c r="N810" s="695"/>
      <c r="O810" s="695"/>
      <c r="P810" s="695"/>
      <c r="Q810" s="695"/>
      <c r="R810" s="695"/>
      <c r="S810" s="695"/>
      <c r="T810" s="8"/>
      <c r="U810" s="8"/>
      <c r="V810" s="8"/>
      <c r="W810" s="8"/>
      <c r="X810" s="8"/>
      <c r="Y810" s="8"/>
      <c r="Z810" s="8"/>
      <c r="AA810" s="8"/>
      <c r="AB810" s="8"/>
    </row>
    <row r="811" ht="12.75" customHeight="1" spans="1:28" x14ac:dyDescent="0.25">
      <c r="A811" s="8"/>
      <c r="B811" s="8"/>
      <c r="C811" s="8"/>
      <c r="D811" s="8"/>
      <c r="E811" s="8"/>
      <c r="F811" s="8"/>
      <c r="G811" s="695"/>
      <c r="H811" s="695"/>
      <c r="I811" s="695"/>
      <c r="J811" s="695"/>
      <c r="K811" s="695"/>
      <c r="L811" s="695"/>
      <c r="M811" s="695"/>
      <c r="N811" s="695"/>
      <c r="O811" s="695"/>
      <c r="P811" s="695"/>
      <c r="Q811" s="695"/>
      <c r="R811" s="695"/>
      <c r="S811" s="695"/>
      <c r="T811" s="8"/>
      <c r="U811" s="8"/>
      <c r="V811" s="8"/>
      <c r="W811" s="8"/>
      <c r="X811" s="8"/>
      <c r="Y811" s="8"/>
      <c r="Z811" s="8"/>
      <c r="AA811" s="8"/>
      <c r="AB811" s="8"/>
    </row>
    <row r="812" ht="12.75" customHeight="1" spans="1:28" x14ac:dyDescent="0.25">
      <c r="A812" s="8"/>
      <c r="B812" s="8"/>
      <c r="C812" s="8"/>
      <c r="D812" s="8"/>
      <c r="E812" s="8"/>
      <c r="F812" s="8"/>
      <c r="G812" s="695"/>
      <c r="H812" s="695"/>
      <c r="I812" s="695"/>
      <c r="J812" s="695"/>
      <c r="K812" s="695"/>
      <c r="L812" s="695"/>
      <c r="M812" s="695"/>
      <c r="N812" s="695"/>
      <c r="O812" s="695"/>
      <c r="P812" s="695"/>
      <c r="Q812" s="695"/>
      <c r="R812" s="695"/>
      <c r="S812" s="695"/>
      <c r="T812" s="8"/>
      <c r="U812" s="8"/>
      <c r="V812" s="8"/>
      <c r="W812" s="8"/>
      <c r="X812" s="8"/>
      <c r="Y812" s="8"/>
      <c r="Z812" s="8"/>
      <c r="AA812" s="8"/>
      <c r="AB812" s="8"/>
    </row>
    <row r="813" ht="12.75" customHeight="1" spans="1:28" x14ac:dyDescent="0.25">
      <c r="A813" s="8"/>
      <c r="B813" s="8"/>
      <c r="C813" s="8"/>
      <c r="D813" s="8"/>
      <c r="E813" s="8"/>
      <c r="F813" s="8"/>
      <c r="G813" s="695"/>
      <c r="H813" s="695"/>
      <c r="I813" s="695"/>
      <c r="J813" s="695"/>
      <c r="K813" s="695"/>
      <c r="L813" s="695"/>
      <c r="M813" s="695"/>
      <c r="N813" s="695"/>
      <c r="O813" s="695"/>
      <c r="P813" s="695"/>
      <c r="Q813" s="695"/>
      <c r="R813" s="695"/>
      <c r="S813" s="695"/>
      <c r="T813" s="8"/>
      <c r="U813" s="8"/>
      <c r="V813" s="8"/>
      <c r="W813" s="8"/>
      <c r="X813" s="8"/>
      <c r="Y813" s="8"/>
      <c r="Z813" s="8"/>
      <c r="AA813" s="8"/>
      <c r="AB813" s="8"/>
    </row>
    <row r="814" ht="12.75" customHeight="1" spans="1:28" x14ac:dyDescent="0.25">
      <c r="A814" s="8"/>
      <c r="B814" s="8"/>
      <c r="C814" s="8"/>
      <c r="D814" s="8"/>
      <c r="E814" s="8"/>
      <c r="F814" s="8"/>
      <c r="G814" s="695"/>
      <c r="H814" s="695"/>
      <c r="I814" s="695"/>
      <c r="J814" s="695"/>
      <c r="K814" s="695"/>
      <c r="L814" s="695"/>
      <c r="M814" s="695"/>
      <c r="N814" s="695"/>
      <c r="O814" s="695"/>
      <c r="P814" s="695"/>
      <c r="Q814" s="695"/>
      <c r="R814" s="695"/>
      <c r="S814" s="695"/>
      <c r="T814" s="8"/>
      <c r="U814" s="8"/>
      <c r="V814" s="8"/>
      <c r="W814" s="8"/>
      <c r="X814" s="8"/>
      <c r="Y814" s="8"/>
      <c r="Z814" s="8"/>
      <c r="AA814" s="8"/>
      <c r="AB814" s="8"/>
    </row>
    <row r="815" ht="12.75" customHeight="1" spans="1:28" x14ac:dyDescent="0.25">
      <c r="A815" s="8"/>
      <c r="B815" s="8"/>
      <c r="C815" s="8"/>
      <c r="D815" s="8"/>
      <c r="E815" s="8"/>
      <c r="F815" s="8"/>
      <c r="G815" s="695"/>
      <c r="H815" s="695"/>
      <c r="I815" s="695"/>
      <c r="J815" s="695"/>
      <c r="K815" s="695"/>
      <c r="L815" s="695"/>
      <c r="M815" s="695"/>
      <c r="N815" s="695"/>
      <c r="O815" s="695"/>
      <c r="P815" s="695"/>
      <c r="Q815" s="695"/>
      <c r="R815" s="695"/>
      <c r="S815" s="695"/>
      <c r="T815" s="8"/>
      <c r="U815" s="8"/>
      <c r="V815" s="8"/>
      <c r="W815" s="8"/>
      <c r="X815" s="8"/>
      <c r="Y815" s="8"/>
      <c r="Z815" s="8"/>
      <c r="AA815" s="8"/>
      <c r="AB815" s="8"/>
    </row>
    <row r="816" ht="12.75" customHeight="1" spans="1:28" x14ac:dyDescent="0.25">
      <c r="A816" s="8"/>
      <c r="B816" s="8"/>
      <c r="C816" s="8"/>
      <c r="D816" s="8"/>
      <c r="E816" s="8"/>
      <c r="F816" s="8"/>
      <c r="G816" s="695"/>
      <c r="H816" s="695"/>
      <c r="I816" s="695"/>
      <c r="J816" s="695"/>
      <c r="K816" s="695"/>
      <c r="L816" s="695"/>
      <c r="M816" s="695"/>
      <c r="N816" s="695"/>
      <c r="O816" s="695"/>
      <c r="P816" s="695"/>
      <c r="Q816" s="695"/>
      <c r="R816" s="695"/>
      <c r="S816" s="695"/>
      <c r="T816" s="8"/>
      <c r="U816" s="8"/>
      <c r="V816" s="8"/>
      <c r="W816" s="8"/>
      <c r="X816" s="8"/>
      <c r="Y816" s="8"/>
      <c r="Z816" s="8"/>
      <c r="AA816" s="8"/>
      <c r="AB816" s="8"/>
    </row>
    <row r="817" ht="12.75" customHeight="1" spans="1:28" x14ac:dyDescent="0.25">
      <c r="A817" s="8"/>
      <c r="B817" s="8"/>
      <c r="C817" s="8"/>
      <c r="D817" s="8"/>
      <c r="E817" s="8"/>
      <c r="F817" s="8"/>
      <c r="G817" s="695"/>
      <c r="H817" s="695"/>
      <c r="I817" s="695"/>
      <c r="J817" s="695"/>
      <c r="K817" s="695"/>
      <c r="L817" s="695"/>
      <c r="M817" s="695"/>
      <c r="N817" s="695"/>
      <c r="O817" s="695"/>
      <c r="P817" s="695"/>
      <c r="Q817" s="695"/>
      <c r="R817" s="695"/>
      <c r="S817" s="695"/>
      <c r="T817" s="8"/>
      <c r="U817" s="8"/>
      <c r="V817" s="8"/>
      <c r="W817" s="8"/>
      <c r="X817" s="8"/>
      <c r="Y817" s="8"/>
      <c r="Z817" s="8"/>
      <c r="AA817" s="8"/>
      <c r="AB817" s="8"/>
    </row>
    <row r="818" ht="12.75" customHeight="1" spans="1:28" x14ac:dyDescent="0.25">
      <c r="A818" s="8"/>
      <c r="B818" s="8"/>
      <c r="C818" s="8"/>
      <c r="D818" s="8"/>
      <c r="E818" s="8"/>
      <c r="F818" s="8"/>
      <c r="G818" s="695"/>
      <c r="H818" s="695"/>
      <c r="I818" s="695"/>
      <c r="J818" s="695"/>
      <c r="K818" s="695"/>
      <c r="L818" s="695"/>
      <c r="M818" s="695"/>
      <c r="N818" s="695"/>
      <c r="O818" s="695"/>
      <c r="P818" s="695"/>
      <c r="Q818" s="695"/>
      <c r="R818" s="695"/>
      <c r="S818" s="695"/>
      <c r="T818" s="8"/>
      <c r="U818" s="8"/>
      <c r="V818" s="8"/>
      <c r="W818" s="8"/>
      <c r="X818" s="8"/>
      <c r="Y818" s="8"/>
      <c r="Z818" s="8"/>
      <c r="AA818" s="8"/>
      <c r="AB818" s="8"/>
    </row>
    <row r="819" ht="12.75" customHeight="1" spans="1:28" x14ac:dyDescent="0.25">
      <c r="A819" s="8"/>
      <c r="B819" s="8"/>
      <c r="C819" s="8"/>
      <c r="D819" s="8"/>
      <c r="E819" s="8"/>
      <c r="F819" s="8"/>
      <c r="G819" s="695"/>
      <c r="H819" s="695"/>
      <c r="I819" s="695"/>
      <c r="J819" s="695"/>
      <c r="K819" s="695"/>
      <c r="L819" s="695"/>
      <c r="M819" s="695"/>
      <c r="N819" s="695"/>
      <c r="O819" s="695"/>
      <c r="P819" s="695"/>
      <c r="Q819" s="695"/>
      <c r="R819" s="695"/>
      <c r="S819" s="695"/>
      <c r="T819" s="8"/>
      <c r="U819" s="8"/>
      <c r="V819" s="8"/>
      <c r="W819" s="8"/>
      <c r="X819" s="8"/>
      <c r="Y819" s="8"/>
      <c r="Z819" s="8"/>
      <c r="AA819" s="8"/>
      <c r="AB819" s="8"/>
    </row>
    <row r="820" ht="12.75" customHeight="1" spans="1:28" x14ac:dyDescent="0.25">
      <c r="A820" s="8"/>
      <c r="B820" s="8"/>
      <c r="C820" s="8"/>
      <c r="D820" s="8"/>
      <c r="E820" s="8"/>
      <c r="F820" s="8"/>
      <c r="G820" s="695"/>
      <c r="H820" s="695"/>
      <c r="I820" s="695"/>
      <c r="J820" s="695"/>
      <c r="K820" s="695"/>
      <c r="L820" s="695"/>
      <c r="M820" s="695"/>
      <c r="N820" s="695"/>
      <c r="O820" s="695"/>
      <c r="P820" s="695"/>
      <c r="Q820" s="695"/>
      <c r="R820" s="695"/>
      <c r="S820" s="695"/>
      <c r="T820" s="8"/>
      <c r="U820" s="8"/>
      <c r="V820" s="8"/>
      <c r="W820" s="8"/>
      <c r="X820" s="8"/>
      <c r="Y820" s="8"/>
      <c r="Z820" s="8"/>
      <c r="AA820" s="8"/>
      <c r="AB820" s="8"/>
    </row>
    <row r="821" ht="12.75" customHeight="1" spans="1:28" x14ac:dyDescent="0.25">
      <c r="A821" s="8"/>
      <c r="B821" s="8"/>
      <c r="C821" s="8"/>
      <c r="D821" s="8"/>
      <c r="E821" s="8"/>
      <c r="F821" s="8"/>
      <c r="G821" s="695"/>
      <c r="H821" s="695"/>
      <c r="I821" s="695"/>
      <c r="J821" s="695"/>
      <c r="K821" s="695"/>
      <c r="L821" s="695"/>
      <c r="M821" s="695"/>
      <c r="N821" s="695"/>
      <c r="O821" s="695"/>
      <c r="P821" s="695"/>
      <c r="Q821" s="695"/>
      <c r="R821" s="695"/>
      <c r="S821" s="695"/>
      <c r="T821" s="8"/>
      <c r="U821" s="8"/>
      <c r="V821" s="8"/>
      <c r="W821" s="8"/>
      <c r="X821" s="8"/>
      <c r="Y821" s="8"/>
      <c r="Z821" s="8"/>
      <c r="AA821" s="8"/>
      <c r="AB821" s="8"/>
    </row>
    <row r="822" ht="12.75" customHeight="1" spans="1:28" x14ac:dyDescent="0.25">
      <c r="A822" s="8"/>
      <c r="B822" s="8"/>
      <c r="C822" s="8"/>
      <c r="D822" s="8"/>
      <c r="E822" s="8"/>
      <c r="F822" s="8"/>
      <c r="G822" s="695"/>
      <c r="H822" s="695"/>
      <c r="I822" s="695"/>
      <c r="J822" s="695"/>
      <c r="K822" s="695"/>
      <c r="L822" s="695"/>
      <c r="M822" s="695"/>
      <c r="N822" s="695"/>
      <c r="O822" s="695"/>
      <c r="P822" s="695"/>
      <c r="Q822" s="695"/>
      <c r="R822" s="695"/>
      <c r="S822" s="695"/>
      <c r="T822" s="8"/>
      <c r="U822" s="8"/>
      <c r="V822" s="8"/>
      <c r="W822" s="8"/>
      <c r="X822" s="8"/>
      <c r="Y822" s="8"/>
      <c r="Z822" s="8"/>
      <c r="AA822" s="8"/>
      <c r="AB822" s="8"/>
    </row>
    <row r="823" ht="12.75" customHeight="1" spans="1:28" x14ac:dyDescent="0.25">
      <c r="A823" s="8"/>
      <c r="B823" s="8"/>
      <c r="C823" s="8"/>
      <c r="D823" s="8"/>
      <c r="E823" s="8"/>
      <c r="F823" s="8"/>
      <c r="G823" s="695"/>
      <c r="H823" s="695"/>
      <c r="I823" s="695"/>
      <c r="J823" s="695"/>
      <c r="K823" s="695"/>
      <c r="L823" s="695"/>
      <c r="M823" s="695"/>
      <c r="N823" s="695"/>
      <c r="O823" s="695"/>
      <c r="P823" s="695"/>
      <c r="Q823" s="695"/>
      <c r="R823" s="695"/>
      <c r="S823" s="695"/>
      <c r="T823" s="8"/>
      <c r="U823" s="8"/>
      <c r="V823" s="8"/>
      <c r="W823" s="8"/>
      <c r="X823" s="8"/>
      <c r="Y823" s="8"/>
      <c r="Z823" s="8"/>
      <c r="AA823" s="8"/>
      <c r="AB823" s="8"/>
    </row>
    <row r="824" ht="12.75" customHeight="1" spans="1:28" x14ac:dyDescent="0.25">
      <c r="A824" s="8"/>
      <c r="B824" s="8"/>
      <c r="C824" s="8"/>
      <c r="D824" s="8"/>
      <c r="E824" s="8"/>
      <c r="F824" s="8"/>
      <c r="G824" s="695"/>
      <c r="H824" s="695"/>
      <c r="I824" s="695"/>
      <c r="J824" s="695"/>
      <c r="K824" s="695"/>
      <c r="L824" s="695"/>
      <c r="M824" s="695"/>
      <c r="N824" s="695"/>
      <c r="O824" s="695"/>
      <c r="P824" s="695"/>
      <c r="Q824" s="695"/>
      <c r="R824" s="695"/>
      <c r="S824" s="695"/>
      <c r="T824" s="8"/>
      <c r="U824" s="8"/>
      <c r="V824" s="8"/>
      <c r="W824" s="8"/>
      <c r="X824" s="8"/>
      <c r="Y824" s="8"/>
      <c r="Z824" s="8"/>
      <c r="AA824" s="8"/>
      <c r="AB824" s="8"/>
    </row>
    <row r="825" ht="12.75" customHeight="1" spans="1:28" x14ac:dyDescent="0.25">
      <c r="A825" s="8"/>
      <c r="B825" s="8"/>
      <c r="C825" s="8"/>
      <c r="D825" s="8"/>
      <c r="E825" s="8"/>
      <c r="F825" s="8"/>
      <c r="G825" s="695"/>
      <c r="H825" s="695"/>
      <c r="I825" s="695"/>
      <c r="J825" s="695"/>
      <c r="K825" s="695"/>
      <c r="L825" s="695"/>
      <c r="M825" s="695"/>
      <c r="N825" s="695"/>
      <c r="O825" s="695"/>
      <c r="P825" s="695"/>
      <c r="Q825" s="695"/>
      <c r="R825" s="695"/>
      <c r="S825" s="695"/>
      <c r="T825" s="8"/>
      <c r="U825" s="8"/>
      <c r="V825" s="8"/>
      <c r="W825" s="8"/>
      <c r="X825" s="8"/>
      <c r="Y825" s="8"/>
      <c r="Z825" s="8"/>
      <c r="AA825" s="8"/>
      <c r="AB825" s="8"/>
    </row>
    <row r="826" ht="12.75" customHeight="1" spans="1:28" x14ac:dyDescent="0.25">
      <c r="A826" s="8"/>
      <c r="B826" s="8"/>
      <c r="C826" s="8"/>
      <c r="D826" s="8"/>
      <c r="E826" s="8"/>
      <c r="F826" s="8"/>
      <c r="G826" s="695"/>
      <c r="H826" s="695"/>
      <c r="I826" s="695"/>
      <c r="J826" s="695"/>
      <c r="K826" s="695"/>
      <c r="L826" s="695"/>
      <c r="M826" s="695"/>
      <c r="N826" s="695"/>
      <c r="O826" s="695"/>
      <c r="P826" s="695"/>
      <c r="Q826" s="695"/>
      <c r="R826" s="695"/>
      <c r="S826" s="695"/>
      <c r="T826" s="8"/>
      <c r="U826" s="8"/>
      <c r="V826" s="8"/>
      <c r="W826" s="8"/>
      <c r="X826" s="8"/>
      <c r="Y826" s="8"/>
      <c r="Z826" s="8"/>
      <c r="AA826" s="8"/>
      <c r="AB826" s="8"/>
    </row>
    <row r="827" ht="12.75" customHeight="1" spans="1:28" x14ac:dyDescent="0.25">
      <c r="A827" s="8"/>
      <c r="B827" s="8"/>
      <c r="C827" s="8"/>
      <c r="D827" s="8"/>
      <c r="E827" s="8"/>
      <c r="F827" s="8"/>
      <c r="G827" s="695"/>
      <c r="H827" s="695"/>
      <c r="I827" s="695"/>
      <c r="J827" s="695"/>
      <c r="K827" s="695"/>
      <c r="L827" s="695"/>
      <c r="M827" s="695"/>
      <c r="N827" s="695"/>
      <c r="O827" s="695"/>
      <c r="P827" s="695"/>
      <c r="Q827" s="695"/>
      <c r="R827" s="695"/>
      <c r="S827" s="695"/>
      <c r="T827" s="8"/>
      <c r="U827" s="8"/>
      <c r="V827" s="8"/>
      <c r="W827" s="8"/>
      <c r="X827" s="8"/>
      <c r="Y827" s="8"/>
      <c r="Z827" s="8"/>
      <c r="AA827" s="8"/>
      <c r="AB827" s="8"/>
    </row>
    <row r="828" ht="12.75" customHeight="1" spans="1:28" x14ac:dyDescent="0.25">
      <c r="A828" s="8"/>
      <c r="B828" s="8"/>
      <c r="C828" s="8"/>
      <c r="D828" s="8"/>
      <c r="E828" s="8"/>
      <c r="F828" s="8"/>
      <c r="G828" s="695"/>
      <c r="H828" s="695"/>
      <c r="I828" s="695"/>
      <c r="J828" s="695"/>
      <c r="K828" s="695"/>
      <c r="L828" s="695"/>
      <c r="M828" s="695"/>
      <c r="N828" s="695"/>
      <c r="O828" s="695"/>
      <c r="P828" s="695"/>
      <c r="Q828" s="695"/>
      <c r="R828" s="695"/>
      <c r="S828" s="695"/>
      <c r="T828" s="8"/>
      <c r="U828" s="8"/>
      <c r="V828" s="8"/>
      <c r="W828" s="8"/>
      <c r="X828" s="8"/>
      <c r="Y828" s="8"/>
      <c r="Z828" s="8"/>
      <c r="AA828" s="8"/>
      <c r="AB828" s="8"/>
    </row>
    <row r="829" ht="12.75" customHeight="1" spans="1:28" x14ac:dyDescent="0.25">
      <c r="A829" s="8"/>
      <c r="B829" s="8"/>
      <c r="C829" s="8"/>
      <c r="D829" s="8"/>
      <c r="E829" s="8"/>
      <c r="F829" s="8"/>
      <c r="G829" s="695"/>
      <c r="H829" s="695"/>
      <c r="I829" s="695"/>
      <c r="J829" s="695"/>
      <c r="K829" s="695"/>
      <c r="L829" s="695"/>
      <c r="M829" s="695"/>
      <c r="N829" s="695"/>
      <c r="O829" s="695"/>
      <c r="P829" s="695"/>
      <c r="Q829" s="695"/>
      <c r="R829" s="695"/>
      <c r="S829" s="695"/>
      <c r="T829" s="8"/>
      <c r="U829" s="8"/>
      <c r="V829" s="8"/>
      <c r="W829" s="8"/>
      <c r="X829" s="8"/>
      <c r="Y829" s="8"/>
      <c r="Z829" s="8"/>
      <c r="AA829" s="8"/>
      <c r="AB829" s="8"/>
    </row>
    <row r="830" ht="12.75" customHeight="1" spans="1:28" x14ac:dyDescent="0.25">
      <c r="A830" s="8"/>
      <c r="B830" s="8"/>
      <c r="C830" s="8"/>
      <c r="D830" s="8"/>
      <c r="E830" s="8"/>
      <c r="F830" s="8"/>
      <c r="G830" s="695"/>
      <c r="H830" s="695"/>
      <c r="I830" s="695"/>
      <c r="J830" s="695"/>
      <c r="K830" s="695"/>
      <c r="L830" s="695"/>
      <c r="M830" s="695"/>
      <c r="N830" s="695"/>
      <c r="O830" s="695"/>
      <c r="P830" s="695"/>
      <c r="Q830" s="695"/>
      <c r="R830" s="695"/>
      <c r="S830" s="695"/>
      <c r="T830" s="8"/>
      <c r="U830" s="8"/>
      <c r="V830" s="8"/>
      <c r="W830" s="8"/>
      <c r="X830" s="8"/>
      <c r="Y830" s="8"/>
      <c r="Z830" s="8"/>
      <c r="AA830" s="8"/>
      <c r="AB830" s="8"/>
    </row>
    <row r="831" ht="12.75" customHeight="1" spans="1:28" x14ac:dyDescent="0.25">
      <c r="A831" s="8"/>
      <c r="B831" s="8"/>
      <c r="C831" s="8"/>
      <c r="D831" s="8"/>
      <c r="E831" s="8"/>
      <c r="F831" s="8"/>
      <c r="G831" s="695"/>
      <c r="H831" s="695"/>
      <c r="I831" s="695"/>
      <c r="J831" s="695"/>
      <c r="K831" s="695"/>
      <c r="L831" s="695"/>
      <c r="M831" s="695"/>
      <c r="N831" s="695"/>
      <c r="O831" s="695"/>
      <c r="P831" s="695"/>
      <c r="Q831" s="695"/>
      <c r="R831" s="695"/>
      <c r="S831" s="695"/>
      <c r="T831" s="8"/>
      <c r="U831" s="8"/>
      <c r="V831" s="8"/>
      <c r="W831" s="8"/>
      <c r="X831" s="8"/>
      <c r="Y831" s="8"/>
      <c r="Z831" s="8"/>
      <c r="AA831" s="8"/>
      <c r="AB831" s="8"/>
    </row>
    <row r="832" ht="12.75" customHeight="1" spans="1:28" x14ac:dyDescent="0.25">
      <c r="A832" s="8"/>
      <c r="B832" s="8"/>
      <c r="C832" s="8"/>
      <c r="D832" s="8"/>
      <c r="E832" s="8"/>
      <c r="F832" s="8"/>
      <c r="G832" s="695"/>
      <c r="H832" s="695"/>
      <c r="I832" s="695"/>
      <c r="J832" s="695"/>
      <c r="K832" s="695"/>
      <c r="L832" s="695"/>
      <c r="M832" s="695"/>
      <c r="N832" s="695"/>
      <c r="O832" s="695"/>
      <c r="P832" s="695"/>
      <c r="Q832" s="695"/>
      <c r="R832" s="695"/>
      <c r="S832" s="695"/>
      <c r="T832" s="8"/>
      <c r="U832" s="8"/>
      <c r="V832" s="8"/>
      <c r="W832" s="8"/>
      <c r="X832" s="8"/>
      <c r="Y832" s="8"/>
      <c r="Z832" s="8"/>
      <c r="AA832" s="8"/>
      <c r="AB832" s="8"/>
    </row>
    <row r="833" ht="12.75" customHeight="1" spans="1:28" x14ac:dyDescent="0.25">
      <c r="A833" s="8"/>
      <c r="B833" s="8"/>
      <c r="C833" s="8"/>
      <c r="D833" s="8"/>
      <c r="E833" s="8"/>
      <c r="F833" s="8"/>
      <c r="G833" s="695"/>
      <c r="H833" s="695"/>
      <c r="I833" s="695"/>
      <c r="J833" s="695"/>
      <c r="K833" s="695"/>
      <c r="L833" s="695"/>
      <c r="M833" s="695"/>
      <c r="N833" s="695"/>
      <c r="O833" s="695"/>
      <c r="P833" s="695"/>
      <c r="Q833" s="695"/>
      <c r="R833" s="695"/>
      <c r="S833" s="695"/>
      <c r="T833" s="8"/>
      <c r="U833" s="8"/>
      <c r="V833" s="8"/>
      <c r="W833" s="8"/>
      <c r="X833" s="8"/>
      <c r="Y833" s="8"/>
      <c r="Z833" s="8"/>
      <c r="AA833" s="8"/>
      <c r="AB833" s="8"/>
    </row>
    <row r="834" ht="12.75" customHeight="1" spans="1:28" x14ac:dyDescent="0.25">
      <c r="A834" s="8"/>
      <c r="B834" s="8"/>
      <c r="C834" s="8"/>
      <c r="D834" s="8"/>
      <c r="E834" s="8"/>
      <c r="F834" s="8"/>
      <c r="G834" s="695"/>
      <c r="H834" s="695"/>
      <c r="I834" s="695"/>
      <c r="J834" s="695"/>
      <c r="K834" s="695"/>
      <c r="L834" s="695"/>
      <c r="M834" s="695"/>
      <c r="N834" s="695"/>
      <c r="O834" s="695"/>
      <c r="P834" s="695"/>
      <c r="Q834" s="695"/>
      <c r="R834" s="695"/>
      <c r="S834" s="695"/>
      <c r="T834" s="8"/>
      <c r="U834" s="8"/>
      <c r="V834" s="8"/>
      <c r="W834" s="8"/>
      <c r="X834" s="8"/>
      <c r="Y834" s="8"/>
      <c r="Z834" s="8"/>
      <c r="AA834" s="8"/>
      <c r="AB834" s="8"/>
    </row>
    <row r="835" ht="12.75" customHeight="1" spans="1:28" x14ac:dyDescent="0.25">
      <c r="A835" s="8"/>
      <c r="B835" s="8"/>
      <c r="C835" s="8"/>
      <c r="D835" s="8"/>
      <c r="E835" s="8"/>
      <c r="F835" s="8"/>
      <c r="G835" s="695"/>
      <c r="H835" s="695"/>
      <c r="I835" s="695"/>
      <c r="J835" s="695"/>
      <c r="K835" s="695"/>
      <c r="L835" s="695"/>
      <c r="M835" s="695"/>
      <c r="N835" s="695"/>
      <c r="O835" s="695"/>
      <c r="P835" s="695"/>
      <c r="Q835" s="695"/>
      <c r="R835" s="695"/>
      <c r="S835" s="695"/>
      <c r="T835" s="8"/>
      <c r="U835" s="8"/>
      <c r="V835" s="8"/>
      <c r="W835" s="8"/>
      <c r="X835" s="8"/>
      <c r="Y835" s="8"/>
      <c r="Z835" s="8"/>
      <c r="AA835" s="8"/>
      <c r="AB835" s="8"/>
    </row>
    <row r="836" ht="12.75" customHeight="1" spans="1:28" x14ac:dyDescent="0.25">
      <c r="A836" s="8"/>
      <c r="B836" s="8"/>
      <c r="C836" s="8"/>
      <c r="D836" s="8"/>
      <c r="E836" s="8"/>
      <c r="F836" s="8"/>
      <c r="G836" s="695"/>
      <c r="H836" s="695"/>
      <c r="I836" s="695"/>
      <c r="J836" s="695"/>
      <c r="K836" s="695"/>
      <c r="L836" s="695"/>
      <c r="M836" s="695"/>
      <c r="N836" s="695"/>
      <c r="O836" s="695"/>
      <c r="P836" s="695"/>
      <c r="Q836" s="695"/>
      <c r="R836" s="695"/>
      <c r="S836" s="695"/>
      <c r="T836" s="8"/>
      <c r="U836" s="8"/>
      <c r="V836" s="8"/>
      <c r="W836" s="8"/>
      <c r="X836" s="8"/>
      <c r="Y836" s="8"/>
      <c r="Z836" s="8"/>
      <c r="AA836" s="8"/>
      <c r="AB836" s="8"/>
    </row>
    <row r="837" ht="12.75" customHeight="1" spans="1:28" x14ac:dyDescent="0.25">
      <c r="A837" s="8"/>
      <c r="B837" s="8"/>
      <c r="C837" s="8"/>
      <c r="D837" s="8"/>
      <c r="E837" s="8"/>
      <c r="F837" s="8"/>
      <c r="G837" s="695"/>
      <c r="H837" s="695"/>
      <c r="I837" s="695"/>
      <c r="J837" s="695"/>
      <c r="K837" s="695"/>
      <c r="L837" s="695"/>
      <c r="M837" s="695"/>
      <c r="N837" s="695"/>
      <c r="O837" s="695"/>
      <c r="P837" s="695"/>
      <c r="Q837" s="695"/>
      <c r="R837" s="695"/>
      <c r="S837" s="695"/>
      <c r="T837" s="8"/>
      <c r="U837" s="8"/>
      <c r="V837" s="8"/>
      <c r="W837" s="8"/>
      <c r="X837" s="8"/>
      <c r="Y837" s="8"/>
      <c r="Z837" s="8"/>
      <c r="AA837" s="8"/>
      <c r="AB837" s="8"/>
    </row>
    <row r="838" ht="12.75" customHeight="1" spans="1:28" x14ac:dyDescent="0.25">
      <c r="A838" s="8"/>
      <c r="B838" s="8"/>
      <c r="C838" s="8"/>
      <c r="D838" s="8"/>
      <c r="E838" s="8"/>
      <c r="F838" s="8"/>
      <c r="G838" s="695"/>
      <c r="H838" s="695"/>
      <c r="I838" s="695"/>
      <c r="J838" s="695"/>
      <c r="K838" s="695"/>
      <c r="L838" s="695"/>
      <c r="M838" s="695"/>
      <c r="N838" s="695"/>
      <c r="O838" s="695"/>
      <c r="P838" s="695"/>
      <c r="Q838" s="695"/>
      <c r="R838" s="695"/>
      <c r="S838" s="695"/>
      <c r="T838" s="8"/>
      <c r="U838" s="8"/>
      <c r="V838" s="8"/>
      <c r="W838" s="8"/>
      <c r="X838" s="8"/>
      <c r="Y838" s="8"/>
      <c r="Z838" s="8"/>
      <c r="AA838" s="8"/>
      <c r="AB838" s="8"/>
    </row>
    <row r="839" ht="12.75" customHeight="1" spans="1:28" x14ac:dyDescent="0.25">
      <c r="A839" s="8"/>
      <c r="B839" s="8"/>
      <c r="C839" s="8"/>
      <c r="D839" s="8"/>
      <c r="E839" s="8"/>
      <c r="F839" s="8"/>
      <c r="G839" s="695"/>
      <c r="H839" s="695"/>
      <c r="I839" s="695"/>
      <c r="J839" s="695"/>
      <c r="K839" s="695"/>
      <c r="L839" s="695"/>
      <c r="M839" s="695"/>
      <c r="N839" s="695"/>
      <c r="O839" s="695"/>
      <c r="P839" s="695"/>
      <c r="Q839" s="695"/>
      <c r="R839" s="695"/>
      <c r="S839" s="695"/>
      <c r="T839" s="8"/>
      <c r="U839" s="8"/>
      <c r="V839" s="8"/>
      <c r="W839" s="8"/>
      <c r="X839" s="8"/>
      <c r="Y839" s="8"/>
      <c r="Z839" s="8"/>
      <c r="AA839" s="8"/>
      <c r="AB839" s="8"/>
    </row>
    <row r="840" ht="12.75" customHeight="1" spans="1:28" x14ac:dyDescent="0.25">
      <c r="A840" s="8"/>
      <c r="B840" s="8"/>
      <c r="C840" s="8"/>
      <c r="D840" s="8"/>
      <c r="E840" s="8"/>
      <c r="F840" s="8"/>
      <c r="G840" s="695"/>
      <c r="H840" s="695"/>
      <c r="I840" s="695"/>
      <c r="J840" s="695"/>
      <c r="K840" s="695"/>
      <c r="L840" s="695"/>
      <c r="M840" s="695"/>
      <c r="N840" s="695"/>
      <c r="O840" s="695"/>
      <c r="P840" s="695"/>
      <c r="Q840" s="695"/>
      <c r="R840" s="695"/>
      <c r="S840" s="695"/>
      <c r="T840" s="8"/>
      <c r="U840" s="8"/>
      <c r="V840" s="8"/>
      <c r="W840" s="8"/>
      <c r="X840" s="8"/>
      <c r="Y840" s="8"/>
      <c r="Z840" s="8"/>
      <c r="AA840" s="8"/>
      <c r="AB840" s="8"/>
    </row>
    <row r="841" ht="12.75" customHeight="1" spans="1:28" x14ac:dyDescent="0.25">
      <c r="A841" s="8"/>
      <c r="B841" s="8"/>
      <c r="C841" s="8"/>
      <c r="D841" s="8"/>
      <c r="E841" s="8"/>
      <c r="F841" s="8"/>
      <c r="G841" s="695"/>
      <c r="H841" s="695"/>
      <c r="I841" s="695"/>
      <c r="J841" s="695"/>
      <c r="K841" s="695"/>
      <c r="L841" s="695"/>
      <c r="M841" s="695"/>
      <c r="N841" s="695"/>
      <c r="O841" s="695"/>
      <c r="P841" s="695"/>
      <c r="Q841" s="695"/>
      <c r="R841" s="695"/>
      <c r="S841" s="695"/>
      <c r="T841" s="8"/>
      <c r="U841" s="8"/>
      <c r="V841" s="8"/>
      <c r="W841" s="8"/>
      <c r="X841" s="8"/>
      <c r="Y841" s="8"/>
      <c r="Z841" s="8"/>
      <c r="AA841" s="8"/>
      <c r="AB841" s="8"/>
    </row>
    <row r="842" ht="12.75" customHeight="1" spans="1:28" x14ac:dyDescent="0.25">
      <c r="A842" s="8"/>
      <c r="B842" s="8"/>
      <c r="C842" s="8"/>
      <c r="D842" s="8"/>
      <c r="E842" s="8"/>
      <c r="F842" s="8"/>
      <c r="G842" s="695"/>
      <c r="H842" s="695"/>
      <c r="I842" s="695"/>
      <c r="J842" s="695"/>
      <c r="K842" s="695"/>
      <c r="L842" s="695"/>
      <c r="M842" s="695"/>
      <c r="N842" s="695"/>
      <c r="O842" s="695"/>
      <c r="P842" s="695"/>
      <c r="Q842" s="695"/>
      <c r="R842" s="695"/>
      <c r="S842" s="695"/>
      <c r="T842" s="8"/>
      <c r="U842" s="8"/>
      <c r="V842" s="8"/>
      <c r="W842" s="8"/>
      <c r="X842" s="8"/>
      <c r="Y842" s="8"/>
      <c r="Z842" s="8"/>
      <c r="AA842" s="8"/>
      <c r="AB842" s="8"/>
    </row>
    <row r="843" ht="12.75" customHeight="1" spans="1:28" x14ac:dyDescent="0.25">
      <c r="A843" s="8"/>
      <c r="B843" s="8"/>
      <c r="C843" s="8"/>
      <c r="D843" s="8"/>
      <c r="E843" s="8"/>
      <c r="F843" s="8"/>
      <c r="G843" s="695"/>
      <c r="H843" s="695"/>
      <c r="I843" s="695"/>
      <c r="J843" s="695"/>
      <c r="K843" s="695"/>
      <c r="L843" s="695"/>
      <c r="M843" s="695"/>
      <c r="N843" s="695"/>
      <c r="O843" s="695"/>
      <c r="P843" s="695"/>
      <c r="Q843" s="695"/>
      <c r="R843" s="695"/>
      <c r="S843" s="695"/>
      <c r="T843" s="8"/>
      <c r="U843" s="8"/>
      <c r="V843" s="8"/>
      <c r="W843" s="8"/>
      <c r="X843" s="8"/>
      <c r="Y843" s="8"/>
      <c r="Z843" s="8"/>
      <c r="AA843" s="8"/>
      <c r="AB843" s="8"/>
    </row>
    <row r="844" ht="12.75" customHeight="1" spans="1:28" x14ac:dyDescent="0.25">
      <c r="A844" s="8"/>
      <c r="B844" s="8"/>
      <c r="C844" s="8"/>
      <c r="D844" s="8"/>
      <c r="E844" s="8"/>
      <c r="F844" s="8"/>
      <c r="G844" s="695"/>
      <c r="H844" s="695"/>
      <c r="I844" s="695"/>
      <c r="J844" s="695"/>
      <c r="K844" s="695"/>
      <c r="L844" s="695"/>
      <c r="M844" s="695"/>
      <c r="N844" s="695"/>
      <c r="O844" s="695"/>
      <c r="P844" s="695"/>
      <c r="Q844" s="695"/>
      <c r="R844" s="695"/>
      <c r="S844" s="695"/>
      <c r="T844" s="8"/>
      <c r="U844" s="8"/>
      <c r="V844" s="8"/>
      <c r="W844" s="8"/>
      <c r="X844" s="8"/>
      <c r="Y844" s="8"/>
      <c r="Z844" s="8"/>
      <c r="AA844" s="8"/>
      <c r="AB844" s="8"/>
    </row>
    <row r="845" ht="12.75" customHeight="1" spans="1:28" x14ac:dyDescent="0.25">
      <c r="A845" s="8"/>
      <c r="B845" s="8"/>
      <c r="C845" s="8"/>
      <c r="D845" s="8"/>
      <c r="E845" s="8"/>
      <c r="F845" s="8"/>
      <c r="G845" s="695"/>
      <c r="H845" s="695"/>
      <c r="I845" s="695"/>
      <c r="J845" s="695"/>
      <c r="K845" s="695"/>
      <c r="L845" s="695"/>
      <c r="M845" s="695"/>
      <c r="N845" s="695"/>
      <c r="O845" s="695"/>
      <c r="P845" s="695"/>
      <c r="Q845" s="695"/>
      <c r="R845" s="695"/>
      <c r="S845" s="695"/>
      <c r="T845" s="8"/>
      <c r="U845" s="8"/>
      <c r="V845" s="8"/>
      <c r="W845" s="8"/>
      <c r="X845" s="8"/>
      <c r="Y845" s="8"/>
      <c r="Z845" s="8"/>
      <c r="AA845" s="8"/>
      <c r="AB845" s="8"/>
    </row>
    <row r="846" ht="12.75" customHeight="1" spans="1:28" x14ac:dyDescent="0.25">
      <c r="A846" s="8"/>
      <c r="B846" s="8"/>
      <c r="C846" s="8"/>
      <c r="D846" s="8"/>
      <c r="E846" s="8"/>
      <c r="F846" s="8"/>
      <c r="G846" s="695"/>
      <c r="H846" s="695"/>
      <c r="I846" s="695"/>
      <c r="J846" s="695"/>
      <c r="K846" s="695"/>
      <c r="L846" s="695"/>
      <c r="M846" s="695"/>
      <c r="N846" s="695"/>
      <c r="O846" s="695"/>
      <c r="P846" s="695"/>
      <c r="Q846" s="695"/>
      <c r="R846" s="695"/>
      <c r="S846" s="695"/>
      <c r="T846" s="8"/>
      <c r="U846" s="8"/>
      <c r="V846" s="8"/>
      <c r="W846" s="8"/>
      <c r="X846" s="8"/>
      <c r="Y846" s="8"/>
      <c r="Z846" s="8"/>
      <c r="AA846" s="8"/>
      <c r="AB846" s="8"/>
    </row>
    <row r="847" ht="12.75" customHeight="1" spans="1:28" x14ac:dyDescent="0.25">
      <c r="A847" s="8"/>
      <c r="B847" s="8"/>
      <c r="C847" s="8"/>
      <c r="D847" s="8"/>
      <c r="E847" s="8"/>
      <c r="F847" s="8"/>
      <c r="G847" s="695"/>
      <c r="H847" s="695"/>
      <c r="I847" s="695"/>
      <c r="J847" s="695"/>
      <c r="K847" s="695"/>
      <c r="L847" s="695"/>
      <c r="M847" s="695"/>
      <c r="N847" s="695"/>
      <c r="O847" s="695"/>
      <c r="P847" s="695"/>
      <c r="Q847" s="695"/>
      <c r="R847" s="695"/>
      <c r="S847" s="695"/>
      <c r="T847" s="8"/>
      <c r="U847" s="8"/>
      <c r="V847" s="8"/>
      <c r="W847" s="8"/>
      <c r="X847" s="8"/>
      <c r="Y847" s="8"/>
      <c r="Z847" s="8"/>
      <c r="AA847" s="8"/>
      <c r="AB847" s="8"/>
    </row>
    <row r="848" ht="12.75" customHeight="1" spans="1:28" x14ac:dyDescent="0.25">
      <c r="A848" s="8"/>
      <c r="B848" s="8"/>
      <c r="C848" s="8"/>
      <c r="D848" s="8"/>
      <c r="E848" s="8"/>
      <c r="F848" s="8"/>
      <c r="G848" s="695"/>
      <c r="H848" s="695"/>
      <c r="I848" s="695"/>
      <c r="J848" s="695"/>
      <c r="K848" s="695"/>
      <c r="L848" s="695"/>
      <c r="M848" s="695"/>
      <c r="N848" s="695"/>
      <c r="O848" s="695"/>
      <c r="P848" s="695"/>
      <c r="Q848" s="695"/>
      <c r="R848" s="695"/>
      <c r="S848" s="695"/>
      <c r="T848" s="8"/>
      <c r="U848" s="8"/>
      <c r="V848" s="8"/>
      <c r="W848" s="8"/>
      <c r="X848" s="8"/>
      <c r="Y848" s="8"/>
      <c r="Z848" s="8"/>
      <c r="AA848" s="8"/>
      <c r="AB848" s="8"/>
    </row>
    <row r="849" ht="12.75" customHeight="1" spans="1:28" x14ac:dyDescent="0.25">
      <c r="A849" s="8"/>
      <c r="B849" s="8"/>
      <c r="C849" s="8"/>
      <c r="D849" s="8"/>
      <c r="E849" s="8"/>
      <c r="F849" s="8"/>
      <c r="G849" s="695"/>
      <c r="H849" s="695"/>
      <c r="I849" s="695"/>
      <c r="J849" s="695"/>
      <c r="K849" s="695"/>
      <c r="L849" s="695"/>
      <c r="M849" s="695"/>
      <c r="N849" s="695"/>
      <c r="O849" s="695"/>
      <c r="P849" s="695"/>
      <c r="Q849" s="695"/>
      <c r="R849" s="695"/>
      <c r="S849" s="695"/>
      <c r="T849" s="8"/>
      <c r="U849" s="8"/>
      <c r="V849" s="8"/>
      <c r="W849" s="8"/>
      <c r="X849" s="8"/>
      <c r="Y849" s="8"/>
      <c r="Z849" s="8"/>
      <c r="AA849" s="8"/>
      <c r="AB849" s="8"/>
    </row>
    <row r="850" ht="12.75" customHeight="1" spans="1:28" x14ac:dyDescent="0.25">
      <c r="A850" s="8"/>
      <c r="B850" s="8"/>
      <c r="C850" s="8"/>
      <c r="D850" s="8"/>
      <c r="E850" s="8"/>
      <c r="F850" s="8"/>
      <c r="G850" s="695"/>
      <c r="H850" s="695"/>
      <c r="I850" s="695"/>
      <c r="J850" s="695"/>
      <c r="K850" s="695"/>
      <c r="L850" s="695"/>
      <c r="M850" s="695"/>
      <c r="N850" s="695"/>
      <c r="O850" s="695"/>
      <c r="P850" s="695"/>
      <c r="Q850" s="695"/>
      <c r="R850" s="695"/>
      <c r="S850" s="695"/>
      <c r="T850" s="8"/>
      <c r="U850" s="8"/>
      <c r="V850" s="8"/>
      <c r="W850" s="8"/>
      <c r="X850" s="8"/>
      <c r="Y850" s="8"/>
      <c r="Z850" s="8"/>
      <c r="AA850" s="8"/>
      <c r="AB850" s="8"/>
    </row>
    <row r="851" ht="12.75" customHeight="1" spans="1:28" x14ac:dyDescent="0.25">
      <c r="A851" s="8"/>
      <c r="B851" s="8"/>
      <c r="C851" s="8"/>
      <c r="D851" s="8"/>
      <c r="E851" s="8"/>
      <c r="F851" s="8"/>
      <c r="G851" s="695"/>
      <c r="H851" s="695"/>
      <c r="I851" s="695"/>
      <c r="J851" s="695"/>
      <c r="K851" s="695"/>
      <c r="L851" s="695"/>
      <c r="M851" s="695"/>
      <c r="N851" s="695"/>
      <c r="O851" s="695"/>
      <c r="P851" s="695"/>
      <c r="Q851" s="695"/>
      <c r="R851" s="695"/>
      <c r="S851" s="695"/>
      <c r="T851" s="8"/>
      <c r="U851" s="8"/>
      <c r="V851" s="8"/>
      <c r="W851" s="8"/>
      <c r="X851" s="8"/>
      <c r="Y851" s="8"/>
      <c r="Z851" s="8"/>
      <c r="AA851" s="8"/>
      <c r="AB851" s="8"/>
    </row>
    <row r="852" ht="12.75" customHeight="1" spans="1:28" x14ac:dyDescent="0.25">
      <c r="A852" s="8"/>
      <c r="B852" s="8"/>
      <c r="C852" s="8"/>
      <c r="D852" s="8"/>
      <c r="E852" s="8"/>
      <c r="F852" s="8"/>
      <c r="G852" s="695"/>
      <c r="H852" s="695"/>
      <c r="I852" s="695"/>
      <c r="J852" s="695"/>
      <c r="K852" s="695"/>
      <c r="L852" s="695"/>
      <c r="M852" s="695"/>
      <c r="N852" s="695"/>
      <c r="O852" s="695"/>
      <c r="P852" s="695"/>
      <c r="Q852" s="695"/>
      <c r="R852" s="695"/>
      <c r="S852" s="695"/>
      <c r="T852" s="8"/>
      <c r="U852" s="8"/>
      <c r="V852" s="8"/>
      <c r="W852" s="8"/>
      <c r="X852" s="8"/>
      <c r="Y852" s="8"/>
      <c r="Z852" s="8"/>
      <c r="AA852" s="8"/>
      <c r="AB852" s="8"/>
    </row>
    <row r="853" ht="12.75" customHeight="1" spans="1:28" x14ac:dyDescent="0.25">
      <c r="A853" s="8"/>
      <c r="B853" s="8"/>
      <c r="C853" s="8"/>
      <c r="D853" s="8"/>
      <c r="E853" s="8"/>
      <c r="F853" s="8"/>
      <c r="G853" s="695"/>
      <c r="H853" s="695"/>
      <c r="I853" s="695"/>
      <c r="J853" s="695"/>
      <c r="K853" s="695"/>
      <c r="L853" s="695"/>
      <c r="M853" s="695"/>
      <c r="N853" s="695"/>
      <c r="O853" s="695"/>
      <c r="P853" s="695"/>
      <c r="Q853" s="695"/>
      <c r="R853" s="695"/>
      <c r="S853" s="695"/>
      <c r="T853" s="8"/>
      <c r="U853" s="8"/>
      <c r="V853" s="8"/>
      <c r="W853" s="8"/>
      <c r="X853" s="8"/>
      <c r="Y853" s="8"/>
      <c r="Z853" s="8"/>
      <c r="AA853" s="8"/>
      <c r="AB853" s="8"/>
    </row>
    <row r="854" ht="12.75" customHeight="1" spans="1:28" x14ac:dyDescent="0.25">
      <c r="A854" s="8"/>
      <c r="B854" s="8"/>
      <c r="C854" s="8"/>
      <c r="D854" s="8"/>
      <c r="E854" s="8"/>
      <c r="F854" s="8"/>
      <c r="G854" s="695"/>
      <c r="H854" s="695"/>
      <c r="I854" s="695"/>
      <c r="J854" s="695"/>
      <c r="K854" s="695"/>
      <c r="L854" s="695"/>
      <c r="M854" s="695"/>
      <c r="N854" s="695"/>
      <c r="O854" s="695"/>
      <c r="P854" s="695"/>
      <c r="Q854" s="695"/>
      <c r="R854" s="695"/>
      <c r="S854" s="695"/>
      <c r="T854" s="8"/>
      <c r="U854" s="8"/>
      <c r="V854" s="8"/>
      <c r="W854" s="8"/>
      <c r="X854" s="8"/>
      <c r="Y854" s="8"/>
      <c r="Z854" s="8"/>
      <c r="AA854" s="8"/>
      <c r="AB854" s="8"/>
    </row>
    <row r="855" ht="12.75" customHeight="1" spans="1:28" x14ac:dyDescent="0.25">
      <c r="A855" s="8"/>
      <c r="B855" s="8"/>
      <c r="C855" s="8"/>
      <c r="D855" s="8"/>
      <c r="E855" s="8"/>
      <c r="F855" s="8"/>
      <c r="G855" s="695"/>
      <c r="H855" s="695"/>
      <c r="I855" s="695"/>
      <c r="J855" s="695"/>
      <c r="K855" s="695"/>
      <c r="L855" s="695"/>
      <c r="M855" s="695"/>
      <c r="N855" s="695"/>
      <c r="O855" s="695"/>
      <c r="P855" s="695"/>
      <c r="Q855" s="695"/>
      <c r="R855" s="695"/>
      <c r="S855" s="695"/>
      <c r="T855" s="8"/>
      <c r="U855" s="8"/>
      <c r="V855" s="8"/>
      <c r="W855" s="8"/>
      <c r="X855" s="8"/>
      <c r="Y855" s="8"/>
      <c r="Z855" s="8"/>
      <c r="AA855" s="8"/>
      <c r="AB855" s="8"/>
    </row>
    <row r="856" ht="12.75" customHeight="1" spans="1:28" x14ac:dyDescent="0.25">
      <c r="A856" s="8"/>
      <c r="B856" s="8"/>
      <c r="C856" s="8"/>
      <c r="D856" s="8"/>
      <c r="E856" s="8"/>
      <c r="F856" s="8"/>
      <c r="G856" s="695"/>
      <c r="H856" s="695"/>
      <c r="I856" s="695"/>
      <c r="J856" s="695"/>
      <c r="K856" s="695"/>
      <c r="L856" s="695"/>
      <c r="M856" s="695"/>
      <c r="N856" s="695"/>
      <c r="O856" s="695"/>
      <c r="P856" s="695"/>
      <c r="Q856" s="695"/>
      <c r="R856" s="695"/>
      <c r="S856" s="695"/>
      <c r="T856" s="8"/>
      <c r="U856" s="8"/>
      <c r="V856" s="8"/>
      <c r="W856" s="8"/>
      <c r="X856" s="8"/>
      <c r="Y856" s="8"/>
      <c r="Z856" s="8"/>
      <c r="AA856" s="8"/>
      <c r="AB856" s="8"/>
    </row>
    <row r="857" ht="12.75" customHeight="1" spans="1:28" x14ac:dyDescent="0.25">
      <c r="A857" s="8"/>
      <c r="B857" s="8"/>
      <c r="C857" s="8"/>
      <c r="D857" s="8"/>
      <c r="E857" s="8"/>
      <c r="F857" s="8"/>
      <c r="G857" s="695"/>
      <c r="H857" s="695"/>
      <c r="I857" s="695"/>
      <c r="J857" s="695"/>
      <c r="K857" s="695"/>
      <c r="L857" s="695"/>
      <c r="M857" s="695"/>
      <c r="N857" s="695"/>
      <c r="O857" s="695"/>
      <c r="P857" s="695"/>
      <c r="Q857" s="695"/>
      <c r="R857" s="695"/>
      <c r="S857" s="695"/>
      <c r="T857" s="8"/>
      <c r="U857" s="8"/>
      <c r="V857" s="8"/>
      <c r="W857" s="8"/>
      <c r="X857" s="8"/>
      <c r="Y857" s="8"/>
      <c r="Z857" s="8"/>
      <c r="AA857" s="8"/>
      <c r="AB857" s="8"/>
    </row>
    <row r="858" ht="12.75" customHeight="1" spans="1:28" x14ac:dyDescent="0.25">
      <c r="A858" s="8"/>
      <c r="B858" s="8"/>
      <c r="C858" s="8"/>
      <c r="D858" s="8"/>
      <c r="E858" s="8"/>
      <c r="F858" s="8"/>
      <c r="G858" s="695"/>
      <c r="H858" s="695"/>
      <c r="I858" s="695"/>
      <c r="J858" s="695"/>
      <c r="K858" s="695"/>
      <c r="L858" s="695"/>
      <c r="M858" s="695"/>
      <c r="N858" s="695"/>
      <c r="O858" s="695"/>
      <c r="P858" s="695"/>
      <c r="Q858" s="695"/>
      <c r="R858" s="695"/>
      <c r="S858" s="695"/>
      <c r="T858" s="8"/>
      <c r="U858" s="8"/>
      <c r="V858" s="8"/>
      <c r="W858" s="8"/>
      <c r="X858" s="8"/>
      <c r="Y858" s="8"/>
      <c r="Z858" s="8"/>
      <c r="AA858" s="8"/>
      <c r="AB858" s="8"/>
    </row>
    <row r="859" ht="12.75" customHeight="1" spans="1:28" x14ac:dyDescent="0.25">
      <c r="A859" s="8"/>
      <c r="B859" s="8"/>
      <c r="C859" s="8"/>
      <c r="D859" s="8"/>
      <c r="E859" s="8"/>
      <c r="F859" s="8"/>
      <c r="G859" s="695"/>
      <c r="H859" s="695"/>
      <c r="I859" s="695"/>
      <c r="J859" s="695"/>
      <c r="K859" s="695"/>
      <c r="L859" s="695"/>
      <c r="M859" s="695"/>
      <c r="N859" s="695"/>
      <c r="O859" s="695"/>
      <c r="P859" s="695"/>
      <c r="Q859" s="695"/>
      <c r="R859" s="695"/>
      <c r="S859" s="695"/>
      <c r="T859" s="8"/>
      <c r="U859" s="8"/>
      <c r="V859" s="8"/>
      <c r="W859" s="8"/>
      <c r="X859" s="8"/>
      <c r="Y859" s="8"/>
      <c r="Z859" s="8"/>
      <c r="AA859" s="8"/>
      <c r="AB859" s="8"/>
    </row>
    <row r="860" ht="12.75" customHeight="1" spans="1:28" x14ac:dyDescent="0.25">
      <c r="A860" s="8"/>
      <c r="B860" s="8"/>
      <c r="C860" s="8"/>
      <c r="D860" s="8"/>
      <c r="E860" s="8"/>
      <c r="F860" s="8"/>
      <c r="G860" s="695"/>
      <c r="H860" s="695"/>
      <c r="I860" s="695"/>
      <c r="J860" s="695"/>
      <c r="K860" s="695"/>
      <c r="L860" s="695"/>
      <c r="M860" s="695"/>
      <c r="N860" s="695"/>
      <c r="O860" s="695"/>
      <c r="P860" s="695"/>
      <c r="Q860" s="695"/>
      <c r="R860" s="695"/>
      <c r="S860" s="695"/>
      <c r="T860" s="8"/>
      <c r="U860" s="8"/>
      <c r="V860" s="8"/>
      <c r="W860" s="8"/>
      <c r="X860" s="8"/>
      <c r="Y860" s="8"/>
      <c r="Z860" s="8"/>
      <c r="AA860" s="8"/>
      <c r="AB860" s="8"/>
    </row>
    <row r="861" ht="12.75" customHeight="1" spans="1:28" x14ac:dyDescent="0.25">
      <c r="A861" s="8"/>
      <c r="B861" s="8"/>
      <c r="C861" s="8"/>
      <c r="D861" s="8"/>
      <c r="E861" s="8"/>
      <c r="F861" s="8"/>
      <c r="G861" s="695"/>
      <c r="H861" s="695"/>
      <c r="I861" s="695"/>
      <c r="J861" s="695"/>
      <c r="K861" s="695"/>
      <c r="L861" s="695"/>
      <c r="M861" s="695"/>
      <c r="N861" s="695"/>
      <c r="O861" s="695"/>
      <c r="P861" s="695"/>
      <c r="Q861" s="695"/>
      <c r="R861" s="695"/>
      <c r="S861" s="695"/>
      <c r="T861" s="8"/>
      <c r="U861" s="8"/>
      <c r="V861" s="8"/>
      <c r="W861" s="8"/>
      <c r="X861" s="8"/>
      <c r="Y861" s="8"/>
      <c r="Z861" s="8"/>
      <c r="AA861" s="8"/>
      <c r="AB861" s="8"/>
    </row>
    <row r="862" ht="12.75" customHeight="1" spans="1:28" x14ac:dyDescent="0.25">
      <c r="A862" s="8"/>
      <c r="B862" s="8"/>
      <c r="C862" s="8"/>
      <c r="D862" s="8"/>
      <c r="E862" s="8"/>
      <c r="F862" s="8"/>
      <c r="G862" s="695"/>
      <c r="H862" s="695"/>
      <c r="I862" s="695"/>
      <c r="J862" s="695"/>
      <c r="K862" s="695"/>
      <c r="L862" s="695"/>
      <c r="M862" s="695"/>
      <c r="N862" s="695"/>
      <c r="O862" s="695"/>
      <c r="P862" s="695"/>
      <c r="Q862" s="695"/>
      <c r="R862" s="695"/>
      <c r="S862" s="695"/>
      <c r="T862" s="8"/>
      <c r="U862" s="8"/>
      <c r="V862" s="8"/>
      <c r="W862" s="8"/>
      <c r="X862" s="8"/>
      <c r="Y862" s="8"/>
      <c r="Z862" s="8"/>
      <c r="AA862" s="8"/>
      <c r="AB862" s="8"/>
    </row>
    <row r="863" ht="12.75" customHeight="1" spans="1:28" x14ac:dyDescent="0.25">
      <c r="A863" s="8"/>
      <c r="B863" s="8"/>
      <c r="C863" s="8"/>
      <c r="D863" s="8"/>
      <c r="E863" s="8"/>
      <c r="F863" s="8"/>
      <c r="G863" s="695"/>
      <c r="H863" s="695"/>
      <c r="I863" s="695"/>
      <c r="J863" s="695"/>
      <c r="K863" s="695"/>
      <c r="L863" s="695"/>
      <c r="M863" s="695"/>
      <c r="N863" s="695"/>
      <c r="O863" s="695"/>
      <c r="P863" s="695"/>
      <c r="Q863" s="695"/>
      <c r="R863" s="695"/>
      <c r="S863" s="695"/>
      <c r="T863" s="8"/>
      <c r="U863" s="8"/>
      <c r="V863" s="8"/>
      <c r="W863" s="8"/>
      <c r="X863" s="8"/>
      <c r="Y863" s="8"/>
      <c r="Z863" s="8"/>
      <c r="AA863" s="8"/>
      <c r="AB863" s="8"/>
    </row>
    <row r="864" ht="12.75" customHeight="1" spans="1:28" x14ac:dyDescent="0.25">
      <c r="A864" s="8"/>
      <c r="B864" s="8"/>
      <c r="C864" s="8"/>
      <c r="D864" s="8"/>
      <c r="E864" s="8"/>
      <c r="F864" s="8"/>
      <c r="G864" s="695"/>
      <c r="H864" s="695"/>
      <c r="I864" s="695"/>
      <c r="J864" s="695"/>
      <c r="K864" s="695"/>
      <c r="L864" s="695"/>
      <c r="M864" s="695"/>
      <c r="N864" s="695"/>
      <c r="O864" s="695"/>
      <c r="P864" s="695"/>
      <c r="Q864" s="695"/>
      <c r="R864" s="695"/>
      <c r="S864" s="695"/>
      <c r="T864" s="8"/>
      <c r="U864" s="8"/>
      <c r="V864" s="8"/>
      <c r="W864" s="8"/>
      <c r="X864" s="8"/>
      <c r="Y864" s="8"/>
      <c r="Z864" s="8"/>
      <c r="AA864" s="8"/>
      <c r="AB864" s="8"/>
    </row>
    <row r="865" ht="12.75" customHeight="1" spans="1:28" x14ac:dyDescent="0.25">
      <c r="A865" s="8"/>
      <c r="B865" s="8"/>
      <c r="C865" s="8"/>
      <c r="D865" s="8"/>
      <c r="E865" s="8"/>
      <c r="F865" s="8"/>
      <c r="G865" s="695"/>
      <c r="H865" s="695"/>
      <c r="I865" s="695"/>
      <c r="J865" s="695"/>
      <c r="K865" s="695"/>
      <c r="L865" s="695"/>
      <c r="M865" s="695"/>
      <c r="N865" s="695"/>
      <c r="O865" s="695"/>
      <c r="P865" s="695"/>
      <c r="Q865" s="695"/>
      <c r="R865" s="695"/>
      <c r="S865" s="695"/>
      <c r="T865" s="8"/>
      <c r="U865" s="8"/>
      <c r="V865" s="8"/>
      <c r="W865" s="8"/>
      <c r="X865" s="8"/>
      <c r="Y865" s="8"/>
      <c r="Z865" s="8"/>
      <c r="AA865" s="8"/>
      <c r="AB865" s="8"/>
    </row>
    <row r="866" ht="12.75" customHeight="1" spans="1:28" x14ac:dyDescent="0.25">
      <c r="A866" s="8"/>
      <c r="B866" s="8"/>
      <c r="C866" s="8"/>
      <c r="D866" s="8"/>
      <c r="E866" s="8"/>
      <c r="F866" s="8"/>
      <c r="G866" s="695"/>
      <c r="H866" s="695"/>
      <c r="I866" s="695"/>
      <c r="J866" s="695"/>
      <c r="K866" s="695"/>
      <c r="L866" s="695"/>
      <c r="M866" s="695"/>
      <c r="N866" s="695"/>
      <c r="O866" s="695"/>
      <c r="P866" s="695"/>
      <c r="Q866" s="695"/>
      <c r="R866" s="695"/>
      <c r="S866" s="695"/>
      <c r="T866" s="8"/>
      <c r="U866" s="8"/>
      <c r="V866" s="8"/>
      <c r="W866" s="8"/>
      <c r="X866" s="8"/>
      <c r="Y866" s="8"/>
      <c r="Z866" s="8"/>
      <c r="AA866" s="8"/>
      <c r="AB866" s="8"/>
    </row>
    <row r="867" ht="12.75" customHeight="1" spans="1:28" x14ac:dyDescent="0.25">
      <c r="A867" s="8"/>
      <c r="B867" s="8"/>
      <c r="C867" s="8"/>
      <c r="D867" s="8"/>
      <c r="E867" s="8"/>
      <c r="F867" s="8"/>
      <c r="G867" s="695"/>
      <c r="H867" s="695"/>
      <c r="I867" s="695"/>
      <c r="J867" s="695"/>
      <c r="K867" s="695"/>
      <c r="L867" s="695"/>
      <c r="M867" s="695"/>
      <c r="N867" s="695"/>
      <c r="O867" s="695"/>
      <c r="P867" s="695"/>
      <c r="Q867" s="695"/>
      <c r="R867" s="695"/>
      <c r="S867" s="695"/>
      <c r="T867" s="8"/>
      <c r="U867" s="8"/>
      <c r="V867" s="8"/>
      <c r="W867" s="8"/>
      <c r="X867" s="8"/>
      <c r="Y867" s="8"/>
      <c r="Z867" s="8"/>
      <c r="AA867" s="8"/>
      <c r="AB867" s="8"/>
    </row>
    <row r="868" ht="12.75" customHeight="1" spans="1:28" x14ac:dyDescent="0.25">
      <c r="A868" s="8"/>
      <c r="B868" s="8"/>
      <c r="C868" s="8"/>
      <c r="D868" s="8"/>
      <c r="E868" s="8"/>
      <c r="F868" s="8"/>
      <c r="G868" s="695"/>
      <c r="H868" s="695"/>
      <c r="I868" s="695"/>
      <c r="J868" s="695"/>
      <c r="K868" s="695"/>
      <c r="L868" s="695"/>
      <c r="M868" s="695"/>
      <c r="N868" s="695"/>
      <c r="O868" s="695"/>
      <c r="P868" s="695"/>
      <c r="Q868" s="695"/>
      <c r="R868" s="695"/>
      <c r="S868" s="695"/>
      <c r="T868" s="8"/>
      <c r="U868" s="8"/>
      <c r="V868" s="8"/>
      <c r="W868" s="8"/>
      <c r="X868" s="8"/>
      <c r="Y868" s="8"/>
      <c r="Z868" s="8"/>
      <c r="AA868" s="8"/>
      <c r="AB868" s="8"/>
    </row>
    <row r="869" ht="12.75" customHeight="1" spans="1:28" x14ac:dyDescent="0.25">
      <c r="A869" s="8"/>
      <c r="B869" s="8"/>
      <c r="C869" s="8"/>
      <c r="D869" s="8"/>
      <c r="E869" s="8"/>
      <c r="F869" s="8"/>
      <c r="G869" s="695"/>
      <c r="H869" s="695"/>
      <c r="I869" s="695"/>
      <c r="J869" s="695"/>
      <c r="K869" s="695"/>
      <c r="L869" s="695"/>
      <c r="M869" s="695"/>
      <c r="N869" s="695"/>
      <c r="O869" s="695"/>
      <c r="P869" s="695"/>
      <c r="Q869" s="695"/>
      <c r="R869" s="695"/>
      <c r="S869" s="695"/>
      <c r="T869" s="8"/>
      <c r="U869" s="8"/>
      <c r="V869" s="8"/>
      <c r="W869" s="8"/>
      <c r="X869" s="8"/>
      <c r="Y869" s="8"/>
      <c r="Z869" s="8"/>
      <c r="AA869" s="8"/>
      <c r="AB869" s="8"/>
    </row>
    <row r="870" ht="12.75" customHeight="1" spans="1:28" x14ac:dyDescent="0.25">
      <c r="A870" s="8"/>
      <c r="B870" s="8"/>
      <c r="C870" s="8"/>
      <c r="D870" s="8"/>
      <c r="E870" s="8"/>
      <c r="F870" s="8"/>
      <c r="G870" s="695"/>
      <c r="H870" s="695"/>
      <c r="I870" s="695"/>
      <c r="J870" s="695"/>
      <c r="K870" s="695"/>
      <c r="L870" s="695"/>
      <c r="M870" s="695"/>
      <c r="N870" s="695"/>
      <c r="O870" s="695"/>
      <c r="P870" s="695"/>
      <c r="Q870" s="695"/>
      <c r="R870" s="695"/>
      <c r="S870" s="695"/>
      <c r="T870" s="8"/>
      <c r="U870" s="8"/>
      <c r="V870" s="8"/>
      <c r="W870" s="8"/>
      <c r="X870" s="8"/>
      <c r="Y870" s="8"/>
      <c r="Z870" s="8"/>
      <c r="AA870" s="8"/>
      <c r="AB870" s="8"/>
    </row>
    <row r="871" ht="12.75" customHeight="1" spans="1:28" x14ac:dyDescent="0.25">
      <c r="A871" s="8"/>
      <c r="B871" s="8"/>
      <c r="C871" s="8"/>
      <c r="D871" s="8"/>
      <c r="E871" s="8"/>
      <c r="F871" s="8"/>
      <c r="G871" s="695"/>
      <c r="H871" s="695"/>
      <c r="I871" s="695"/>
      <c r="J871" s="695"/>
      <c r="K871" s="695"/>
      <c r="L871" s="695"/>
      <c r="M871" s="695"/>
      <c r="N871" s="695"/>
      <c r="O871" s="695"/>
      <c r="P871" s="695"/>
      <c r="Q871" s="695"/>
      <c r="R871" s="695"/>
      <c r="S871" s="695"/>
      <c r="T871" s="8"/>
      <c r="U871" s="8"/>
      <c r="V871" s="8"/>
      <c r="W871" s="8"/>
      <c r="X871" s="8"/>
      <c r="Y871" s="8"/>
      <c r="Z871" s="8"/>
      <c r="AA871" s="8"/>
      <c r="AB871" s="8"/>
    </row>
    <row r="872" ht="12.75" customHeight="1" spans="1:28" x14ac:dyDescent="0.25">
      <c r="A872" s="8"/>
      <c r="B872" s="8"/>
      <c r="C872" s="8"/>
      <c r="D872" s="8"/>
      <c r="E872" s="8"/>
      <c r="F872" s="8"/>
      <c r="G872" s="695"/>
      <c r="H872" s="695"/>
      <c r="I872" s="695"/>
      <c r="J872" s="695"/>
      <c r="K872" s="695"/>
      <c r="L872" s="695"/>
      <c r="M872" s="695"/>
      <c r="N872" s="695"/>
      <c r="O872" s="695"/>
      <c r="P872" s="695"/>
      <c r="Q872" s="695"/>
      <c r="R872" s="695"/>
      <c r="S872" s="695"/>
      <c r="T872" s="8"/>
      <c r="U872" s="8"/>
      <c r="V872" s="8"/>
      <c r="W872" s="8"/>
      <c r="X872" s="8"/>
      <c r="Y872" s="8"/>
      <c r="Z872" s="8"/>
      <c r="AA872" s="8"/>
      <c r="AB872" s="8"/>
    </row>
    <row r="873" ht="12.75" customHeight="1" spans="1:28" x14ac:dyDescent="0.25">
      <c r="A873" s="8"/>
      <c r="B873" s="8"/>
      <c r="C873" s="8"/>
      <c r="D873" s="8"/>
      <c r="E873" s="8"/>
      <c r="F873" s="8"/>
      <c r="G873" s="695"/>
      <c r="H873" s="695"/>
      <c r="I873" s="695"/>
      <c r="J873" s="695"/>
      <c r="K873" s="695"/>
      <c r="L873" s="695"/>
      <c r="M873" s="695"/>
      <c r="N873" s="695"/>
      <c r="O873" s="695"/>
      <c r="P873" s="695"/>
      <c r="Q873" s="695"/>
      <c r="R873" s="695"/>
      <c r="S873" s="695"/>
      <c r="T873" s="8"/>
      <c r="U873" s="8"/>
      <c r="V873" s="8"/>
      <c r="W873" s="8"/>
      <c r="X873" s="8"/>
      <c r="Y873" s="8"/>
      <c r="Z873" s="8"/>
      <c r="AA873" s="8"/>
      <c r="AB873" s="8"/>
    </row>
    <row r="874" ht="12.75" customHeight="1" spans="1:28" x14ac:dyDescent="0.25">
      <c r="A874" s="8"/>
      <c r="B874" s="8"/>
      <c r="C874" s="8"/>
      <c r="D874" s="8"/>
      <c r="E874" s="8"/>
      <c r="F874" s="8"/>
      <c r="G874" s="695"/>
      <c r="H874" s="695"/>
      <c r="I874" s="695"/>
      <c r="J874" s="695"/>
      <c r="K874" s="695"/>
      <c r="L874" s="695"/>
      <c r="M874" s="695"/>
      <c r="N874" s="695"/>
      <c r="O874" s="695"/>
      <c r="P874" s="695"/>
      <c r="Q874" s="695"/>
      <c r="R874" s="695"/>
      <c r="S874" s="695"/>
      <c r="T874" s="8"/>
      <c r="U874" s="8"/>
      <c r="V874" s="8"/>
      <c r="W874" s="8"/>
      <c r="X874" s="8"/>
      <c r="Y874" s="8"/>
      <c r="Z874" s="8"/>
      <c r="AA874" s="8"/>
      <c r="AB874" s="8"/>
    </row>
    <row r="875" ht="12.75" customHeight="1" spans="1:28" x14ac:dyDescent="0.25">
      <c r="A875" s="8"/>
      <c r="B875" s="8"/>
      <c r="C875" s="8"/>
      <c r="D875" s="8"/>
      <c r="E875" s="8"/>
      <c r="F875" s="8"/>
      <c r="G875" s="695"/>
      <c r="H875" s="695"/>
      <c r="I875" s="695"/>
      <c r="J875" s="695"/>
      <c r="K875" s="695"/>
      <c r="L875" s="695"/>
      <c r="M875" s="695"/>
      <c r="N875" s="695"/>
      <c r="O875" s="695"/>
      <c r="P875" s="695"/>
      <c r="Q875" s="695"/>
      <c r="R875" s="695"/>
      <c r="S875" s="695"/>
      <c r="T875" s="8"/>
      <c r="U875" s="8"/>
      <c r="V875" s="8"/>
      <c r="W875" s="8"/>
      <c r="X875" s="8"/>
      <c r="Y875" s="8"/>
      <c r="Z875" s="8"/>
      <c r="AA875" s="8"/>
      <c r="AB875" s="8"/>
    </row>
    <row r="876" ht="12.75" customHeight="1" spans="1:28" x14ac:dyDescent="0.25">
      <c r="A876" s="8"/>
      <c r="B876" s="8"/>
      <c r="C876" s="8"/>
      <c r="D876" s="8"/>
      <c r="E876" s="8"/>
      <c r="F876" s="8"/>
      <c r="G876" s="695"/>
      <c r="H876" s="695"/>
      <c r="I876" s="695"/>
      <c r="J876" s="695"/>
      <c r="K876" s="695"/>
      <c r="L876" s="695"/>
      <c r="M876" s="695"/>
      <c r="N876" s="695"/>
      <c r="O876" s="695"/>
      <c r="P876" s="695"/>
      <c r="Q876" s="695"/>
      <c r="R876" s="695"/>
      <c r="S876" s="695"/>
      <c r="T876" s="8"/>
      <c r="U876" s="8"/>
      <c r="V876" s="8"/>
      <c r="W876" s="8"/>
      <c r="X876" s="8"/>
      <c r="Y876" s="8"/>
      <c r="Z876" s="8"/>
      <c r="AA876" s="8"/>
      <c r="AB876" s="8"/>
    </row>
    <row r="877" ht="12.75" customHeight="1" spans="1:28" x14ac:dyDescent="0.25">
      <c r="A877" s="8"/>
      <c r="B877" s="8"/>
      <c r="C877" s="8"/>
      <c r="D877" s="8"/>
      <c r="E877" s="8"/>
      <c r="F877" s="8"/>
      <c r="G877" s="695"/>
      <c r="H877" s="695"/>
      <c r="I877" s="695"/>
      <c r="J877" s="695"/>
      <c r="K877" s="695"/>
      <c r="L877" s="695"/>
      <c r="M877" s="695"/>
      <c r="N877" s="695"/>
      <c r="O877" s="695"/>
      <c r="P877" s="695"/>
      <c r="Q877" s="695"/>
      <c r="R877" s="695"/>
      <c r="S877" s="695"/>
      <c r="T877" s="8"/>
      <c r="U877" s="8"/>
      <c r="V877" s="8"/>
      <c r="W877" s="8"/>
      <c r="X877" s="8"/>
      <c r="Y877" s="8"/>
      <c r="Z877" s="8"/>
      <c r="AA877" s="8"/>
      <c r="AB877" s="8"/>
    </row>
    <row r="878" ht="12.75" customHeight="1" spans="1:28" x14ac:dyDescent="0.25">
      <c r="A878" s="8"/>
      <c r="B878" s="8"/>
      <c r="C878" s="8"/>
      <c r="D878" s="8"/>
      <c r="E878" s="8"/>
      <c r="F878" s="8"/>
      <c r="G878" s="695"/>
      <c r="H878" s="695"/>
      <c r="I878" s="695"/>
      <c r="J878" s="695"/>
      <c r="K878" s="695"/>
      <c r="L878" s="695"/>
      <c r="M878" s="695"/>
      <c r="N878" s="695"/>
      <c r="O878" s="695"/>
      <c r="P878" s="695"/>
      <c r="Q878" s="695"/>
      <c r="R878" s="695"/>
      <c r="S878" s="695"/>
      <c r="T878" s="8"/>
      <c r="U878" s="8"/>
      <c r="V878" s="8"/>
      <c r="W878" s="8"/>
      <c r="X878" s="8"/>
      <c r="Y878" s="8"/>
      <c r="Z878" s="8"/>
      <c r="AA878" s="8"/>
      <c r="AB878" s="8"/>
    </row>
    <row r="879" ht="12.75" customHeight="1" spans="1:28" x14ac:dyDescent="0.25">
      <c r="A879" s="8"/>
      <c r="B879" s="8"/>
      <c r="C879" s="8"/>
      <c r="D879" s="8"/>
      <c r="E879" s="8"/>
      <c r="F879" s="8"/>
      <c r="G879" s="695"/>
      <c r="H879" s="695"/>
      <c r="I879" s="695"/>
      <c r="J879" s="695"/>
      <c r="K879" s="695"/>
      <c r="L879" s="695"/>
      <c r="M879" s="695"/>
      <c r="N879" s="695"/>
      <c r="O879" s="695"/>
      <c r="P879" s="695"/>
      <c r="Q879" s="695"/>
      <c r="R879" s="695"/>
      <c r="S879" s="695"/>
      <c r="T879" s="8"/>
      <c r="U879" s="8"/>
      <c r="V879" s="8"/>
      <c r="W879" s="8"/>
      <c r="X879" s="8"/>
      <c r="Y879" s="8"/>
      <c r="Z879" s="8"/>
      <c r="AA879" s="8"/>
      <c r="AB879" s="8"/>
    </row>
    <row r="880" ht="12.75" customHeight="1" spans="1:28" x14ac:dyDescent="0.25">
      <c r="A880" s="8"/>
      <c r="B880" s="8"/>
      <c r="C880" s="8"/>
      <c r="D880" s="8"/>
      <c r="E880" s="8"/>
      <c r="F880" s="8"/>
      <c r="G880" s="695"/>
      <c r="H880" s="695"/>
      <c r="I880" s="695"/>
      <c r="J880" s="695"/>
      <c r="K880" s="695"/>
      <c r="L880" s="695"/>
      <c r="M880" s="695"/>
      <c r="N880" s="695"/>
      <c r="O880" s="695"/>
      <c r="P880" s="695"/>
      <c r="Q880" s="695"/>
      <c r="R880" s="695"/>
      <c r="S880" s="695"/>
      <c r="T880" s="8"/>
      <c r="U880" s="8"/>
      <c r="V880" s="8"/>
      <c r="W880" s="8"/>
      <c r="X880" s="8"/>
      <c r="Y880" s="8"/>
      <c r="Z880" s="8"/>
      <c r="AA880" s="8"/>
      <c r="AB880" s="8"/>
    </row>
    <row r="881" ht="12.75" customHeight="1" spans="1:28" x14ac:dyDescent="0.25">
      <c r="A881" s="8"/>
      <c r="B881" s="8"/>
      <c r="C881" s="8"/>
      <c r="D881" s="8"/>
      <c r="E881" s="8"/>
      <c r="F881" s="8"/>
      <c r="G881" s="695"/>
      <c r="H881" s="695"/>
      <c r="I881" s="695"/>
      <c r="J881" s="695"/>
      <c r="K881" s="695"/>
      <c r="L881" s="695"/>
      <c r="M881" s="695"/>
      <c r="N881" s="695"/>
      <c r="O881" s="695"/>
      <c r="P881" s="695"/>
      <c r="Q881" s="695"/>
      <c r="R881" s="695"/>
      <c r="S881" s="695"/>
      <c r="T881" s="8"/>
      <c r="U881" s="8"/>
      <c r="V881" s="8"/>
      <c r="W881" s="8"/>
      <c r="X881" s="8"/>
      <c r="Y881" s="8"/>
      <c r="Z881" s="8"/>
      <c r="AA881" s="8"/>
      <c r="AB881" s="8"/>
    </row>
    <row r="882" ht="12.75" customHeight="1" spans="1:28" x14ac:dyDescent="0.25">
      <c r="A882" s="8"/>
      <c r="B882" s="8"/>
      <c r="C882" s="8"/>
      <c r="D882" s="8"/>
      <c r="E882" s="8"/>
      <c r="F882" s="8"/>
      <c r="G882" s="695"/>
      <c r="H882" s="695"/>
      <c r="I882" s="695"/>
      <c r="J882" s="695"/>
      <c r="K882" s="695"/>
      <c r="L882" s="695"/>
      <c r="M882" s="695"/>
      <c r="N882" s="695"/>
      <c r="O882" s="695"/>
      <c r="P882" s="695"/>
      <c r="Q882" s="695"/>
      <c r="R882" s="695"/>
      <c r="S882" s="695"/>
      <c r="T882" s="8"/>
      <c r="U882" s="8"/>
      <c r="V882" s="8"/>
      <c r="W882" s="8"/>
      <c r="X882" s="8"/>
      <c r="Y882" s="8"/>
      <c r="Z882" s="8"/>
      <c r="AA882" s="8"/>
      <c r="AB882" s="8"/>
    </row>
    <row r="883" ht="12.75" customHeight="1" spans="1:28" x14ac:dyDescent="0.25">
      <c r="A883" s="8"/>
      <c r="B883" s="8"/>
      <c r="C883" s="8"/>
      <c r="D883" s="8"/>
      <c r="E883" s="8"/>
      <c r="F883" s="8"/>
      <c r="G883" s="695"/>
      <c r="H883" s="695"/>
      <c r="I883" s="695"/>
      <c r="J883" s="695"/>
      <c r="K883" s="695"/>
      <c r="L883" s="695"/>
      <c r="M883" s="695"/>
      <c r="N883" s="695"/>
      <c r="O883" s="695"/>
      <c r="P883" s="695"/>
      <c r="Q883" s="695"/>
      <c r="R883" s="695"/>
      <c r="S883" s="695"/>
      <c r="T883" s="8"/>
      <c r="U883" s="8"/>
      <c r="V883" s="8"/>
      <c r="W883" s="8"/>
      <c r="X883" s="8"/>
      <c r="Y883" s="8"/>
      <c r="Z883" s="8"/>
      <c r="AA883" s="8"/>
      <c r="AB883" s="8"/>
    </row>
    <row r="884" ht="12.75" customHeight="1" spans="1:28" x14ac:dyDescent="0.25">
      <c r="A884" s="8"/>
      <c r="B884" s="8"/>
      <c r="C884" s="8"/>
      <c r="D884" s="8"/>
      <c r="E884" s="8"/>
      <c r="F884" s="8"/>
      <c r="G884" s="695"/>
      <c r="H884" s="695"/>
      <c r="I884" s="695"/>
      <c r="J884" s="695"/>
      <c r="K884" s="695"/>
      <c r="L884" s="695"/>
      <c r="M884" s="695"/>
      <c r="N884" s="695"/>
      <c r="O884" s="695"/>
      <c r="P884" s="695"/>
      <c r="Q884" s="695"/>
      <c r="R884" s="695"/>
      <c r="S884" s="695"/>
      <c r="T884" s="8"/>
      <c r="U884" s="8"/>
      <c r="V884" s="8"/>
      <c r="W884" s="8"/>
      <c r="X884" s="8"/>
      <c r="Y884" s="8"/>
      <c r="Z884" s="8"/>
      <c r="AA884" s="8"/>
      <c r="AB884" s="8"/>
    </row>
    <row r="885" ht="12.75" customHeight="1" spans="1:28" x14ac:dyDescent="0.25">
      <c r="A885" s="8"/>
      <c r="B885" s="8"/>
      <c r="C885" s="8"/>
      <c r="D885" s="8"/>
      <c r="E885" s="8"/>
      <c r="F885" s="8"/>
      <c r="G885" s="695"/>
      <c r="H885" s="695"/>
      <c r="I885" s="695"/>
      <c r="J885" s="695"/>
      <c r="K885" s="695"/>
      <c r="L885" s="695"/>
      <c r="M885" s="695"/>
      <c r="N885" s="695"/>
      <c r="O885" s="695"/>
      <c r="P885" s="695"/>
      <c r="Q885" s="695"/>
      <c r="R885" s="695"/>
      <c r="S885" s="695"/>
      <c r="T885" s="8"/>
      <c r="U885" s="8"/>
      <c r="V885" s="8"/>
      <c r="W885" s="8"/>
      <c r="X885" s="8"/>
      <c r="Y885" s="8"/>
      <c r="Z885" s="8"/>
      <c r="AA885" s="8"/>
      <c r="AB885" s="8"/>
    </row>
    <row r="886" ht="12.75" customHeight="1" spans="1:28" x14ac:dyDescent="0.25">
      <c r="A886" s="8"/>
      <c r="B886" s="8"/>
      <c r="C886" s="8"/>
      <c r="D886" s="8"/>
      <c r="E886" s="8"/>
      <c r="F886" s="8"/>
      <c r="G886" s="695"/>
      <c r="H886" s="695"/>
      <c r="I886" s="695"/>
      <c r="J886" s="695"/>
      <c r="K886" s="695"/>
      <c r="L886" s="695"/>
      <c r="M886" s="695"/>
      <c r="N886" s="695"/>
      <c r="O886" s="695"/>
      <c r="P886" s="695"/>
      <c r="Q886" s="695"/>
      <c r="R886" s="695"/>
      <c r="S886" s="695"/>
      <c r="T886" s="8"/>
      <c r="U886" s="8"/>
      <c r="V886" s="8"/>
      <c r="W886" s="8"/>
      <c r="X886" s="8"/>
      <c r="Y886" s="8"/>
      <c r="Z886" s="8"/>
      <c r="AA886" s="8"/>
      <c r="AB886" s="8"/>
    </row>
    <row r="887" ht="12.75" customHeight="1" spans="1:28" x14ac:dyDescent="0.25">
      <c r="A887" s="8"/>
      <c r="B887" s="8"/>
      <c r="C887" s="8"/>
      <c r="D887" s="8"/>
      <c r="E887" s="8"/>
      <c r="F887" s="8"/>
      <c r="G887" s="695"/>
      <c r="H887" s="695"/>
      <c r="I887" s="695"/>
      <c r="J887" s="695"/>
      <c r="K887" s="695"/>
      <c r="L887" s="695"/>
      <c r="M887" s="695"/>
      <c r="N887" s="695"/>
      <c r="O887" s="695"/>
      <c r="P887" s="695"/>
      <c r="Q887" s="695"/>
      <c r="R887" s="695"/>
      <c r="S887" s="695"/>
      <c r="T887" s="8"/>
      <c r="U887" s="8"/>
      <c r="V887" s="8"/>
      <c r="W887" s="8"/>
      <c r="X887" s="8"/>
      <c r="Y887" s="8"/>
      <c r="Z887" s="8"/>
      <c r="AA887" s="8"/>
      <c r="AB887" s="8"/>
    </row>
    <row r="888" ht="12.75" customHeight="1" spans="1:28" x14ac:dyDescent="0.25">
      <c r="A888" s="8"/>
      <c r="B888" s="8"/>
      <c r="C888" s="8"/>
      <c r="D888" s="8"/>
      <c r="E888" s="8"/>
      <c r="F888" s="8"/>
      <c r="G888" s="695"/>
      <c r="H888" s="695"/>
      <c r="I888" s="695"/>
      <c r="J888" s="695"/>
      <c r="K888" s="695"/>
      <c r="L888" s="695"/>
      <c r="M888" s="695"/>
      <c r="N888" s="695"/>
      <c r="O888" s="695"/>
      <c r="P888" s="695"/>
      <c r="Q888" s="695"/>
      <c r="R888" s="695"/>
      <c r="S888" s="695"/>
      <c r="T888" s="8"/>
      <c r="U888" s="8"/>
      <c r="V888" s="8"/>
      <c r="W888" s="8"/>
      <c r="X888" s="8"/>
      <c r="Y888" s="8"/>
      <c r="Z888" s="8"/>
      <c r="AA888" s="8"/>
      <c r="AB888" s="8"/>
    </row>
    <row r="889" ht="12.75" customHeight="1" spans="1:28" x14ac:dyDescent="0.25">
      <c r="A889" s="8"/>
      <c r="B889" s="8"/>
      <c r="C889" s="8"/>
      <c r="D889" s="8"/>
      <c r="E889" s="8"/>
      <c r="F889" s="8"/>
      <c r="G889" s="695"/>
      <c r="H889" s="695"/>
      <c r="I889" s="695"/>
      <c r="J889" s="695"/>
      <c r="K889" s="695"/>
      <c r="L889" s="695"/>
      <c r="M889" s="695"/>
      <c r="N889" s="695"/>
      <c r="O889" s="695"/>
      <c r="P889" s="695"/>
      <c r="Q889" s="695"/>
      <c r="R889" s="695"/>
      <c r="S889" s="695"/>
      <c r="T889" s="8"/>
      <c r="U889" s="8"/>
      <c r="V889" s="8"/>
      <c r="W889" s="8"/>
      <c r="X889" s="8"/>
      <c r="Y889" s="8"/>
      <c r="Z889" s="8"/>
      <c r="AA889" s="8"/>
      <c r="AB889" s="8"/>
    </row>
    <row r="890" ht="12.75" customHeight="1" spans="1:28" x14ac:dyDescent="0.25">
      <c r="A890" s="8"/>
      <c r="B890" s="8"/>
      <c r="C890" s="8"/>
      <c r="D890" s="8"/>
      <c r="E890" s="8"/>
      <c r="F890" s="8"/>
      <c r="G890" s="695"/>
      <c r="H890" s="695"/>
      <c r="I890" s="695"/>
      <c r="J890" s="695"/>
      <c r="K890" s="695"/>
      <c r="L890" s="695"/>
      <c r="M890" s="695"/>
      <c r="N890" s="695"/>
      <c r="O890" s="695"/>
      <c r="P890" s="695"/>
      <c r="Q890" s="695"/>
      <c r="R890" s="695"/>
      <c r="S890" s="695"/>
      <c r="T890" s="8"/>
      <c r="U890" s="8"/>
      <c r="V890" s="8"/>
      <c r="W890" s="8"/>
      <c r="X890" s="8"/>
      <c r="Y890" s="8"/>
      <c r="Z890" s="8"/>
      <c r="AA890" s="8"/>
      <c r="AB890" s="8"/>
    </row>
    <row r="891" ht="12.75" customHeight="1" spans="1:28" x14ac:dyDescent="0.25">
      <c r="A891" s="8"/>
      <c r="B891" s="8"/>
      <c r="C891" s="8"/>
      <c r="D891" s="8"/>
      <c r="E891" s="8"/>
      <c r="F891" s="8"/>
      <c r="G891" s="695"/>
      <c r="H891" s="695"/>
      <c r="I891" s="695"/>
      <c r="J891" s="695"/>
      <c r="K891" s="695"/>
      <c r="L891" s="695"/>
      <c r="M891" s="695"/>
      <c r="N891" s="695"/>
      <c r="O891" s="695"/>
      <c r="P891" s="695"/>
      <c r="Q891" s="695"/>
      <c r="R891" s="695"/>
      <c r="S891" s="695"/>
      <c r="T891" s="8"/>
      <c r="U891" s="8"/>
      <c r="V891" s="8"/>
      <c r="W891" s="8"/>
      <c r="X891" s="8"/>
      <c r="Y891" s="8"/>
      <c r="Z891" s="8"/>
      <c r="AA891" s="8"/>
      <c r="AB891" s="8"/>
    </row>
    <row r="892" ht="12.75" customHeight="1" spans="1:28" x14ac:dyDescent="0.25">
      <c r="A892" s="8"/>
      <c r="B892" s="8"/>
      <c r="C892" s="8"/>
      <c r="D892" s="8"/>
      <c r="E892" s="8"/>
      <c r="F892" s="8"/>
      <c r="G892" s="695"/>
      <c r="H892" s="695"/>
      <c r="I892" s="695"/>
      <c r="J892" s="695"/>
      <c r="K892" s="695"/>
      <c r="L892" s="695"/>
      <c r="M892" s="695"/>
      <c r="N892" s="695"/>
      <c r="O892" s="695"/>
      <c r="P892" s="695"/>
      <c r="Q892" s="695"/>
      <c r="R892" s="695"/>
      <c r="S892" s="695"/>
      <c r="T892" s="8"/>
      <c r="U892" s="8"/>
      <c r="V892" s="8"/>
      <c r="W892" s="8"/>
      <c r="X892" s="8"/>
      <c r="Y892" s="8"/>
      <c r="Z892" s="8"/>
      <c r="AA892" s="8"/>
      <c r="AB892" s="8"/>
    </row>
    <row r="893" ht="12.75" customHeight="1" spans="1:28" x14ac:dyDescent="0.25">
      <c r="A893" s="8"/>
      <c r="B893" s="8"/>
      <c r="C893" s="8"/>
      <c r="D893" s="8"/>
      <c r="E893" s="8"/>
      <c r="F893" s="8"/>
      <c r="G893" s="695"/>
      <c r="H893" s="695"/>
      <c r="I893" s="695"/>
      <c r="J893" s="695"/>
      <c r="K893" s="695"/>
      <c r="L893" s="695"/>
      <c r="M893" s="695"/>
      <c r="N893" s="695"/>
      <c r="O893" s="695"/>
      <c r="P893" s="695"/>
      <c r="Q893" s="695"/>
      <c r="R893" s="695"/>
      <c r="S893" s="695"/>
      <c r="T893" s="8"/>
      <c r="U893" s="8"/>
      <c r="V893" s="8"/>
      <c r="W893" s="8"/>
      <c r="X893" s="8"/>
      <c r="Y893" s="8"/>
      <c r="Z893" s="8"/>
      <c r="AA893" s="8"/>
      <c r="AB893" s="8"/>
    </row>
    <row r="894" ht="12.75" customHeight="1" spans="1:28" x14ac:dyDescent="0.25">
      <c r="A894" s="8"/>
      <c r="B894" s="8"/>
      <c r="C894" s="8"/>
      <c r="D894" s="8"/>
      <c r="E894" s="8"/>
      <c r="F894" s="8"/>
      <c r="G894" s="695"/>
      <c r="H894" s="695"/>
      <c r="I894" s="695"/>
      <c r="J894" s="695"/>
      <c r="K894" s="695"/>
      <c r="L894" s="695"/>
      <c r="M894" s="695"/>
      <c r="N894" s="695"/>
      <c r="O894" s="695"/>
      <c r="P894" s="695"/>
      <c r="Q894" s="695"/>
      <c r="R894" s="695"/>
      <c r="S894" s="695"/>
      <c r="T894" s="8"/>
      <c r="U894" s="8"/>
      <c r="V894" s="8"/>
      <c r="W894" s="8"/>
      <c r="X894" s="8"/>
      <c r="Y894" s="8"/>
      <c r="Z894" s="8"/>
      <c r="AA894" s="8"/>
      <c r="AB894" s="8"/>
    </row>
    <row r="895" ht="12.75" customHeight="1" spans="1:28" x14ac:dyDescent="0.25">
      <c r="A895" s="8"/>
      <c r="B895" s="8"/>
      <c r="C895" s="8"/>
      <c r="D895" s="8"/>
      <c r="E895" s="8"/>
      <c r="F895" s="8"/>
      <c r="G895" s="695"/>
      <c r="H895" s="695"/>
      <c r="I895" s="695"/>
      <c r="J895" s="695"/>
      <c r="K895" s="695"/>
      <c r="L895" s="695"/>
      <c r="M895" s="695"/>
      <c r="N895" s="695"/>
      <c r="O895" s="695"/>
      <c r="P895" s="695"/>
      <c r="Q895" s="695"/>
      <c r="R895" s="695"/>
      <c r="S895" s="695"/>
      <c r="T895" s="8"/>
      <c r="U895" s="8"/>
      <c r="V895" s="8"/>
      <c r="W895" s="8"/>
      <c r="X895" s="8"/>
      <c r="Y895" s="8"/>
      <c r="Z895" s="8"/>
      <c r="AA895" s="8"/>
      <c r="AB895" s="8"/>
    </row>
    <row r="896" ht="12.75" customHeight="1" spans="1:28" x14ac:dyDescent="0.25">
      <c r="A896" s="8"/>
      <c r="B896" s="8"/>
      <c r="C896" s="8"/>
      <c r="D896" s="8"/>
      <c r="E896" s="8"/>
      <c r="F896" s="8"/>
      <c r="G896" s="695"/>
      <c r="H896" s="695"/>
      <c r="I896" s="695"/>
      <c r="J896" s="695"/>
      <c r="K896" s="695"/>
      <c r="L896" s="695"/>
      <c r="M896" s="695"/>
      <c r="N896" s="695"/>
      <c r="O896" s="695"/>
      <c r="P896" s="695"/>
      <c r="Q896" s="695"/>
      <c r="R896" s="695"/>
      <c r="S896" s="695"/>
      <c r="T896" s="8"/>
      <c r="U896" s="8"/>
      <c r="V896" s="8"/>
      <c r="W896" s="8"/>
      <c r="X896" s="8"/>
      <c r="Y896" s="8"/>
      <c r="Z896" s="8"/>
      <c r="AA896" s="8"/>
      <c r="AB896" s="8"/>
    </row>
    <row r="897" ht="12.75" customHeight="1" spans="1:28" x14ac:dyDescent="0.25">
      <c r="A897" s="8"/>
      <c r="B897" s="8"/>
      <c r="C897" s="8"/>
      <c r="D897" s="8"/>
      <c r="E897" s="8"/>
      <c r="F897" s="8"/>
      <c r="G897" s="695"/>
      <c r="H897" s="695"/>
      <c r="I897" s="695"/>
      <c r="J897" s="695"/>
      <c r="K897" s="695"/>
      <c r="L897" s="695"/>
      <c r="M897" s="695"/>
      <c r="N897" s="695"/>
      <c r="O897" s="695"/>
      <c r="P897" s="695"/>
      <c r="Q897" s="695"/>
      <c r="R897" s="695"/>
      <c r="S897" s="695"/>
      <c r="T897" s="8"/>
      <c r="U897" s="8"/>
      <c r="V897" s="8"/>
      <c r="W897" s="8"/>
      <c r="X897" s="8"/>
      <c r="Y897" s="8"/>
      <c r="Z897" s="8"/>
      <c r="AA897" s="8"/>
      <c r="AB897" s="8"/>
    </row>
    <row r="898" ht="12.75" customHeight="1" spans="1:28" x14ac:dyDescent="0.25">
      <c r="A898" s="8"/>
      <c r="B898" s="8"/>
      <c r="C898" s="8"/>
      <c r="D898" s="8"/>
      <c r="E898" s="8"/>
      <c r="F898" s="8"/>
      <c r="G898" s="695"/>
      <c r="H898" s="695"/>
      <c r="I898" s="695"/>
      <c r="J898" s="695"/>
      <c r="K898" s="695"/>
      <c r="L898" s="695"/>
      <c r="M898" s="695"/>
      <c r="N898" s="695"/>
      <c r="O898" s="695"/>
      <c r="P898" s="695"/>
      <c r="Q898" s="695"/>
      <c r="R898" s="695"/>
      <c r="S898" s="695"/>
      <c r="T898" s="8"/>
      <c r="U898" s="8"/>
      <c r="V898" s="8"/>
      <c r="W898" s="8"/>
      <c r="X898" s="8"/>
      <c r="Y898" s="8"/>
      <c r="Z898" s="8"/>
      <c r="AA898" s="8"/>
      <c r="AB898" s="8"/>
    </row>
    <row r="899" ht="12.75" customHeight="1" spans="1:28" x14ac:dyDescent="0.25">
      <c r="A899" s="8"/>
      <c r="B899" s="8"/>
      <c r="C899" s="8"/>
      <c r="D899" s="8"/>
      <c r="E899" s="8"/>
      <c r="F899" s="8"/>
      <c r="G899" s="695"/>
      <c r="H899" s="695"/>
      <c r="I899" s="695"/>
      <c r="J899" s="695"/>
      <c r="K899" s="695"/>
      <c r="L899" s="695"/>
      <c r="M899" s="695"/>
      <c r="N899" s="695"/>
      <c r="O899" s="695"/>
      <c r="P899" s="695"/>
      <c r="Q899" s="695"/>
      <c r="R899" s="695"/>
      <c r="S899" s="695"/>
      <c r="T899" s="8"/>
      <c r="U899" s="8"/>
      <c r="V899" s="8"/>
      <c r="W899" s="8"/>
      <c r="X899" s="8"/>
      <c r="Y899" s="8"/>
      <c r="Z899" s="8"/>
      <c r="AA899" s="8"/>
      <c r="AB899" s="8"/>
    </row>
    <row r="900" ht="12.75" customHeight="1" spans="1:28" x14ac:dyDescent="0.25">
      <c r="A900" s="8"/>
      <c r="B900" s="8"/>
      <c r="C900" s="8"/>
      <c r="D900" s="8"/>
      <c r="E900" s="8"/>
      <c r="F900" s="8"/>
      <c r="G900" s="695"/>
      <c r="H900" s="695"/>
      <c r="I900" s="695"/>
      <c r="J900" s="695"/>
      <c r="K900" s="695"/>
      <c r="L900" s="695"/>
      <c r="M900" s="695"/>
      <c r="N900" s="695"/>
      <c r="O900" s="695"/>
      <c r="P900" s="695"/>
      <c r="Q900" s="695"/>
      <c r="R900" s="695"/>
      <c r="S900" s="695"/>
      <c r="T900" s="8"/>
      <c r="U900" s="8"/>
      <c r="V900" s="8"/>
      <c r="W900" s="8"/>
      <c r="X900" s="8"/>
      <c r="Y900" s="8"/>
      <c r="Z900" s="8"/>
      <c r="AA900" s="8"/>
      <c r="AB900" s="8"/>
    </row>
    <row r="901" ht="12.75" customHeight="1" spans="1:28" x14ac:dyDescent="0.25">
      <c r="A901" s="8"/>
      <c r="B901" s="8"/>
      <c r="C901" s="8"/>
      <c r="D901" s="8"/>
      <c r="E901" s="8"/>
      <c r="F901" s="8"/>
      <c r="G901" s="695"/>
      <c r="H901" s="695"/>
      <c r="I901" s="695"/>
      <c r="J901" s="695"/>
      <c r="K901" s="695"/>
      <c r="L901" s="695"/>
      <c r="M901" s="695"/>
      <c r="N901" s="695"/>
      <c r="O901" s="695"/>
      <c r="P901" s="695"/>
      <c r="Q901" s="695"/>
      <c r="R901" s="695"/>
      <c r="S901" s="695"/>
      <c r="T901" s="8"/>
      <c r="U901" s="8"/>
      <c r="V901" s="8"/>
      <c r="W901" s="8"/>
      <c r="X901" s="8"/>
      <c r="Y901" s="8"/>
      <c r="Z901" s="8"/>
      <c r="AA901" s="8"/>
      <c r="AB901" s="8"/>
    </row>
    <row r="902" ht="12.75" customHeight="1" spans="1:28" x14ac:dyDescent="0.25">
      <c r="A902" s="8"/>
      <c r="B902" s="8"/>
      <c r="C902" s="8"/>
      <c r="D902" s="8"/>
      <c r="E902" s="8"/>
      <c r="F902" s="8"/>
      <c r="G902" s="695"/>
      <c r="H902" s="695"/>
      <c r="I902" s="695"/>
      <c r="J902" s="695"/>
      <c r="K902" s="695"/>
      <c r="L902" s="695"/>
      <c r="M902" s="695"/>
      <c r="N902" s="695"/>
      <c r="O902" s="695"/>
      <c r="P902" s="695"/>
      <c r="Q902" s="695"/>
      <c r="R902" s="695"/>
      <c r="S902" s="695"/>
      <c r="T902" s="8"/>
      <c r="U902" s="8"/>
      <c r="V902" s="8"/>
      <c r="W902" s="8"/>
      <c r="X902" s="8"/>
      <c r="Y902" s="8"/>
      <c r="Z902" s="8"/>
      <c r="AA902" s="8"/>
      <c r="AB902" s="8"/>
    </row>
    <row r="903" ht="12.75" customHeight="1" spans="1:28" x14ac:dyDescent="0.25">
      <c r="A903" s="8"/>
      <c r="B903" s="8"/>
      <c r="C903" s="8"/>
      <c r="D903" s="8"/>
      <c r="E903" s="8"/>
      <c r="F903" s="8"/>
      <c r="G903" s="695"/>
      <c r="H903" s="695"/>
      <c r="I903" s="695"/>
      <c r="J903" s="695"/>
      <c r="K903" s="695"/>
      <c r="L903" s="695"/>
      <c r="M903" s="695"/>
      <c r="N903" s="695"/>
      <c r="O903" s="695"/>
      <c r="P903" s="695"/>
      <c r="Q903" s="695"/>
      <c r="R903" s="695"/>
      <c r="S903" s="695"/>
      <c r="T903" s="8"/>
      <c r="U903" s="8"/>
      <c r="V903" s="8"/>
      <c r="W903" s="8"/>
      <c r="X903" s="8"/>
      <c r="Y903" s="8"/>
      <c r="Z903" s="8"/>
      <c r="AA903" s="8"/>
      <c r="AB903" s="8"/>
    </row>
    <row r="904" ht="12.75" customHeight="1" spans="1:28" x14ac:dyDescent="0.25">
      <c r="A904" s="8"/>
      <c r="B904" s="8"/>
      <c r="C904" s="8"/>
      <c r="D904" s="8"/>
      <c r="E904" s="8"/>
      <c r="F904" s="8"/>
      <c r="G904" s="695"/>
      <c r="H904" s="695"/>
      <c r="I904" s="695"/>
      <c r="J904" s="695"/>
      <c r="K904" s="695"/>
      <c r="L904" s="695"/>
      <c r="M904" s="695"/>
      <c r="N904" s="695"/>
      <c r="O904" s="695"/>
      <c r="P904" s="695"/>
      <c r="Q904" s="695"/>
      <c r="R904" s="695"/>
      <c r="S904" s="695"/>
      <c r="T904" s="8"/>
      <c r="U904" s="8"/>
      <c r="V904" s="8"/>
      <c r="W904" s="8"/>
      <c r="X904" s="8"/>
      <c r="Y904" s="8"/>
      <c r="Z904" s="8"/>
      <c r="AA904" s="8"/>
      <c r="AB904" s="8"/>
    </row>
    <row r="905" ht="12.75" customHeight="1" spans="1:28" x14ac:dyDescent="0.25">
      <c r="A905" s="8"/>
      <c r="B905" s="8"/>
      <c r="C905" s="8"/>
      <c r="D905" s="8"/>
      <c r="E905" s="8"/>
      <c r="F905" s="8"/>
      <c r="G905" s="695"/>
      <c r="H905" s="695"/>
      <c r="I905" s="695"/>
      <c r="J905" s="695"/>
      <c r="K905" s="695"/>
      <c r="L905" s="695"/>
      <c r="M905" s="695"/>
      <c r="N905" s="695"/>
      <c r="O905" s="695"/>
      <c r="P905" s="695"/>
      <c r="Q905" s="695"/>
      <c r="R905" s="695"/>
      <c r="S905" s="695"/>
      <c r="T905" s="8"/>
      <c r="U905" s="8"/>
      <c r="V905" s="8"/>
      <c r="W905" s="8"/>
      <c r="X905" s="8"/>
      <c r="Y905" s="8"/>
      <c r="Z905" s="8"/>
      <c r="AA905" s="8"/>
      <c r="AB905" s="8"/>
    </row>
    <row r="906" ht="12.75" customHeight="1" spans="1:28" x14ac:dyDescent="0.25">
      <c r="A906" s="8"/>
      <c r="B906" s="8"/>
      <c r="C906" s="8"/>
      <c r="D906" s="8"/>
      <c r="E906" s="8"/>
      <c r="F906" s="8"/>
      <c r="G906" s="695"/>
      <c r="H906" s="695"/>
      <c r="I906" s="695"/>
      <c r="J906" s="695"/>
      <c r="K906" s="695"/>
      <c r="L906" s="695"/>
      <c r="M906" s="695"/>
      <c r="N906" s="695"/>
      <c r="O906" s="695"/>
      <c r="P906" s="695"/>
      <c r="Q906" s="695"/>
      <c r="R906" s="695"/>
      <c r="S906" s="695"/>
      <c r="T906" s="8"/>
      <c r="U906" s="8"/>
      <c r="V906" s="8"/>
      <c r="W906" s="8"/>
      <c r="X906" s="8"/>
      <c r="Y906" s="8"/>
      <c r="Z906" s="8"/>
      <c r="AA906" s="8"/>
      <c r="AB906" s="8"/>
    </row>
    <row r="907" ht="12.75" customHeight="1" spans="1:28" x14ac:dyDescent="0.25">
      <c r="A907" s="8"/>
      <c r="B907" s="8"/>
      <c r="C907" s="8"/>
      <c r="D907" s="8"/>
      <c r="E907" s="8"/>
      <c r="F907" s="8"/>
      <c r="G907" s="695"/>
      <c r="H907" s="695"/>
      <c r="I907" s="695"/>
      <c r="J907" s="695"/>
      <c r="K907" s="695"/>
      <c r="L907" s="695"/>
      <c r="M907" s="695"/>
      <c r="N907" s="695"/>
      <c r="O907" s="695"/>
      <c r="P907" s="695"/>
      <c r="Q907" s="695"/>
      <c r="R907" s="695"/>
      <c r="S907" s="695"/>
      <c r="T907" s="8"/>
      <c r="U907" s="8"/>
      <c r="V907" s="8"/>
      <c r="W907" s="8"/>
      <c r="X907" s="8"/>
      <c r="Y907" s="8"/>
      <c r="Z907" s="8"/>
      <c r="AA907" s="8"/>
      <c r="AB907" s="8"/>
    </row>
    <row r="908" ht="12.75" customHeight="1" spans="1:28" x14ac:dyDescent="0.25">
      <c r="A908" s="8"/>
      <c r="B908" s="8"/>
      <c r="C908" s="8"/>
      <c r="D908" s="8"/>
      <c r="E908" s="8"/>
      <c r="F908" s="8"/>
      <c r="G908" s="695"/>
      <c r="H908" s="695"/>
      <c r="I908" s="695"/>
      <c r="J908" s="695"/>
      <c r="K908" s="695"/>
      <c r="L908" s="695"/>
      <c r="M908" s="695"/>
      <c r="N908" s="695"/>
      <c r="O908" s="695"/>
      <c r="P908" s="695"/>
      <c r="Q908" s="695"/>
      <c r="R908" s="695"/>
      <c r="S908" s="695"/>
      <c r="T908" s="8"/>
      <c r="U908" s="8"/>
      <c r="V908" s="8"/>
      <c r="W908" s="8"/>
      <c r="X908" s="8"/>
      <c r="Y908" s="8"/>
      <c r="Z908" s="8"/>
      <c r="AA908" s="8"/>
      <c r="AB908" s="8"/>
    </row>
    <row r="909" ht="12.75" customHeight="1" spans="1:28" x14ac:dyDescent="0.25">
      <c r="A909" s="8"/>
      <c r="B909" s="8"/>
      <c r="C909" s="8"/>
      <c r="D909" s="8"/>
      <c r="E909" s="8"/>
      <c r="F909" s="8"/>
      <c r="G909" s="695"/>
      <c r="H909" s="695"/>
      <c r="I909" s="695"/>
      <c r="J909" s="695"/>
      <c r="K909" s="695"/>
      <c r="L909" s="695"/>
      <c r="M909" s="695"/>
      <c r="N909" s="695"/>
      <c r="O909" s="695"/>
      <c r="P909" s="695"/>
      <c r="Q909" s="695"/>
      <c r="R909" s="695"/>
      <c r="S909" s="695"/>
      <c r="T909" s="8"/>
      <c r="U909" s="8"/>
      <c r="V909" s="8"/>
      <c r="W909" s="8"/>
      <c r="X909" s="8"/>
      <c r="Y909" s="8"/>
      <c r="Z909" s="8"/>
      <c r="AA909" s="8"/>
      <c r="AB909" s="8"/>
    </row>
    <row r="910" ht="12.75" customHeight="1" spans="1:28" x14ac:dyDescent="0.25">
      <c r="A910" s="8"/>
      <c r="B910" s="8"/>
      <c r="C910" s="8"/>
      <c r="D910" s="8"/>
      <c r="E910" s="8"/>
      <c r="F910" s="8"/>
      <c r="G910" s="695"/>
      <c r="H910" s="695"/>
      <c r="I910" s="695"/>
      <c r="J910" s="695"/>
      <c r="K910" s="695"/>
      <c r="L910" s="695"/>
      <c r="M910" s="695"/>
      <c r="N910" s="695"/>
      <c r="O910" s="695"/>
      <c r="P910" s="695"/>
      <c r="Q910" s="695"/>
      <c r="R910" s="695"/>
      <c r="S910" s="695"/>
      <c r="T910" s="8"/>
      <c r="U910" s="8"/>
      <c r="V910" s="8"/>
      <c r="W910" s="8"/>
      <c r="X910" s="8"/>
      <c r="Y910" s="8"/>
      <c r="Z910" s="8"/>
      <c r="AA910" s="8"/>
      <c r="AB910" s="8"/>
    </row>
    <row r="911" ht="12.75" customHeight="1" spans="1:28" x14ac:dyDescent="0.25">
      <c r="A911" s="8"/>
      <c r="B911" s="8"/>
      <c r="C911" s="8"/>
      <c r="D911" s="8"/>
      <c r="E911" s="8"/>
      <c r="F911" s="8"/>
      <c r="G911" s="695"/>
      <c r="H911" s="695"/>
      <c r="I911" s="695"/>
      <c r="J911" s="695"/>
      <c r="K911" s="695"/>
      <c r="L911" s="695"/>
      <c r="M911" s="695"/>
      <c r="N911" s="695"/>
      <c r="O911" s="695"/>
      <c r="P911" s="695"/>
      <c r="Q911" s="695"/>
      <c r="R911" s="695"/>
      <c r="S911" s="695"/>
      <c r="T911" s="8"/>
      <c r="U911" s="8"/>
      <c r="V911" s="8"/>
      <c r="W911" s="8"/>
      <c r="X911" s="8"/>
      <c r="Y911" s="8"/>
      <c r="Z911" s="8"/>
      <c r="AA911" s="8"/>
      <c r="AB911" s="8"/>
    </row>
    <row r="912" ht="12.75" customHeight="1" spans="1:28" x14ac:dyDescent="0.25">
      <c r="A912" s="8"/>
      <c r="B912" s="8"/>
      <c r="C912" s="8"/>
      <c r="D912" s="8"/>
      <c r="E912" s="8"/>
      <c r="F912" s="8"/>
      <c r="G912" s="695"/>
      <c r="H912" s="695"/>
      <c r="I912" s="695"/>
      <c r="J912" s="695"/>
      <c r="K912" s="695"/>
      <c r="L912" s="695"/>
      <c r="M912" s="695"/>
      <c r="N912" s="695"/>
      <c r="O912" s="695"/>
      <c r="P912" s="695"/>
      <c r="Q912" s="695"/>
      <c r="R912" s="695"/>
      <c r="S912" s="695"/>
      <c r="T912" s="8"/>
      <c r="U912" s="8"/>
      <c r="V912" s="8"/>
      <c r="W912" s="8"/>
      <c r="X912" s="8"/>
      <c r="Y912" s="8"/>
      <c r="Z912" s="8"/>
      <c r="AA912" s="8"/>
      <c r="AB912" s="8"/>
    </row>
    <row r="913" ht="12.75" customHeight="1" spans="1:28" x14ac:dyDescent="0.25">
      <c r="A913" s="8"/>
      <c r="B913" s="8"/>
      <c r="C913" s="8"/>
      <c r="D913" s="8"/>
      <c r="E913" s="8"/>
      <c r="F913" s="8"/>
      <c r="G913" s="695"/>
      <c r="H913" s="695"/>
      <c r="I913" s="695"/>
      <c r="J913" s="695"/>
      <c r="K913" s="695"/>
      <c r="L913" s="695"/>
      <c r="M913" s="695"/>
      <c r="N913" s="695"/>
      <c r="O913" s="695"/>
      <c r="P913" s="695"/>
      <c r="Q913" s="695"/>
      <c r="R913" s="695"/>
      <c r="S913" s="695"/>
      <c r="T913" s="8"/>
      <c r="U913" s="8"/>
      <c r="V913" s="8"/>
      <c r="W913" s="8"/>
      <c r="X913" s="8"/>
      <c r="Y913" s="8"/>
      <c r="Z913" s="8"/>
      <c r="AA913" s="8"/>
      <c r="AB913" s="8"/>
    </row>
    <row r="914" ht="12.75" customHeight="1" spans="1:28" x14ac:dyDescent="0.25">
      <c r="A914" s="8"/>
      <c r="B914" s="8"/>
      <c r="C914" s="8"/>
      <c r="D914" s="8"/>
      <c r="E914" s="8"/>
      <c r="F914" s="8"/>
      <c r="G914" s="695"/>
      <c r="H914" s="695"/>
      <c r="I914" s="695"/>
      <c r="J914" s="695"/>
      <c r="K914" s="695"/>
      <c r="L914" s="695"/>
      <c r="M914" s="695"/>
      <c r="N914" s="695"/>
      <c r="O914" s="695"/>
      <c r="P914" s="695"/>
      <c r="Q914" s="695"/>
      <c r="R914" s="695"/>
      <c r="S914" s="695"/>
      <c r="T914" s="8"/>
      <c r="U914" s="8"/>
      <c r="V914" s="8"/>
      <c r="W914" s="8"/>
      <c r="X914" s="8"/>
      <c r="Y914" s="8"/>
      <c r="Z914" s="8"/>
      <c r="AA914" s="8"/>
      <c r="AB914" s="8"/>
    </row>
    <row r="915" ht="12.75" customHeight="1" spans="1:28" x14ac:dyDescent="0.25">
      <c r="A915" s="8"/>
      <c r="B915" s="8"/>
      <c r="C915" s="8"/>
      <c r="D915" s="8"/>
      <c r="E915" s="8"/>
      <c r="F915" s="8"/>
      <c r="G915" s="695"/>
      <c r="H915" s="695"/>
      <c r="I915" s="695"/>
      <c r="J915" s="695"/>
      <c r="K915" s="695"/>
      <c r="L915" s="695"/>
      <c r="M915" s="695"/>
      <c r="N915" s="695"/>
      <c r="O915" s="695"/>
      <c r="P915" s="695"/>
      <c r="Q915" s="695"/>
      <c r="R915" s="695"/>
      <c r="S915" s="695"/>
      <c r="T915" s="8"/>
      <c r="U915" s="8"/>
      <c r="V915" s="8"/>
      <c r="W915" s="8"/>
      <c r="X915" s="8"/>
      <c r="Y915" s="8"/>
      <c r="Z915" s="8"/>
      <c r="AA915" s="8"/>
      <c r="AB915" s="8"/>
    </row>
    <row r="916" ht="12.75" customHeight="1" spans="1:28" x14ac:dyDescent="0.25">
      <c r="A916" s="8"/>
      <c r="B916" s="8"/>
      <c r="C916" s="8"/>
      <c r="D916" s="8"/>
      <c r="E916" s="8"/>
      <c r="F916" s="8"/>
      <c r="G916" s="695"/>
      <c r="H916" s="695"/>
      <c r="I916" s="695"/>
      <c r="J916" s="695"/>
      <c r="K916" s="695"/>
      <c r="L916" s="695"/>
      <c r="M916" s="695"/>
      <c r="N916" s="695"/>
      <c r="O916" s="695"/>
      <c r="P916" s="695"/>
      <c r="Q916" s="695"/>
      <c r="R916" s="695"/>
      <c r="S916" s="695"/>
      <c r="T916" s="8"/>
      <c r="U916" s="8"/>
      <c r="V916" s="8"/>
      <c r="W916" s="8"/>
      <c r="X916" s="8"/>
      <c r="Y916" s="8"/>
      <c r="Z916" s="8"/>
      <c r="AA916" s="8"/>
      <c r="AB916" s="8"/>
    </row>
    <row r="917" ht="12.75" customHeight="1" spans="1:28" x14ac:dyDescent="0.25">
      <c r="A917" s="8"/>
      <c r="B917" s="8"/>
      <c r="C917" s="8"/>
      <c r="D917" s="8"/>
      <c r="E917" s="8"/>
      <c r="F917" s="8"/>
      <c r="G917" s="695"/>
      <c r="H917" s="695"/>
      <c r="I917" s="695"/>
      <c r="J917" s="695"/>
      <c r="K917" s="695"/>
      <c r="L917" s="695"/>
      <c r="M917" s="695"/>
      <c r="N917" s="695"/>
      <c r="O917" s="695"/>
      <c r="P917" s="695"/>
      <c r="Q917" s="695"/>
      <c r="R917" s="695"/>
      <c r="S917" s="695"/>
      <c r="T917" s="8"/>
      <c r="U917" s="8"/>
      <c r="V917" s="8"/>
      <c r="W917" s="8"/>
      <c r="X917" s="8"/>
      <c r="Y917" s="8"/>
      <c r="Z917" s="8"/>
      <c r="AA917" s="8"/>
      <c r="AB917" s="8"/>
    </row>
    <row r="918" ht="12.75" customHeight="1" spans="1:28" x14ac:dyDescent="0.25">
      <c r="A918" s="8"/>
      <c r="B918" s="8"/>
      <c r="C918" s="8"/>
      <c r="D918" s="8"/>
      <c r="E918" s="8"/>
      <c r="F918" s="8"/>
      <c r="G918" s="695"/>
      <c r="H918" s="695"/>
      <c r="I918" s="695"/>
      <c r="J918" s="695"/>
      <c r="K918" s="695"/>
      <c r="L918" s="695"/>
      <c r="M918" s="695"/>
      <c r="N918" s="695"/>
      <c r="O918" s="695"/>
      <c r="P918" s="695"/>
      <c r="Q918" s="695"/>
      <c r="R918" s="695"/>
      <c r="S918" s="695"/>
      <c r="T918" s="8"/>
      <c r="U918" s="8"/>
      <c r="V918" s="8"/>
      <c r="W918" s="8"/>
      <c r="X918" s="8"/>
      <c r="Y918" s="8"/>
      <c r="Z918" s="8"/>
      <c r="AA918" s="8"/>
      <c r="AB918" s="8"/>
    </row>
    <row r="919" ht="12.75" customHeight="1" spans="1:28" x14ac:dyDescent="0.25">
      <c r="A919" s="8"/>
      <c r="B919" s="8"/>
      <c r="C919" s="8"/>
      <c r="D919" s="8"/>
      <c r="E919" s="8"/>
      <c r="F919" s="8"/>
      <c r="G919" s="695"/>
      <c r="H919" s="695"/>
      <c r="I919" s="695"/>
      <c r="J919" s="695"/>
      <c r="K919" s="695"/>
      <c r="L919" s="695"/>
      <c r="M919" s="695"/>
      <c r="N919" s="695"/>
      <c r="O919" s="695"/>
      <c r="P919" s="695"/>
      <c r="Q919" s="695"/>
      <c r="R919" s="695"/>
      <c r="S919" s="695"/>
      <c r="T919" s="8"/>
      <c r="U919" s="8"/>
      <c r="V919" s="8"/>
      <c r="W919" s="8"/>
      <c r="X919" s="8"/>
      <c r="Y919" s="8"/>
      <c r="Z919" s="8"/>
      <c r="AA919" s="8"/>
      <c r="AB919" s="8"/>
    </row>
    <row r="920" ht="12.75" customHeight="1" spans="1:28" x14ac:dyDescent="0.25">
      <c r="A920" s="8"/>
      <c r="B920" s="8"/>
      <c r="C920" s="8"/>
      <c r="D920" s="8"/>
      <c r="E920" s="8"/>
      <c r="F920" s="8"/>
      <c r="G920" s="695"/>
      <c r="H920" s="695"/>
      <c r="I920" s="695"/>
      <c r="J920" s="695"/>
      <c r="K920" s="695"/>
      <c r="L920" s="695"/>
      <c r="M920" s="695"/>
      <c r="N920" s="695"/>
      <c r="O920" s="695"/>
      <c r="P920" s="695"/>
      <c r="Q920" s="695"/>
      <c r="R920" s="695"/>
      <c r="S920" s="695"/>
      <c r="T920" s="8"/>
      <c r="U920" s="8"/>
      <c r="V920" s="8"/>
      <c r="W920" s="8"/>
      <c r="X920" s="8"/>
      <c r="Y920" s="8"/>
      <c r="Z920" s="8"/>
      <c r="AA920" s="8"/>
      <c r="AB920" s="8"/>
    </row>
    <row r="921" ht="12.75" customHeight="1" spans="1:28" x14ac:dyDescent="0.25">
      <c r="A921" s="8"/>
      <c r="B921" s="8"/>
      <c r="C921" s="8"/>
      <c r="D921" s="8"/>
      <c r="E921" s="8"/>
      <c r="F921" s="8"/>
      <c r="G921" s="695"/>
      <c r="H921" s="695"/>
      <c r="I921" s="695"/>
      <c r="J921" s="695"/>
      <c r="K921" s="695"/>
      <c r="L921" s="695"/>
      <c r="M921" s="695"/>
      <c r="N921" s="695"/>
      <c r="O921" s="695"/>
      <c r="P921" s="695"/>
      <c r="Q921" s="695"/>
      <c r="R921" s="695"/>
      <c r="S921" s="695"/>
      <c r="T921" s="8"/>
      <c r="U921" s="8"/>
      <c r="V921" s="8"/>
      <c r="W921" s="8"/>
      <c r="X921" s="8"/>
      <c r="Y921" s="8"/>
      <c r="Z921" s="8"/>
      <c r="AA921" s="8"/>
      <c r="AB921" s="8"/>
    </row>
    <row r="922" ht="12.75" customHeight="1" spans="1:28" x14ac:dyDescent="0.25">
      <c r="A922" s="8"/>
      <c r="B922" s="8"/>
      <c r="C922" s="8"/>
      <c r="D922" s="8"/>
      <c r="E922" s="8"/>
      <c r="F922" s="8"/>
      <c r="G922" s="695"/>
      <c r="H922" s="695"/>
      <c r="I922" s="695"/>
      <c r="J922" s="695"/>
      <c r="K922" s="695"/>
      <c r="L922" s="695"/>
      <c r="M922" s="695"/>
      <c r="N922" s="695"/>
      <c r="O922" s="695"/>
      <c r="P922" s="695"/>
      <c r="Q922" s="695"/>
      <c r="R922" s="695"/>
      <c r="S922" s="695"/>
      <c r="T922" s="8"/>
      <c r="U922" s="8"/>
      <c r="V922" s="8"/>
      <c r="W922" s="8"/>
      <c r="X922" s="8"/>
      <c r="Y922" s="8"/>
      <c r="Z922" s="8"/>
      <c r="AA922" s="8"/>
      <c r="AB922" s="8"/>
    </row>
    <row r="923" ht="12.75" customHeight="1" spans="1:28" x14ac:dyDescent="0.25">
      <c r="A923" s="8"/>
      <c r="B923" s="8"/>
      <c r="C923" s="8"/>
      <c r="D923" s="8"/>
      <c r="E923" s="8"/>
      <c r="F923" s="8"/>
      <c r="G923" s="695"/>
      <c r="H923" s="695"/>
      <c r="I923" s="695"/>
      <c r="J923" s="695"/>
      <c r="K923" s="695"/>
      <c r="L923" s="695"/>
      <c r="M923" s="695"/>
      <c r="N923" s="695"/>
      <c r="O923" s="695"/>
      <c r="P923" s="695"/>
      <c r="Q923" s="695"/>
      <c r="R923" s="695"/>
      <c r="S923" s="695"/>
      <c r="T923" s="8"/>
      <c r="U923" s="8"/>
      <c r="V923" s="8"/>
      <c r="W923" s="8"/>
      <c r="X923" s="8"/>
      <c r="Y923" s="8"/>
      <c r="Z923" s="8"/>
      <c r="AA923" s="8"/>
      <c r="AB923" s="8"/>
    </row>
    <row r="924" ht="12.75" customHeight="1" spans="1:28" x14ac:dyDescent="0.25">
      <c r="A924" s="8"/>
      <c r="B924" s="8"/>
      <c r="C924" s="8"/>
      <c r="D924" s="8"/>
      <c r="E924" s="8"/>
      <c r="F924" s="8"/>
      <c r="G924" s="695"/>
      <c r="H924" s="695"/>
      <c r="I924" s="695"/>
      <c r="J924" s="695"/>
      <c r="K924" s="695"/>
      <c r="L924" s="695"/>
      <c r="M924" s="695"/>
      <c r="N924" s="695"/>
      <c r="O924" s="695"/>
      <c r="P924" s="695"/>
      <c r="Q924" s="695"/>
      <c r="R924" s="695"/>
      <c r="S924" s="695"/>
      <c r="T924" s="8"/>
      <c r="U924" s="8"/>
      <c r="V924" s="8"/>
      <c r="W924" s="8"/>
      <c r="X924" s="8"/>
      <c r="Y924" s="8"/>
      <c r="Z924" s="8"/>
      <c r="AA924" s="8"/>
      <c r="AB924" s="8"/>
    </row>
    <row r="925" ht="12.75" customHeight="1" spans="1:28" x14ac:dyDescent="0.25">
      <c r="A925" s="8"/>
      <c r="B925" s="8"/>
      <c r="C925" s="8"/>
      <c r="D925" s="8"/>
      <c r="E925" s="8"/>
      <c r="F925" s="8"/>
      <c r="G925" s="695"/>
      <c r="H925" s="695"/>
      <c r="I925" s="695"/>
      <c r="J925" s="695"/>
      <c r="K925" s="695"/>
      <c r="L925" s="695"/>
      <c r="M925" s="695"/>
      <c r="N925" s="695"/>
      <c r="O925" s="695"/>
      <c r="P925" s="695"/>
      <c r="Q925" s="695"/>
      <c r="R925" s="695"/>
      <c r="S925" s="695"/>
      <c r="T925" s="8"/>
      <c r="U925" s="8"/>
      <c r="V925" s="8"/>
      <c r="W925" s="8"/>
      <c r="X925" s="8"/>
      <c r="Y925" s="8"/>
      <c r="Z925" s="8"/>
      <c r="AA925" s="8"/>
      <c r="AB925" s="8"/>
    </row>
    <row r="926" ht="12.75" customHeight="1" spans="1:28" x14ac:dyDescent="0.25">
      <c r="A926" s="8"/>
      <c r="B926" s="8"/>
      <c r="C926" s="8"/>
      <c r="D926" s="8"/>
      <c r="E926" s="8"/>
      <c r="F926" s="8"/>
      <c r="G926" s="695"/>
      <c r="H926" s="695"/>
      <c r="I926" s="695"/>
      <c r="J926" s="695"/>
      <c r="K926" s="695"/>
      <c r="L926" s="695"/>
      <c r="M926" s="695"/>
      <c r="N926" s="695"/>
      <c r="O926" s="695"/>
      <c r="P926" s="695"/>
      <c r="Q926" s="695"/>
      <c r="R926" s="695"/>
      <c r="S926" s="695"/>
      <c r="T926" s="8"/>
      <c r="U926" s="8"/>
      <c r="V926" s="8"/>
      <c r="W926" s="8"/>
      <c r="X926" s="8"/>
      <c r="Y926" s="8"/>
      <c r="Z926" s="8"/>
      <c r="AA926" s="8"/>
      <c r="AB926" s="8"/>
    </row>
    <row r="927" ht="12.75" customHeight="1" spans="1:28" x14ac:dyDescent="0.25">
      <c r="A927" s="8"/>
      <c r="B927" s="8"/>
      <c r="C927" s="8"/>
      <c r="D927" s="8"/>
      <c r="E927" s="8"/>
      <c r="F927" s="8"/>
      <c r="G927" s="695"/>
      <c r="H927" s="695"/>
      <c r="I927" s="695"/>
      <c r="J927" s="695"/>
      <c r="K927" s="695"/>
      <c r="L927" s="695"/>
      <c r="M927" s="695"/>
      <c r="N927" s="695"/>
      <c r="O927" s="695"/>
      <c r="P927" s="695"/>
      <c r="Q927" s="695"/>
      <c r="R927" s="695"/>
      <c r="S927" s="695"/>
      <c r="T927" s="8"/>
      <c r="U927" s="8"/>
      <c r="V927" s="8"/>
      <c r="W927" s="8"/>
      <c r="X927" s="8"/>
      <c r="Y927" s="8"/>
      <c r="Z927" s="8"/>
      <c r="AA927" s="8"/>
      <c r="AB927" s="8"/>
    </row>
    <row r="928" ht="12.75" customHeight="1" spans="1:28" x14ac:dyDescent="0.25">
      <c r="A928" s="8"/>
      <c r="B928" s="8"/>
      <c r="C928" s="8"/>
      <c r="D928" s="8"/>
      <c r="E928" s="8"/>
      <c r="F928" s="8"/>
      <c r="G928" s="695"/>
      <c r="H928" s="695"/>
      <c r="I928" s="695"/>
      <c r="J928" s="695"/>
      <c r="K928" s="695"/>
      <c r="L928" s="695"/>
      <c r="M928" s="695"/>
      <c r="N928" s="695"/>
      <c r="O928" s="695"/>
      <c r="P928" s="695"/>
      <c r="Q928" s="695"/>
      <c r="R928" s="695"/>
      <c r="S928" s="695"/>
      <c r="T928" s="8"/>
      <c r="U928" s="8"/>
      <c r="V928" s="8"/>
      <c r="W928" s="8"/>
      <c r="X928" s="8"/>
      <c r="Y928" s="8"/>
      <c r="Z928" s="8"/>
      <c r="AA928" s="8"/>
      <c r="AB928" s="8"/>
    </row>
    <row r="929" ht="12.75" customHeight="1" spans="1:28" x14ac:dyDescent="0.25">
      <c r="A929" s="8"/>
      <c r="B929" s="8"/>
      <c r="C929" s="8"/>
      <c r="D929" s="8"/>
      <c r="E929" s="8"/>
      <c r="F929" s="8"/>
      <c r="G929" s="695"/>
      <c r="H929" s="695"/>
      <c r="I929" s="695"/>
      <c r="J929" s="695"/>
      <c r="K929" s="695"/>
      <c r="L929" s="695"/>
      <c r="M929" s="695"/>
      <c r="N929" s="695"/>
      <c r="O929" s="695"/>
      <c r="P929" s="695"/>
      <c r="Q929" s="695"/>
      <c r="R929" s="695"/>
      <c r="S929" s="695"/>
      <c r="T929" s="8"/>
      <c r="U929" s="8"/>
      <c r="V929" s="8"/>
      <c r="W929" s="8"/>
      <c r="X929" s="8"/>
      <c r="Y929" s="8"/>
      <c r="Z929" s="8"/>
      <c r="AA929" s="8"/>
      <c r="AB929" s="8"/>
    </row>
    <row r="930" ht="12.75" customHeight="1" spans="1:28" x14ac:dyDescent="0.25">
      <c r="A930" s="8"/>
      <c r="B930" s="8"/>
      <c r="C930" s="8"/>
      <c r="D930" s="8"/>
      <c r="E930" s="8"/>
      <c r="F930" s="8"/>
      <c r="G930" s="695"/>
      <c r="H930" s="695"/>
      <c r="I930" s="695"/>
      <c r="J930" s="695"/>
      <c r="K930" s="695"/>
      <c r="L930" s="695"/>
      <c r="M930" s="695"/>
      <c r="N930" s="695"/>
      <c r="O930" s="695"/>
      <c r="P930" s="695"/>
      <c r="Q930" s="695"/>
      <c r="R930" s="695"/>
      <c r="S930" s="695"/>
      <c r="T930" s="8"/>
      <c r="U930" s="8"/>
      <c r="V930" s="8"/>
      <c r="W930" s="8"/>
      <c r="X930" s="8"/>
      <c r="Y930" s="8"/>
      <c r="Z930" s="8"/>
      <c r="AA930" s="8"/>
      <c r="AB930" s="8"/>
    </row>
    <row r="931" ht="12.75" customHeight="1" spans="1:28" x14ac:dyDescent="0.25">
      <c r="A931" s="8"/>
      <c r="B931" s="8"/>
      <c r="C931" s="8"/>
      <c r="D931" s="8"/>
      <c r="E931" s="8"/>
      <c r="F931" s="8"/>
      <c r="G931" s="695"/>
      <c r="H931" s="695"/>
      <c r="I931" s="695"/>
      <c r="J931" s="695"/>
      <c r="K931" s="695"/>
      <c r="L931" s="695"/>
      <c r="M931" s="695"/>
      <c r="N931" s="695"/>
      <c r="O931" s="695"/>
      <c r="P931" s="695"/>
      <c r="Q931" s="695"/>
      <c r="R931" s="695"/>
      <c r="S931" s="695"/>
      <c r="T931" s="8"/>
      <c r="U931" s="8"/>
      <c r="V931" s="8"/>
      <c r="W931" s="8"/>
      <c r="X931" s="8"/>
      <c r="Y931" s="8"/>
      <c r="Z931" s="8"/>
      <c r="AA931" s="8"/>
      <c r="AB931" s="8"/>
    </row>
    <row r="932" ht="12.75" customHeight="1" spans="1:28" x14ac:dyDescent="0.25">
      <c r="A932" s="8"/>
      <c r="B932" s="8"/>
      <c r="C932" s="8"/>
      <c r="D932" s="8"/>
      <c r="E932" s="8"/>
      <c r="F932" s="8"/>
      <c r="G932" s="695"/>
      <c r="H932" s="695"/>
      <c r="I932" s="695"/>
      <c r="J932" s="695"/>
      <c r="K932" s="695"/>
      <c r="L932" s="695"/>
      <c r="M932" s="695"/>
      <c r="N932" s="695"/>
      <c r="O932" s="695"/>
      <c r="P932" s="695"/>
      <c r="Q932" s="695"/>
      <c r="R932" s="695"/>
      <c r="S932" s="695"/>
      <c r="T932" s="8"/>
      <c r="U932" s="8"/>
      <c r="V932" s="8"/>
      <c r="W932" s="8"/>
      <c r="X932" s="8"/>
      <c r="Y932" s="8"/>
      <c r="Z932" s="8"/>
      <c r="AA932" s="8"/>
      <c r="AB932" s="8"/>
    </row>
    <row r="933" ht="12.75" customHeight="1" spans="1:28" x14ac:dyDescent="0.25">
      <c r="A933" s="8"/>
      <c r="B933" s="8"/>
      <c r="C933" s="8"/>
      <c r="D933" s="8"/>
      <c r="E933" s="8"/>
      <c r="F933" s="8"/>
      <c r="G933" s="695"/>
      <c r="H933" s="695"/>
      <c r="I933" s="695"/>
      <c r="J933" s="695"/>
      <c r="K933" s="695"/>
      <c r="L933" s="695"/>
      <c r="M933" s="695"/>
      <c r="N933" s="695"/>
      <c r="O933" s="695"/>
      <c r="P933" s="695"/>
      <c r="Q933" s="695"/>
      <c r="R933" s="695"/>
      <c r="S933" s="695"/>
      <c r="T933" s="8"/>
      <c r="U933" s="8"/>
      <c r="V933" s="8"/>
      <c r="W933" s="8"/>
      <c r="X933" s="8"/>
      <c r="Y933" s="8"/>
      <c r="Z933" s="8"/>
      <c r="AA933" s="8"/>
      <c r="AB933" s="8"/>
    </row>
    <row r="934" ht="12.75" customHeight="1" spans="1:28" x14ac:dyDescent="0.25">
      <c r="A934" s="8"/>
      <c r="B934" s="8"/>
      <c r="C934" s="8"/>
      <c r="D934" s="8"/>
      <c r="E934" s="8"/>
      <c r="F934" s="8"/>
      <c r="G934" s="695"/>
      <c r="H934" s="695"/>
      <c r="I934" s="695"/>
      <c r="J934" s="695"/>
      <c r="K934" s="695"/>
      <c r="L934" s="695"/>
      <c r="M934" s="695"/>
      <c r="N934" s="695"/>
      <c r="O934" s="695"/>
      <c r="P934" s="695"/>
      <c r="Q934" s="695"/>
      <c r="R934" s="695"/>
      <c r="S934" s="695"/>
      <c r="T934" s="8"/>
      <c r="U934" s="8"/>
      <c r="V934" s="8"/>
      <c r="W934" s="8"/>
      <c r="X934" s="8"/>
      <c r="Y934" s="8"/>
      <c r="Z934" s="8"/>
      <c r="AA934" s="8"/>
      <c r="AB934" s="8"/>
    </row>
    <row r="935" ht="12.75" customHeight="1" spans="1:28" x14ac:dyDescent="0.25">
      <c r="A935" s="8"/>
      <c r="B935" s="8"/>
      <c r="C935" s="8"/>
      <c r="D935" s="8"/>
      <c r="E935" s="8"/>
      <c r="F935" s="8"/>
      <c r="G935" s="695"/>
      <c r="H935" s="695"/>
      <c r="I935" s="695"/>
      <c r="J935" s="695"/>
      <c r="K935" s="695"/>
      <c r="L935" s="695"/>
      <c r="M935" s="695"/>
      <c r="N935" s="695"/>
      <c r="O935" s="695"/>
      <c r="P935" s="695"/>
      <c r="Q935" s="695"/>
      <c r="R935" s="695"/>
      <c r="S935" s="695"/>
      <c r="T935" s="8"/>
      <c r="U935" s="8"/>
      <c r="V935" s="8"/>
      <c r="W935" s="8"/>
      <c r="X935" s="8"/>
      <c r="Y935" s="8"/>
      <c r="Z935" s="8"/>
      <c r="AA935" s="8"/>
      <c r="AB935" s="8"/>
    </row>
    <row r="936" ht="12.75" customHeight="1" spans="1:28" x14ac:dyDescent="0.25">
      <c r="A936" s="8"/>
      <c r="B936" s="8"/>
      <c r="C936" s="8"/>
      <c r="D936" s="8"/>
      <c r="E936" s="8"/>
      <c r="F936" s="8"/>
      <c r="G936" s="695"/>
      <c r="H936" s="695"/>
      <c r="I936" s="695"/>
      <c r="J936" s="695"/>
      <c r="K936" s="695"/>
      <c r="L936" s="695"/>
      <c r="M936" s="695"/>
      <c r="N936" s="695"/>
      <c r="O936" s="695"/>
      <c r="P936" s="695"/>
      <c r="Q936" s="695"/>
      <c r="R936" s="695"/>
      <c r="S936" s="695"/>
      <c r="T936" s="8"/>
      <c r="U936" s="8"/>
      <c r="V936" s="8"/>
      <c r="W936" s="8"/>
      <c r="X936" s="8"/>
      <c r="Y936" s="8"/>
      <c r="Z936" s="8"/>
      <c r="AA936" s="8"/>
      <c r="AB936" s="8"/>
    </row>
    <row r="937" ht="12.75" customHeight="1" spans="1:28" x14ac:dyDescent="0.25">
      <c r="A937" s="8"/>
      <c r="B937" s="8"/>
      <c r="C937" s="8"/>
      <c r="D937" s="8"/>
      <c r="E937" s="8"/>
      <c r="F937" s="8"/>
      <c r="G937" s="695"/>
      <c r="H937" s="695"/>
      <c r="I937" s="695"/>
      <c r="J937" s="695"/>
      <c r="K937" s="695"/>
      <c r="L937" s="695"/>
      <c r="M937" s="695"/>
      <c r="N937" s="695"/>
      <c r="O937" s="695"/>
      <c r="P937" s="695"/>
      <c r="Q937" s="695"/>
      <c r="R937" s="695"/>
      <c r="S937" s="695"/>
      <c r="T937" s="8"/>
      <c r="U937" s="8"/>
      <c r="V937" s="8"/>
      <c r="W937" s="8"/>
      <c r="X937" s="8"/>
      <c r="Y937" s="8"/>
      <c r="Z937" s="8"/>
      <c r="AA937" s="8"/>
      <c r="AB937" s="8"/>
    </row>
    <row r="938" ht="12.75" customHeight="1" spans="1:28" x14ac:dyDescent="0.25">
      <c r="A938" s="8"/>
      <c r="B938" s="8"/>
      <c r="C938" s="8"/>
      <c r="D938" s="8"/>
      <c r="E938" s="8"/>
      <c r="F938" s="8"/>
      <c r="G938" s="695"/>
      <c r="H938" s="695"/>
      <c r="I938" s="695"/>
      <c r="J938" s="695"/>
      <c r="K938" s="695"/>
      <c r="L938" s="695"/>
      <c r="M938" s="695"/>
      <c r="N938" s="695"/>
      <c r="O938" s="695"/>
      <c r="P938" s="695"/>
      <c r="Q938" s="695"/>
      <c r="R938" s="695"/>
      <c r="S938" s="695"/>
      <c r="T938" s="8"/>
      <c r="U938" s="8"/>
      <c r="V938" s="8"/>
      <c r="W938" s="8"/>
      <c r="X938" s="8"/>
      <c r="Y938" s="8"/>
      <c r="Z938" s="8"/>
      <c r="AA938" s="8"/>
      <c r="AB938" s="8"/>
    </row>
    <row r="939" ht="12.75" customHeight="1" spans="1:28" x14ac:dyDescent="0.25">
      <c r="A939" s="8"/>
      <c r="B939" s="8"/>
      <c r="C939" s="8"/>
      <c r="D939" s="8"/>
      <c r="E939" s="8"/>
      <c r="F939" s="8"/>
      <c r="G939" s="695"/>
      <c r="H939" s="695"/>
      <c r="I939" s="695"/>
      <c r="J939" s="695"/>
      <c r="K939" s="695"/>
      <c r="L939" s="695"/>
      <c r="M939" s="695"/>
      <c r="N939" s="695"/>
      <c r="O939" s="695"/>
      <c r="P939" s="695"/>
      <c r="Q939" s="695"/>
      <c r="R939" s="695"/>
      <c r="S939" s="695"/>
      <c r="T939" s="8"/>
      <c r="U939" s="8"/>
      <c r="V939" s="8"/>
      <c r="W939" s="8"/>
      <c r="X939" s="8"/>
      <c r="Y939" s="8"/>
      <c r="Z939" s="8"/>
      <c r="AA939" s="8"/>
      <c r="AB939" s="8"/>
    </row>
    <row r="940" ht="12.75" customHeight="1" spans="1:28" x14ac:dyDescent="0.25">
      <c r="A940" s="8"/>
      <c r="B940" s="8"/>
      <c r="C940" s="8"/>
      <c r="D940" s="8"/>
      <c r="E940" s="8"/>
      <c r="F940" s="8"/>
      <c r="G940" s="695"/>
      <c r="H940" s="695"/>
      <c r="I940" s="695"/>
      <c r="J940" s="695"/>
      <c r="K940" s="695"/>
      <c r="L940" s="695"/>
      <c r="M940" s="695"/>
      <c r="N940" s="695"/>
      <c r="O940" s="695"/>
      <c r="P940" s="695"/>
      <c r="Q940" s="695"/>
      <c r="R940" s="695"/>
      <c r="S940" s="695"/>
      <c r="T940" s="8"/>
      <c r="U940" s="8"/>
      <c r="V940" s="8"/>
      <c r="W940" s="8"/>
      <c r="X940" s="8"/>
      <c r="Y940" s="8"/>
      <c r="Z940" s="8"/>
      <c r="AA940" s="8"/>
      <c r="AB940" s="8"/>
    </row>
    <row r="941" ht="12.75" customHeight="1" spans="1:28" x14ac:dyDescent="0.25">
      <c r="A941" s="8"/>
      <c r="B941" s="8"/>
      <c r="C941" s="8"/>
      <c r="D941" s="8"/>
      <c r="E941" s="8"/>
      <c r="F941" s="8"/>
      <c r="G941" s="695"/>
      <c r="H941" s="695"/>
      <c r="I941" s="695"/>
      <c r="J941" s="695"/>
      <c r="K941" s="695"/>
      <c r="L941" s="695"/>
      <c r="M941" s="695"/>
      <c r="N941" s="695"/>
      <c r="O941" s="695"/>
      <c r="P941" s="695"/>
      <c r="Q941" s="695"/>
      <c r="R941" s="695"/>
      <c r="S941" s="695"/>
      <c r="T941" s="8"/>
      <c r="U941" s="8"/>
      <c r="V941" s="8"/>
      <c r="W941" s="8"/>
      <c r="X941" s="8"/>
      <c r="Y941" s="8"/>
      <c r="Z941" s="8"/>
      <c r="AA941" s="8"/>
      <c r="AB941" s="8"/>
    </row>
    <row r="942" ht="12.75" customHeight="1" spans="1:28" x14ac:dyDescent="0.25">
      <c r="A942" s="8"/>
      <c r="B942" s="8"/>
      <c r="C942" s="8"/>
      <c r="D942" s="8"/>
      <c r="E942" s="8"/>
      <c r="F942" s="8"/>
      <c r="G942" s="695"/>
      <c r="H942" s="695"/>
      <c r="I942" s="695"/>
      <c r="J942" s="695"/>
      <c r="K942" s="695"/>
      <c r="L942" s="695"/>
      <c r="M942" s="695"/>
      <c r="N942" s="695"/>
      <c r="O942" s="695"/>
      <c r="P942" s="695"/>
      <c r="Q942" s="695"/>
      <c r="R942" s="695"/>
      <c r="S942" s="695"/>
      <c r="T942" s="8"/>
      <c r="U942" s="8"/>
      <c r="V942" s="8"/>
      <c r="W942" s="8"/>
      <c r="X942" s="8"/>
      <c r="Y942" s="8"/>
      <c r="Z942" s="8"/>
      <c r="AA942" s="8"/>
      <c r="AB942" s="8"/>
    </row>
    <row r="943" ht="12.75" customHeight="1" spans="1:28" x14ac:dyDescent="0.25">
      <c r="A943" s="8"/>
      <c r="B943" s="8"/>
      <c r="C943" s="8"/>
      <c r="D943" s="8"/>
      <c r="E943" s="8"/>
      <c r="F943" s="8"/>
      <c r="G943" s="695"/>
      <c r="H943" s="695"/>
      <c r="I943" s="695"/>
      <c r="J943" s="695"/>
      <c r="K943" s="695"/>
      <c r="L943" s="695"/>
      <c r="M943" s="695"/>
      <c r="N943" s="695"/>
      <c r="O943" s="695"/>
      <c r="P943" s="695"/>
      <c r="Q943" s="695"/>
      <c r="R943" s="695"/>
      <c r="S943" s="695"/>
      <c r="T943" s="8"/>
      <c r="U943" s="8"/>
      <c r="V943" s="8"/>
      <c r="W943" s="8"/>
      <c r="X943" s="8"/>
      <c r="Y943" s="8"/>
      <c r="Z943" s="8"/>
      <c r="AA943" s="8"/>
      <c r="AB943" s="8"/>
    </row>
    <row r="944" ht="12.75" customHeight="1" spans="1:28" x14ac:dyDescent="0.25">
      <c r="A944" s="8"/>
      <c r="B944" s="8"/>
      <c r="C944" s="8"/>
      <c r="D944" s="8"/>
      <c r="E944" s="8"/>
      <c r="F944" s="8"/>
      <c r="G944" s="695"/>
      <c r="H944" s="695"/>
      <c r="I944" s="695"/>
      <c r="J944" s="695"/>
      <c r="K944" s="695"/>
      <c r="L944" s="695"/>
      <c r="M944" s="695"/>
      <c r="N944" s="695"/>
      <c r="O944" s="695"/>
      <c r="P944" s="695"/>
      <c r="Q944" s="695"/>
      <c r="R944" s="695"/>
      <c r="S944" s="695"/>
      <c r="T944" s="8"/>
      <c r="U944" s="8"/>
      <c r="V944" s="8"/>
      <c r="W944" s="8"/>
      <c r="X944" s="8"/>
      <c r="Y944" s="8"/>
      <c r="Z944" s="8"/>
      <c r="AA944" s="8"/>
      <c r="AB944" s="8"/>
    </row>
    <row r="945" ht="12.75" customHeight="1" spans="1:28" x14ac:dyDescent="0.25">
      <c r="A945" s="8"/>
      <c r="B945" s="8"/>
      <c r="C945" s="8"/>
      <c r="D945" s="8"/>
      <c r="E945" s="8"/>
      <c r="F945" s="8"/>
      <c r="G945" s="695"/>
      <c r="H945" s="695"/>
      <c r="I945" s="695"/>
      <c r="J945" s="695"/>
      <c r="K945" s="695"/>
      <c r="L945" s="695"/>
      <c r="M945" s="695"/>
      <c r="N945" s="695"/>
      <c r="O945" s="695"/>
      <c r="P945" s="695"/>
      <c r="Q945" s="695"/>
      <c r="R945" s="695"/>
      <c r="S945" s="695"/>
      <c r="T945" s="8"/>
      <c r="U945" s="8"/>
      <c r="V945" s="8"/>
      <c r="W945" s="8"/>
      <c r="X945" s="8"/>
      <c r="Y945" s="8"/>
      <c r="Z945" s="8"/>
      <c r="AA945" s="8"/>
      <c r="AB945" s="8"/>
    </row>
    <row r="946" ht="12.75" customHeight="1" spans="1:28" x14ac:dyDescent="0.25">
      <c r="A946" s="8"/>
      <c r="B946" s="8"/>
      <c r="C946" s="8"/>
      <c r="D946" s="8"/>
      <c r="E946" s="8"/>
      <c r="F946" s="8"/>
      <c r="G946" s="695"/>
      <c r="H946" s="695"/>
      <c r="I946" s="695"/>
      <c r="J946" s="695"/>
      <c r="K946" s="695"/>
      <c r="L946" s="695"/>
      <c r="M946" s="695"/>
      <c r="N946" s="695"/>
      <c r="O946" s="695"/>
      <c r="P946" s="695"/>
      <c r="Q946" s="695"/>
      <c r="R946" s="695"/>
      <c r="S946" s="695"/>
      <c r="T946" s="8"/>
      <c r="U946" s="8"/>
      <c r="V946" s="8"/>
      <c r="W946" s="8"/>
      <c r="X946" s="8"/>
      <c r="Y946" s="8"/>
      <c r="Z946" s="8"/>
      <c r="AA946" s="8"/>
      <c r="AB946" s="8"/>
    </row>
    <row r="947" ht="12.75" customHeight="1" spans="1:28" x14ac:dyDescent="0.25">
      <c r="A947" s="8"/>
      <c r="B947" s="8"/>
      <c r="C947" s="8"/>
      <c r="D947" s="8"/>
      <c r="E947" s="8"/>
      <c r="F947" s="8"/>
      <c r="G947" s="695"/>
      <c r="H947" s="695"/>
      <c r="I947" s="695"/>
      <c r="J947" s="695"/>
      <c r="K947" s="695"/>
      <c r="L947" s="695"/>
      <c r="M947" s="695"/>
      <c r="N947" s="695"/>
      <c r="O947" s="695"/>
      <c r="P947" s="695"/>
      <c r="Q947" s="695"/>
      <c r="R947" s="695"/>
      <c r="S947" s="695"/>
      <c r="T947" s="8"/>
      <c r="U947" s="8"/>
      <c r="V947" s="8"/>
      <c r="W947" s="8"/>
      <c r="X947" s="8"/>
      <c r="Y947" s="8"/>
      <c r="Z947" s="8"/>
      <c r="AA947" s="8"/>
      <c r="AB947" s="8"/>
    </row>
    <row r="948" ht="12.75" customHeight="1" spans="1:28" x14ac:dyDescent="0.25">
      <c r="A948" s="8"/>
      <c r="B948" s="8"/>
      <c r="C948" s="8"/>
      <c r="D948" s="8"/>
      <c r="E948" s="8"/>
      <c r="F948" s="8"/>
      <c r="G948" s="695"/>
      <c r="H948" s="695"/>
      <c r="I948" s="695"/>
      <c r="J948" s="695"/>
      <c r="K948" s="695"/>
      <c r="L948" s="695"/>
      <c r="M948" s="695"/>
      <c r="N948" s="695"/>
      <c r="O948" s="695"/>
      <c r="P948" s="695"/>
      <c r="Q948" s="695"/>
      <c r="R948" s="695"/>
      <c r="S948" s="695"/>
      <c r="T948" s="8"/>
      <c r="U948" s="8"/>
      <c r="V948" s="8"/>
      <c r="W948" s="8"/>
      <c r="X948" s="8"/>
      <c r="Y948" s="8"/>
      <c r="Z948" s="8"/>
      <c r="AA948" s="8"/>
      <c r="AB948" s="8"/>
    </row>
    <row r="949" ht="12.75" customHeight="1" spans="1:28" x14ac:dyDescent="0.25">
      <c r="A949" s="8"/>
      <c r="B949" s="8"/>
      <c r="C949" s="8"/>
      <c r="D949" s="8"/>
      <c r="E949" s="8"/>
      <c r="F949" s="8"/>
      <c r="G949" s="695"/>
      <c r="H949" s="695"/>
      <c r="I949" s="695"/>
      <c r="J949" s="695"/>
      <c r="K949" s="695"/>
      <c r="L949" s="695"/>
      <c r="M949" s="695"/>
      <c r="N949" s="695"/>
      <c r="O949" s="695"/>
      <c r="P949" s="695"/>
      <c r="Q949" s="695"/>
      <c r="R949" s="695"/>
      <c r="S949" s="695"/>
      <c r="T949" s="8"/>
      <c r="U949" s="8"/>
      <c r="V949" s="8"/>
      <c r="W949" s="8"/>
      <c r="X949" s="8"/>
      <c r="Y949" s="8"/>
      <c r="Z949" s="8"/>
      <c r="AA949" s="8"/>
      <c r="AB949" s="8"/>
    </row>
    <row r="950" ht="12.75" customHeight="1" spans="1:28" x14ac:dyDescent="0.25">
      <c r="A950" s="8"/>
      <c r="B950" s="8"/>
      <c r="C950" s="8"/>
      <c r="D950" s="8"/>
      <c r="E950" s="8"/>
      <c r="F950" s="8"/>
      <c r="G950" s="695"/>
      <c r="H950" s="695"/>
      <c r="I950" s="695"/>
      <c r="J950" s="695"/>
      <c r="K950" s="695"/>
      <c r="L950" s="695"/>
      <c r="M950" s="695"/>
      <c r="N950" s="695"/>
      <c r="O950" s="695"/>
      <c r="P950" s="695"/>
      <c r="Q950" s="695"/>
      <c r="R950" s="695"/>
      <c r="S950" s="695"/>
      <c r="T950" s="8"/>
      <c r="U950" s="8"/>
      <c r="V950" s="8"/>
      <c r="W950" s="8"/>
      <c r="X950" s="8"/>
      <c r="Y950" s="8"/>
      <c r="Z950" s="8"/>
      <c r="AA950" s="8"/>
      <c r="AB950" s="8"/>
    </row>
    <row r="951" ht="12.75" customHeight="1" spans="1:28" x14ac:dyDescent="0.25">
      <c r="A951" s="8"/>
      <c r="B951" s="8"/>
      <c r="C951" s="8"/>
      <c r="D951" s="8"/>
      <c r="E951" s="8"/>
      <c r="F951" s="8"/>
      <c r="G951" s="695"/>
      <c r="H951" s="695"/>
      <c r="I951" s="695"/>
      <c r="J951" s="695"/>
      <c r="K951" s="695"/>
      <c r="L951" s="695"/>
      <c r="M951" s="695"/>
      <c r="N951" s="695"/>
      <c r="O951" s="695"/>
      <c r="P951" s="695"/>
      <c r="Q951" s="695"/>
      <c r="R951" s="695"/>
      <c r="S951" s="695"/>
      <c r="T951" s="8"/>
      <c r="U951" s="8"/>
      <c r="V951" s="8"/>
      <c r="W951" s="8"/>
      <c r="X951" s="8"/>
      <c r="Y951" s="8"/>
      <c r="Z951" s="8"/>
      <c r="AA951" s="8"/>
      <c r="AB951" s="8"/>
    </row>
    <row r="952" ht="12.75" customHeight="1" spans="1:28" x14ac:dyDescent="0.25">
      <c r="A952" s="8"/>
      <c r="B952" s="8"/>
      <c r="C952" s="8"/>
      <c r="D952" s="8"/>
      <c r="E952" s="8"/>
      <c r="F952" s="8"/>
      <c r="G952" s="695"/>
      <c r="H952" s="695"/>
      <c r="I952" s="695"/>
      <c r="J952" s="695"/>
      <c r="K952" s="695"/>
      <c r="L952" s="695"/>
      <c r="M952" s="695"/>
      <c r="N952" s="695"/>
      <c r="O952" s="695"/>
      <c r="P952" s="695"/>
      <c r="Q952" s="695"/>
      <c r="R952" s="695"/>
      <c r="S952" s="695"/>
      <c r="T952" s="8"/>
      <c r="U952" s="8"/>
      <c r="V952" s="8"/>
      <c r="W952" s="8"/>
      <c r="X952" s="8"/>
      <c r="Y952" s="8"/>
      <c r="Z952" s="8"/>
      <c r="AA952" s="8"/>
      <c r="AB952" s="8"/>
    </row>
    <row r="953" ht="12.75" customHeight="1" spans="1:28" x14ac:dyDescent="0.25">
      <c r="A953" s="8"/>
      <c r="B953" s="8"/>
      <c r="C953" s="8"/>
      <c r="D953" s="8"/>
      <c r="E953" s="8"/>
      <c r="F953" s="8"/>
      <c r="G953" s="695"/>
      <c r="H953" s="695"/>
      <c r="I953" s="695"/>
      <c r="J953" s="695"/>
      <c r="K953" s="695"/>
      <c r="L953" s="695"/>
      <c r="M953" s="695"/>
      <c r="N953" s="695"/>
      <c r="O953" s="695"/>
      <c r="P953" s="695"/>
      <c r="Q953" s="695"/>
      <c r="R953" s="695"/>
      <c r="S953" s="695"/>
      <c r="T953" s="8"/>
      <c r="U953" s="8"/>
      <c r="V953" s="8"/>
      <c r="W953" s="8"/>
      <c r="X953" s="8"/>
      <c r="Y953" s="8"/>
      <c r="Z953" s="8"/>
      <c r="AA953" s="8"/>
      <c r="AB953" s="8"/>
    </row>
    <row r="954" ht="12.75" customHeight="1" spans="1:28" x14ac:dyDescent="0.25">
      <c r="A954" s="8"/>
      <c r="B954" s="8"/>
      <c r="C954" s="8"/>
      <c r="D954" s="8"/>
      <c r="E954" s="8"/>
      <c r="F954" s="8"/>
      <c r="G954" s="695"/>
      <c r="H954" s="695"/>
      <c r="I954" s="695"/>
      <c r="J954" s="695"/>
      <c r="K954" s="695"/>
      <c r="L954" s="695"/>
      <c r="M954" s="695"/>
      <c r="N954" s="695"/>
      <c r="O954" s="695"/>
      <c r="P954" s="695"/>
      <c r="Q954" s="695"/>
      <c r="R954" s="695"/>
      <c r="S954" s="695"/>
      <c r="T954" s="8"/>
      <c r="U954" s="8"/>
      <c r="V954" s="8"/>
      <c r="W954" s="8"/>
      <c r="X954" s="8"/>
      <c r="Y954" s="8"/>
      <c r="Z954" s="8"/>
      <c r="AA954" s="8"/>
      <c r="AB954" s="8"/>
    </row>
    <row r="955" ht="12.75" customHeight="1" spans="1:28" x14ac:dyDescent="0.25">
      <c r="A955" s="8"/>
      <c r="B955" s="8"/>
      <c r="C955" s="8"/>
      <c r="D955" s="8"/>
      <c r="E955" s="8"/>
      <c r="F955" s="8"/>
      <c r="G955" s="695"/>
      <c r="H955" s="695"/>
      <c r="I955" s="695"/>
      <c r="J955" s="695"/>
      <c r="K955" s="695"/>
      <c r="L955" s="695"/>
      <c r="M955" s="695"/>
      <c r="N955" s="695"/>
      <c r="O955" s="695"/>
      <c r="P955" s="695"/>
      <c r="Q955" s="695"/>
      <c r="R955" s="695"/>
      <c r="S955" s="695"/>
      <c r="T955" s="8"/>
      <c r="U955" s="8"/>
      <c r="V955" s="8"/>
      <c r="W955" s="8"/>
      <c r="X955" s="8"/>
      <c r="Y955" s="8"/>
      <c r="Z955" s="8"/>
      <c r="AA955" s="8"/>
      <c r="AB955" s="8"/>
    </row>
    <row r="956" ht="12.75" customHeight="1" spans="1:28" x14ac:dyDescent="0.25">
      <c r="A956" s="8"/>
      <c r="B956" s="8"/>
      <c r="C956" s="8"/>
      <c r="D956" s="8"/>
      <c r="E956" s="8"/>
      <c r="F956" s="8"/>
      <c r="G956" s="695"/>
      <c r="H956" s="695"/>
      <c r="I956" s="695"/>
      <c r="J956" s="695"/>
      <c r="K956" s="695"/>
      <c r="L956" s="695"/>
      <c r="M956" s="695"/>
      <c r="N956" s="695"/>
      <c r="O956" s="695"/>
      <c r="P956" s="695"/>
      <c r="Q956" s="695"/>
      <c r="R956" s="695"/>
      <c r="S956" s="695"/>
      <c r="T956" s="8"/>
      <c r="U956" s="8"/>
      <c r="V956" s="8"/>
      <c r="W956" s="8"/>
      <c r="X956" s="8"/>
      <c r="Y956" s="8"/>
      <c r="Z956" s="8"/>
      <c r="AA956" s="8"/>
      <c r="AB956" s="8"/>
    </row>
    <row r="957" ht="12.75" customHeight="1" spans="1:28" x14ac:dyDescent="0.25">
      <c r="A957" s="8"/>
      <c r="B957" s="8"/>
      <c r="C957" s="8"/>
      <c r="D957" s="8"/>
      <c r="E957" s="8"/>
      <c r="F957" s="8"/>
      <c r="G957" s="695"/>
      <c r="H957" s="695"/>
      <c r="I957" s="695"/>
      <c r="J957" s="695"/>
      <c r="K957" s="695"/>
      <c r="L957" s="695"/>
      <c r="M957" s="695"/>
      <c r="N957" s="695"/>
      <c r="O957" s="695"/>
      <c r="P957" s="695"/>
      <c r="Q957" s="695"/>
      <c r="R957" s="695"/>
      <c r="S957" s="695"/>
      <c r="T957" s="8"/>
      <c r="U957" s="8"/>
      <c r="V957" s="8"/>
      <c r="W957" s="8"/>
      <c r="X957" s="8"/>
      <c r="Y957" s="8"/>
      <c r="Z957" s="8"/>
      <c r="AA957" s="8"/>
      <c r="AB957" s="8"/>
    </row>
    <row r="958" ht="12.75" customHeight="1" spans="1:28" x14ac:dyDescent="0.25">
      <c r="A958" s="8"/>
      <c r="B958" s="8"/>
      <c r="C958" s="8"/>
      <c r="D958" s="8"/>
      <c r="E958" s="8"/>
      <c r="F958" s="8"/>
      <c r="G958" s="695"/>
      <c r="H958" s="695"/>
      <c r="I958" s="695"/>
      <c r="J958" s="695"/>
      <c r="K958" s="695"/>
      <c r="L958" s="695"/>
      <c r="M958" s="695"/>
      <c r="N958" s="695"/>
      <c r="O958" s="695"/>
      <c r="P958" s="695"/>
      <c r="Q958" s="695"/>
      <c r="R958" s="695"/>
      <c r="S958" s="695"/>
      <c r="T958" s="8"/>
      <c r="U958" s="8"/>
      <c r="V958" s="8"/>
      <c r="W958" s="8"/>
      <c r="X958" s="8"/>
      <c r="Y958" s="8"/>
      <c r="Z958" s="8"/>
      <c r="AA958" s="8"/>
      <c r="AB958" s="8"/>
    </row>
    <row r="959" ht="12.75" customHeight="1" spans="1:28" x14ac:dyDescent="0.25">
      <c r="A959" s="8"/>
      <c r="B959" s="8"/>
      <c r="C959" s="8"/>
      <c r="D959" s="8"/>
      <c r="E959" s="8"/>
      <c r="F959" s="8"/>
      <c r="G959" s="695"/>
      <c r="H959" s="695"/>
      <c r="I959" s="695"/>
      <c r="J959" s="695"/>
      <c r="K959" s="695"/>
      <c r="L959" s="695"/>
      <c r="M959" s="695"/>
      <c r="N959" s="695"/>
      <c r="O959" s="695"/>
      <c r="P959" s="695"/>
      <c r="Q959" s="695"/>
      <c r="R959" s="695"/>
      <c r="S959" s="695"/>
      <c r="T959" s="8"/>
      <c r="U959" s="8"/>
      <c r="V959" s="8"/>
      <c r="W959" s="8"/>
      <c r="X959" s="8"/>
      <c r="Y959" s="8"/>
      <c r="Z959" s="8"/>
      <c r="AA959" s="8"/>
      <c r="AB959" s="8"/>
    </row>
    <row r="960" ht="12.75" customHeight="1" spans="1:28" x14ac:dyDescent="0.25">
      <c r="A960" s="8"/>
      <c r="B960" s="8"/>
      <c r="C960" s="8"/>
      <c r="D960" s="8"/>
      <c r="E960" s="8"/>
      <c r="F960" s="8"/>
      <c r="G960" s="695"/>
      <c r="H960" s="695"/>
      <c r="I960" s="695"/>
      <c r="J960" s="695"/>
      <c r="K960" s="695"/>
      <c r="L960" s="695"/>
      <c r="M960" s="695"/>
      <c r="N960" s="695"/>
      <c r="O960" s="695"/>
      <c r="P960" s="695"/>
      <c r="Q960" s="695"/>
      <c r="R960" s="695"/>
      <c r="S960" s="695"/>
      <c r="T960" s="8"/>
      <c r="U960" s="8"/>
      <c r="V960" s="8"/>
      <c r="W960" s="8"/>
      <c r="X960" s="8"/>
      <c r="Y960" s="8"/>
      <c r="Z960" s="8"/>
      <c r="AA960" s="8"/>
      <c r="AB960" s="8"/>
    </row>
    <row r="961" ht="12.75" customHeight="1" spans="1:28" x14ac:dyDescent="0.25">
      <c r="A961" s="8"/>
      <c r="B961" s="8"/>
      <c r="C961" s="8"/>
      <c r="D961" s="8"/>
      <c r="E961" s="8"/>
      <c r="F961" s="8"/>
      <c r="G961" s="695"/>
      <c r="H961" s="695"/>
      <c r="I961" s="695"/>
      <c r="J961" s="695"/>
      <c r="K961" s="695"/>
      <c r="L961" s="695"/>
      <c r="M961" s="695"/>
      <c r="N961" s="695"/>
      <c r="O961" s="695"/>
      <c r="P961" s="695"/>
      <c r="Q961" s="695"/>
      <c r="R961" s="695"/>
      <c r="S961" s="695"/>
      <c r="T961" s="8"/>
      <c r="U961" s="8"/>
      <c r="V961" s="8"/>
      <c r="W961" s="8"/>
      <c r="X961" s="8"/>
      <c r="Y961" s="8"/>
      <c r="Z961" s="8"/>
      <c r="AA961" s="8"/>
      <c r="AB961" s="8"/>
    </row>
    <row r="962" ht="12.75" customHeight="1" spans="1:28" x14ac:dyDescent="0.25">
      <c r="A962" s="8"/>
      <c r="B962" s="8"/>
      <c r="C962" s="8"/>
      <c r="D962" s="8"/>
      <c r="E962" s="8"/>
      <c r="F962" s="8"/>
      <c r="G962" s="695"/>
      <c r="H962" s="695"/>
      <c r="I962" s="695"/>
      <c r="J962" s="695"/>
      <c r="K962" s="695"/>
      <c r="L962" s="695"/>
      <c r="M962" s="695"/>
      <c r="N962" s="695"/>
      <c r="O962" s="695"/>
      <c r="P962" s="695"/>
      <c r="Q962" s="695"/>
      <c r="R962" s="695"/>
      <c r="S962" s="695"/>
      <c r="T962" s="8"/>
      <c r="U962" s="8"/>
      <c r="V962" s="8"/>
      <c r="W962" s="8"/>
      <c r="X962" s="8"/>
      <c r="Y962" s="8"/>
      <c r="Z962" s="8"/>
      <c r="AA962" s="8"/>
      <c r="AB962" s="8"/>
    </row>
    <row r="963" ht="12.75" customHeight="1" spans="1:28" x14ac:dyDescent="0.25">
      <c r="A963" s="8"/>
      <c r="B963" s="8"/>
      <c r="C963" s="8"/>
      <c r="D963" s="8"/>
      <c r="E963" s="8"/>
      <c r="F963" s="8"/>
      <c r="G963" s="695"/>
      <c r="H963" s="695"/>
      <c r="I963" s="695"/>
      <c r="J963" s="695"/>
      <c r="K963" s="695"/>
      <c r="L963" s="695"/>
      <c r="M963" s="695"/>
      <c r="N963" s="695"/>
      <c r="O963" s="695"/>
      <c r="P963" s="695"/>
      <c r="Q963" s="695"/>
      <c r="R963" s="695"/>
      <c r="S963" s="695"/>
      <c r="T963" s="8"/>
      <c r="U963" s="8"/>
      <c r="V963" s="8"/>
      <c r="W963" s="8"/>
      <c r="X963" s="8"/>
      <c r="Y963" s="8"/>
      <c r="Z963" s="8"/>
      <c r="AA963" s="8"/>
      <c r="AB963" s="8"/>
    </row>
    <row r="964" ht="12.75" customHeight="1" spans="1:28" x14ac:dyDescent="0.25">
      <c r="A964" s="8"/>
      <c r="B964" s="8"/>
      <c r="C964" s="8"/>
      <c r="D964" s="8"/>
      <c r="E964" s="8"/>
      <c r="F964" s="8"/>
      <c r="G964" s="695"/>
      <c r="H964" s="695"/>
      <c r="I964" s="695"/>
      <c r="J964" s="695"/>
      <c r="K964" s="695"/>
      <c r="L964" s="695"/>
      <c r="M964" s="695"/>
      <c r="N964" s="695"/>
      <c r="O964" s="695"/>
      <c r="P964" s="695"/>
      <c r="Q964" s="695"/>
      <c r="R964" s="695"/>
      <c r="S964" s="695"/>
      <c r="T964" s="8"/>
      <c r="U964" s="8"/>
      <c r="V964" s="8"/>
      <c r="W964" s="8"/>
      <c r="X964" s="8"/>
      <c r="Y964" s="8"/>
      <c r="Z964" s="8"/>
      <c r="AA964" s="8"/>
      <c r="AB964" s="8"/>
    </row>
    <row r="965" ht="12.75" customHeight="1" spans="1:28" x14ac:dyDescent="0.25">
      <c r="A965" s="8"/>
      <c r="B965" s="8"/>
      <c r="C965" s="8"/>
      <c r="D965" s="8"/>
      <c r="E965" s="8"/>
      <c r="F965" s="8"/>
      <c r="G965" s="695"/>
      <c r="H965" s="695"/>
      <c r="I965" s="695"/>
      <c r="J965" s="695"/>
      <c r="K965" s="695"/>
      <c r="L965" s="695"/>
      <c r="M965" s="695"/>
      <c r="N965" s="695"/>
      <c r="O965" s="695"/>
      <c r="P965" s="695"/>
      <c r="Q965" s="695"/>
      <c r="R965" s="695"/>
      <c r="S965" s="695"/>
      <c r="T965" s="8"/>
      <c r="U965" s="8"/>
      <c r="V965" s="8"/>
      <c r="W965" s="8"/>
      <c r="X965" s="8"/>
      <c r="Y965" s="8"/>
      <c r="Z965" s="8"/>
      <c r="AA965" s="8"/>
      <c r="AB965" s="8"/>
    </row>
    <row r="966" ht="12.75" customHeight="1" spans="1:28" x14ac:dyDescent="0.25">
      <c r="A966" s="8"/>
      <c r="B966" s="8"/>
      <c r="C966" s="8"/>
      <c r="D966" s="8"/>
      <c r="E966" s="8"/>
      <c r="F966" s="8"/>
      <c r="G966" s="695"/>
      <c r="H966" s="695"/>
      <c r="I966" s="695"/>
      <c r="J966" s="695"/>
      <c r="K966" s="695"/>
      <c r="L966" s="695"/>
      <c r="M966" s="695"/>
      <c r="N966" s="695"/>
      <c r="O966" s="695"/>
      <c r="P966" s="695"/>
      <c r="Q966" s="695"/>
      <c r="R966" s="695"/>
      <c r="S966" s="695"/>
      <c r="T966" s="8"/>
      <c r="U966" s="8"/>
      <c r="V966" s="8"/>
      <c r="W966" s="8"/>
      <c r="X966" s="8"/>
      <c r="Y966" s="8"/>
      <c r="Z966" s="8"/>
      <c r="AA966" s="8"/>
      <c r="AB966" s="8"/>
    </row>
    <row r="967" ht="12.75" customHeight="1" spans="1:28" x14ac:dyDescent="0.25">
      <c r="A967" s="8"/>
      <c r="B967" s="8"/>
      <c r="C967" s="8"/>
      <c r="D967" s="8"/>
      <c r="E967" s="8"/>
      <c r="F967" s="8"/>
      <c r="G967" s="695"/>
      <c r="H967" s="695"/>
      <c r="I967" s="695"/>
      <c r="J967" s="695"/>
      <c r="K967" s="695"/>
      <c r="L967" s="695"/>
      <c r="M967" s="695"/>
      <c r="N967" s="695"/>
      <c r="O967" s="695"/>
      <c r="P967" s="695"/>
      <c r="Q967" s="695"/>
      <c r="R967" s="695"/>
      <c r="S967" s="695"/>
      <c r="T967" s="8"/>
      <c r="U967" s="8"/>
      <c r="V967" s="8"/>
      <c r="W967" s="8"/>
      <c r="X967" s="8"/>
      <c r="Y967" s="8"/>
      <c r="Z967" s="8"/>
      <c r="AA967" s="8"/>
      <c r="AB967" s="8"/>
    </row>
    <row r="968" ht="12.75" customHeight="1" spans="1:28" x14ac:dyDescent="0.25">
      <c r="A968" s="8"/>
      <c r="B968" s="8"/>
      <c r="C968" s="8"/>
      <c r="D968" s="8"/>
      <c r="E968" s="8"/>
      <c r="F968" s="8"/>
      <c r="G968" s="695"/>
      <c r="H968" s="695"/>
      <c r="I968" s="695"/>
      <c r="J968" s="695"/>
      <c r="K968" s="695"/>
      <c r="L968" s="695"/>
      <c r="M968" s="695"/>
      <c r="N968" s="695"/>
      <c r="O968" s="695"/>
      <c r="P968" s="695"/>
      <c r="Q968" s="695"/>
      <c r="R968" s="695"/>
      <c r="S968" s="695"/>
      <c r="T968" s="8"/>
      <c r="U968" s="8"/>
      <c r="V968" s="8"/>
      <c r="W968" s="8"/>
      <c r="X968" s="8"/>
      <c r="Y968" s="8"/>
      <c r="Z968" s="8"/>
      <c r="AA968" s="8"/>
      <c r="AB968" s="8"/>
    </row>
    <row r="969" ht="12.75" customHeight="1" spans="1:28" x14ac:dyDescent="0.25">
      <c r="A969" s="8"/>
      <c r="B969" s="8"/>
      <c r="C969" s="8"/>
      <c r="D969" s="8"/>
      <c r="E969" s="8"/>
      <c r="F969" s="8"/>
      <c r="G969" s="695"/>
      <c r="H969" s="695"/>
      <c r="I969" s="695"/>
      <c r="J969" s="695"/>
      <c r="K969" s="695"/>
      <c r="L969" s="695"/>
      <c r="M969" s="695"/>
      <c r="N969" s="695"/>
      <c r="O969" s="695"/>
      <c r="P969" s="695"/>
      <c r="Q969" s="695"/>
      <c r="R969" s="695"/>
      <c r="S969" s="695"/>
      <c r="T969" s="8"/>
      <c r="U969" s="8"/>
      <c r="V969" s="8"/>
      <c r="W969" s="8"/>
      <c r="X969" s="8"/>
      <c r="Y969" s="8"/>
      <c r="Z969" s="8"/>
      <c r="AA969" s="8"/>
      <c r="AB969" s="8"/>
    </row>
    <row r="970" ht="12.75" customHeight="1" spans="1:28" x14ac:dyDescent="0.25">
      <c r="A970" s="8"/>
      <c r="B970" s="8"/>
      <c r="C970" s="8"/>
      <c r="D970" s="8"/>
      <c r="E970" s="8"/>
      <c r="F970" s="8"/>
      <c r="G970" s="695"/>
      <c r="H970" s="695"/>
      <c r="I970" s="695"/>
      <c r="J970" s="695"/>
      <c r="K970" s="695"/>
      <c r="L970" s="695"/>
      <c r="M970" s="695"/>
      <c r="N970" s="695"/>
      <c r="O970" s="695"/>
      <c r="P970" s="695"/>
      <c r="Q970" s="695"/>
      <c r="R970" s="695"/>
      <c r="S970" s="695"/>
      <c r="T970" s="8"/>
      <c r="U970" s="8"/>
      <c r="V970" s="8"/>
      <c r="W970" s="8"/>
      <c r="X970" s="8"/>
      <c r="Y970" s="8"/>
      <c r="Z970" s="8"/>
      <c r="AA970" s="8"/>
      <c r="AB970" s="8"/>
    </row>
    <row r="971" ht="12.75" customHeight="1" spans="1:28" x14ac:dyDescent="0.25">
      <c r="A971" s="8"/>
      <c r="B971" s="8"/>
      <c r="C971" s="8"/>
      <c r="D971" s="8"/>
      <c r="E971" s="8"/>
      <c r="F971" s="8"/>
      <c r="G971" s="695"/>
      <c r="H971" s="695"/>
      <c r="I971" s="695"/>
      <c r="J971" s="695"/>
      <c r="K971" s="695"/>
      <c r="L971" s="695"/>
      <c r="M971" s="695"/>
      <c r="N971" s="695"/>
      <c r="O971" s="695"/>
      <c r="P971" s="695"/>
      <c r="Q971" s="695"/>
      <c r="R971" s="695"/>
      <c r="S971" s="695"/>
      <c r="T971" s="8"/>
      <c r="U971" s="8"/>
      <c r="V971" s="8"/>
      <c r="W971" s="8"/>
      <c r="X971" s="8"/>
      <c r="Y971" s="8"/>
      <c r="Z971" s="8"/>
      <c r="AA971" s="8"/>
      <c r="AB971" s="8"/>
    </row>
    <row r="972" ht="12.75" customHeight="1" spans="1:28" x14ac:dyDescent="0.25">
      <c r="A972" s="8"/>
      <c r="B972" s="8"/>
      <c r="C972" s="8"/>
      <c r="D972" s="8"/>
      <c r="E972" s="8"/>
      <c r="F972" s="8"/>
      <c r="G972" s="695"/>
      <c r="H972" s="695"/>
      <c r="I972" s="695"/>
      <c r="J972" s="695"/>
      <c r="K972" s="695"/>
      <c r="L972" s="695"/>
      <c r="M972" s="695"/>
      <c r="N972" s="695"/>
      <c r="O972" s="695"/>
      <c r="P972" s="695"/>
      <c r="Q972" s="695"/>
      <c r="R972" s="695"/>
      <c r="S972" s="695"/>
      <c r="T972" s="8"/>
      <c r="U972" s="8"/>
      <c r="V972" s="8"/>
      <c r="W972" s="8"/>
      <c r="X972" s="8"/>
      <c r="Y972" s="8"/>
      <c r="Z972" s="8"/>
      <c r="AA972" s="8"/>
      <c r="AB972" s="8"/>
    </row>
    <row r="973" ht="12.75" customHeight="1" spans="1:28" x14ac:dyDescent="0.25">
      <c r="A973" s="8"/>
      <c r="B973" s="8"/>
      <c r="C973" s="8"/>
      <c r="D973" s="8"/>
      <c r="E973" s="8"/>
      <c r="F973" s="8"/>
      <c r="G973" s="695"/>
      <c r="H973" s="695"/>
      <c r="I973" s="695"/>
      <c r="J973" s="695"/>
      <c r="K973" s="695"/>
      <c r="L973" s="695"/>
      <c r="M973" s="695"/>
      <c r="N973" s="695"/>
      <c r="O973" s="695"/>
      <c r="P973" s="695"/>
      <c r="Q973" s="695"/>
      <c r="R973" s="695"/>
      <c r="S973" s="695"/>
      <c r="T973" s="8"/>
      <c r="U973" s="8"/>
      <c r="V973" s="8"/>
      <c r="W973" s="8"/>
      <c r="X973" s="8"/>
      <c r="Y973" s="8"/>
      <c r="Z973" s="8"/>
      <c r="AA973" s="8"/>
      <c r="AB973" s="8"/>
    </row>
    <row r="974" ht="12.75" customHeight="1" spans="1:28" x14ac:dyDescent="0.25">
      <c r="A974" s="8"/>
      <c r="B974" s="8"/>
      <c r="C974" s="8"/>
      <c r="D974" s="8"/>
      <c r="E974" s="8"/>
      <c r="F974" s="8"/>
      <c r="G974" s="695"/>
      <c r="H974" s="695"/>
      <c r="I974" s="695"/>
      <c r="J974" s="695"/>
      <c r="K974" s="695"/>
      <c r="L974" s="695"/>
      <c r="M974" s="695"/>
      <c r="N974" s="695"/>
      <c r="O974" s="695"/>
      <c r="P974" s="695"/>
      <c r="Q974" s="695"/>
      <c r="R974" s="695"/>
      <c r="S974" s="695"/>
      <c r="T974" s="8"/>
      <c r="U974" s="8"/>
      <c r="V974" s="8"/>
      <c r="W974" s="8"/>
      <c r="X974" s="8"/>
      <c r="Y974" s="8"/>
      <c r="Z974" s="8"/>
      <c r="AA974" s="8"/>
      <c r="AB974" s="8"/>
    </row>
    <row r="975" ht="12.75" customHeight="1" spans="1:28" x14ac:dyDescent="0.25">
      <c r="A975" s="8"/>
      <c r="B975" s="8"/>
      <c r="C975" s="8"/>
      <c r="D975" s="8"/>
      <c r="E975" s="8"/>
      <c r="F975" s="8"/>
      <c r="G975" s="695"/>
      <c r="H975" s="695"/>
      <c r="I975" s="695"/>
      <c r="J975" s="695"/>
      <c r="K975" s="695"/>
      <c r="L975" s="695"/>
      <c r="M975" s="695"/>
      <c r="N975" s="695"/>
      <c r="O975" s="695"/>
      <c r="P975" s="695"/>
      <c r="Q975" s="695"/>
      <c r="R975" s="695"/>
      <c r="S975" s="695"/>
      <c r="T975" s="8"/>
      <c r="U975" s="8"/>
      <c r="V975" s="8"/>
      <c r="W975" s="8"/>
      <c r="X975" s="8"/>
      <c r="Y975" s="8"/>
      <c r="Z975" s="8"/>
      <c r="AA975" s="8"/>
      <c r="AB975" s="8"/>
    </row>
    <row r="976" ht="12.75" customHeight="1" spans="1:28" x14ac:dyDescent="0.25">
      <c r="A976" s="8"/>
      <c r="B976" s="8"/>
      <c r="C976" s="8"/>
      <c r="D976" s="8"/>
      <c r="E976" s="8"/>
      <c r="F976" s="8"/>
      <c r="G976" s="695"/>
      <c r="H976" s="695"/>
      <c r="I976" s="695"/>
      <c r="J976" s="695"/>
      <c r="K976" s="695"/>
      <c r="L976" s="695"/>
      <c r="M976" s="695"/>
      <c r="N976" s="695"/>
      <c r="O976" s="695"/>
      <c r="P976" s="695"/>
      <c r="Q976" s="695"/>
      <c r="R976" s="695"/>
      <c r="S976" s="695"/>
      <c r="T976" s="8"/>
      <c r="U976" s="8"/>
      <c r="V976" s="8"/>
      <c r="W976" s="8"/>
      <c r="X976" s="8"/>
      <c r="Y976" s="8"/>
      <c r="Z976" s="8"/>
      <c r="AA976" s="8"/>
      <c r="AB976" s="8"/>
    </row>
    <row r="977" ht="12.75" customHeight="1" spans="1:28" x14ac:dyDescent="0.25">
      <c r="A977" s="8"/>
      <c r="B977" s="8"/>
      <c r="C977" s="8"/>
      <c r="D977" s="8"/>
      <c r="E977" s="8"/>
      <c r="F977" s="8"/>
      <c r="G977" s="695"/>
      <c r="H977" s="695"/>
      <c r="I977" s="695"/>
      <c r="J977" s="695"/>
      <c r="K977" s="695"/>
      <c r="L977" s="695"/>
      <c r="M977" s="695"/>
      <c r="N977" s="695"/>
      <c r="O977" s="695"/>
      <c r="P977" s="695"/>
      <c r="Q977" s="695"/>
      <c r="R977" s="695"/>
      <c r="S977" s="695"/>
      <c r="T977" s="8"/>
      <c r="U977" s="8"/>
      <c r="V977" s="8"/>
      <c r="W977" s="8"/>
      <c r="X977" s="8"/>
      <c r="Y977" s="8"/>
      <c r="Z977" s="8"/>
      <c r="AA977" s="8"/>
      <c r="AB977" s="8"/>
    </row>
    <row r="978" ht="12.75" customHeight="1" spans="1:28" x14ac:dyDescent="0.25">
      <c r="A978" s="8"/>
      <c r="B978" s="8"/>
      <c r="C978" s="8"/>
      <c r="D978" s="8"/>
      <c r="E978" s="8"/>
      <c r="F978" s="8"/>
      <c r="G978" s="695"/>
      <c r="H978" s="695"/>
      <c r="I978" s="695"/>
      <c r="J978" s="695"/>
      <c r="K978" s="695"/>
      <c r="L978" s="695"/>
      <c r="M978" s="695"/>
      <c r="N978" s="695"/>
      <c r="O978" s="695"/>
      <c r="P978" s="695"/>
      <c r="Q978" s="695"/>
      <c r="R978" s="695"/>
      <c r="S978" s="695"/>
      <c r="T978" s="8"/>
      <c r="U978" s="8"/>
      <c r="V978" s="8"/>
      <c r="W978" s="8"/>
      <c r="X978" s="8"/>
      <c r="Y978" s="8"/>
      <c r="Z978" s="8"/>
      <c r="AA978" s="8"/>
      <c r="AB978" s="8"/>
    </row>
    <row r="979" ht="12.75" customHeight="1" spans="1:28" x14ac:dyDescent="0.25">
      <c r="A979" s="8"/>
      <c r="B979" s="8"/>
      <c r="C979" s="8"/>
      <c r="D979" s="8"/>
      <c r="E979" s="8"/>
      <c r="F979" s="8"/>
      <c r="G979" s="695"/>
      <c r="H979" s="695"/>
      <c r="I979" s="695"/>
      <c r="J979" s="695"/>
      <c r="K979" s="695"/>
      <c r="L979" s="695"/>
      <c r="M979" s="695"/>
      <c r="N979" s="695"/>
      <c r="O979" s="695"/>
      <c r="P979" s="695"/>
      <c r="Q979" s="695"/>
      <c r="R979" s="695"/>
      <c r="S979" s="695"/>
      <c r="T979" s="8"/>
      <c r="U979" s="8"/>
      <c r="V979" s="8"/>
      <c r="W979" s="8"/>
      <c r="X979" s="8"/>
      <c r="Y979" s="8"/>
      <c r="Z979" s="8"/>
      <c r="AA979" s="8"/>
      <c r="AB979" s="8"/>
    </row>
    <row r="980" ht="12.75" customHeight="1" spans="1:28" x14ac:dyDescent="0.25">
      <c r="A980" s="8"/>
      <c r="B980" s="8"/>
      <c r="C980" s="8"/>
      <c r="D980" s="8"/>
      <c r="E980" s="8"/>
      <c r="F980" s="8"/>
      <c r="G980" s="695"/>
      <c r="H980" s="695"/>
      <c r="I980" s="695"/>
      <c r="J980" s="695"/>
      <c r="K980" s="695"/>
      <c r="L980" s="695"/>
      <c r="M980" s="695"/>
      <c r="N980" s="695"/>
      <c r="O980" s="695"/>
      <c r="P980" s="695"/>
      <c r="Q980" s="695"/>
      <c r="R980" s="695"/>
      <c r="S980" s="695"/>
      <c r="T980" s="8"/>
      <c r="U980" s="8"/>
      <c r="V980" s="8"/>
      <c r="W980" s="8"/>
      <c r="X980" s="8"/>
      <c r="Y980" s="8"/>
      <c r="Z980" s="8"/>
      <c r="AA980" s="8"/>
      <c r="AB980" s="8"/>
    </row>
    <row r="981" ht="12.75" customHeight="1" spans="1:28" x14ac:dyDescent="0.25">
      <c r="A981" s="8"/>
      <c r="B981" s="8"/>
      <c r="C981" s="8"/>
      <c r="D981" s="8"/>
      <c r="E981" s="8"/>
      <c r="F981" s="8"/>
      <c r="G981" s="695"/>
      <c r="H981" s="695"/>
      <c r="I981" s="695"/>
      <c r="J981" s="695"/>
      <c r="K981" s="695"/>
      <c r="L981" s="695"/>
      <c r="M981" s="695"/>
      <c r="N981" s="695"/>
      <c r="O981" s="695"/>
      <c r="P981" s="695"/>
      <c r="Q981" s="695"/>
      <c r="R981" s="695"/>
      <c r="S981" s="695"/>
      <c r="T981" s="8"/>
      <c r="U981" s="8"/>
      <c r="V981" s="8"/>
      <c r="W981" s="8"/>
      <c r="X981" s="8"/>
      <c r="Y981" s="8"/>
      <c r="Z981" s="8"/>
      <c r="AA981" s="8"/>
      <c r="AB981" s="8"/>
    </row>
    <row r="982" ht="12.75" customHeight="1" spans="1:28" x14ac:dyDescent="0.25">
      <c r="A982" s="8"/>
      <c r="B982" s="8"/>
      <c r="C982" s="8"/>
      <c r="D982" s="8"/>
      <c r="E982" s="8"/>
      <c r="F982" s="8"/>
      <c r="G982" s="695"/>
      <c r="H982" s="695"/>
      <c r="I982" s="695"/>
      <c r="J982" s="695"/>
      <c r="K982" s="695"/>
      <c r="L982" s="695"/>
      <c r="M982" s="695"/>
      <c r="N982" s="695"/>
      <c r="O982" s="695"/>
      <c r="P982" s="695"/>
      <c r="Q982" s="695"/>
      <c r="R982" s="695"/>
      <c r="S982" s="695"/>
      <c r="T982" s="8"/>
      <c r="U982" s="8"/>
      <c r="V982" s="8"/>
      <c r="W982" s="8"/>
      <c r="X982" s="8"/>
      <c r="Y982" s="8"/>
      <c r="Z982" s="8"/>
      <c r="AA982" s="8"/>
      <c r="AB982" s="8"/>
    </row>
    <row r="983" ht="12.75" customHeight="1" spans="1:28" x14ac:dyDescent="0.25">
      <c r="A983" s="8"/>
      <c r="B983" s="8"/>
      <c r="C983" s="8"/>
      <c r="D983" s="8"/>
      <c r="E983" s="8"/>
      <c r="F983" s="8"/>
      <c r="G983" s="695"/>
      <c r="H983" s="695"/>
      <c r="I983" s="695"/>
      <c r="J983" s="695"/>
      <c r="K983" s="695"/>
      <c r="L983" s="695"/>
      <c r="M983" s="695"/>
      <c r="N983" s="695"/>
      <c r="O983" s="695"/>
      <c r="P983" s="695"/>
      <c r="Q983" s="695"/>
      <c r="R983" s="695"/>
      <c r="S983" s="695"/>
      <c r="T983" s="8"/>
      <c r="U983" s="8"/>
      <c r="V983" s="8"/>
      <c r="W983" s="8"/>
      <c r="X983" s="8"/>
      <c r="Y983" s="8"/>
      <c r="Z983" s="8"/>
      <c r="AA983" s="8"/>
      <c r="AB983" s="8"/>
    </row>
    <row r="984" ht="12.75" customHeight="1" spans="1:28" x14ac:dyDescent="0.25">
      <c r="A984" s="8"/>
      <c r="B984" s="8"/>
      <c r="C984" s="8"/>
      <c r="D984" s="8"/>
      <c r="E984" s="8"/>
      <c r="F984" s="8"/>
      <c r="G984" s="695"/>
      <c r="H984" s="695"/>
      <c r="I984" s="695"/>
      <c r="J984" s="695"/>
      <c r="K984" s="695"/>
      <c r="L984" s="695"/>
      <c r="M984" s="695"/>
      <c r="N984" s="695"/>
      <c r="O984" s="695"/>
      <c r="P984" s="695"/>
      <c r="Q984" s="695"/>
      <c r="R984" s="695"/>
      <c r="S984" s="695"/>
      <c r="T984" s="8"/>
      <c r="U984" s="8"/>
      <c r="V984" s="8"/>
      <c r="W984" s="8"/>
      <c r="X984" s="8"/>
      <c r="Y984" s="8"/>
      <c r="Z984" s="8"/>
      <c r="AA984" s="8"/>
      <c r="AB984" s="8"/>
    </row>
    <row r="985" ht="12.75" customHeight="1" spans="1:28" x14ac:dyDescent="0.25">
      <c r="A985" s="8"/>
      <c r="B985" s="8"/>
      <c r="C985" s="8"/>
      <c r="D985" s="8"/>
      <c r="E985" s="8"/>
      <c r="F985" s="8"/>
      <c r="G985" s="695"/>
      <c r="H985" s="695"/>
      <c r="I985" s="695"/>
      <c r="J985" s="695"/>
      <c r="K985" s="695"/>
      <c r="L985" s="695"/>
      <c r="M985" s="695"/>
      <c r="N985" s="695"/>
      <c r="O985" s="695"/>
      <c r="P985" s="695"/>
      <c r="Q985" s="695"/>
      <c r="R985" s="695"/>
      <c r="S985" s="695"/>
      <c r="T985" s="8"/>
      <c r="U985" s="8"/>
      <c r="V985" s="8"/>
      <c r="W985" s="8"/>
      <c r="X985" s="8"/>
      <c r="Y985" s="8"/>
      <c r="Z985" s="8"/>
      <c r="AA985" s="8"/>
      <c r="AB985" s="8"/>
    </row>
    <row r="986" ht="12.75" customHeight="1" spans="1:28" x14ac:dyDescent="0.25">
      <c r="A986" s="8"/>
      <c r="B986" s="8"/>
      <c r="C986" s="8"/>
      <c r="D986" s="8"/>
      <c r="E986" s="8"/>
      <c r="F986" s="8"/>
      <c r="G986" s="695"/>
      <c r="H986" s="695"/>
      <c r="I986" s="695"/>
      <c r="J986" s="695"/>
      <c r="K986" s="695"/>
      <c r="L986" s="695"/>
      <c r="M986" s="695"/>
      <c r="N986" s="695"/>
      <c r="O986" s="695"/>
      <c r="P986" s="695"/>
      <c r="Q986" s="695"/>
      <c r="R986" s="695"/>
      <c r="S986" s="695"/>
      <c r="T986" s="8"/>
      <c r="U986" s="8"/>
      <c r="V986" s="8"/>
      <c r="W986" s="8"/>
      <c r="X986" s="8"/>
      <c r="Y986" s="8"/>
      <c r="Z986" s="8"/>
      <c r="AA986" s="8"/>
      <c r="AB986" s="8"/>
    </row>
    <row r="987" ht="12.75" customHeight="1" spans="1:28" x14ac:dyDescent="0.25">
      <c r="A987" s="8"/>
      <c r="B987" s="8"/>
      <c r="C987" s="8"/>
      <c r="D987" s="8"/>
      <c r="E987" s="8"/>
      <c r="F987" s="8"/>
      <c r="G987" s="695"/>
      <c r="H987" s="695"/>
      <c r="I987" s="695"/>
      <c r="J987" s="695"/>
      <c r="K987" s="695"/>
      <c r="L987" s="695"/>
      <c r="M987" s="695"/>
      <c r="N987" s="695"/>
      <c r="O987" s="695"/>
      <c r="P987" s="695"/>
      <c r="Q987" s="695"/>
      <c r="R987" s="695"/>
      <c r="S987" s="695"/>
      <c r="T987" s="8"/>
      <c r="U987" s="8"/>
      <c r="V987" s="8"/>
      <c r="W987" s="8"/>
      <c r="X987" s="8"/>
      <c r="Y987" s="8"/>
      <c r="Z987" s="8"/>
      <c r="AA987" s="8"/>
      <c r="AB987" s="8"/>
    </row>
    <row r="988" ht="12.75" customHeight="1" spans="1:28" x14ac:dyDescent="0.25">
      <c r="A988" s="8"/>
      <c r="B988" s="8"/>
      <c r="C988" s="8"/>
      <c r="D988" s="8"/>
      <c r="E988" s="8"/>
      <c r="F988" s="8"/>
      <c r="G988" s="695"/>
      <c r="H988" s="695"/>
      <c r="I988" s="695"/>
      <c r="J988" s="695"/>
      <c r="K988" s="695"/>
      <c r="L988" s="695"/>
      <c r="M988" s="695"/>
      <c r="N988" s="695"/>
      <c r="O988" s="695"/>
      <c r="P988" s="695"/>
      <c r="Q988" s="695"/>
      <c r="R988" s="695"/>
      <c r="S988" s="695"/>
      <c r="T988" s="8"/>
      <c r="U988" s="8"/>
      <c r="V988" s="8"/>
      <c r="W988" s="8"/>
      <c r="X988" s="8"/>
      <c r="Y988" s="8"/>
      <c r="Z988" s="8"/>
      <c r="AA988" s="8"/>
      <c r="AB988" s="8"/>
    </row>
    <row r="989" ht="12.75" customHeight="1" spans="1:28" x14ac:dyDescent="0.25">
      <c r="A989" s="8"/>
      <c r="B989" s="8"/>
      <c r="C989" s="8"/>
      <c r="D989" s="8"/>
      <c r="E989" s="8"/>
      <c r="F989" s="8"/>
      <c r="G989" s="695"/>
      <c r="H989" s="695"/>
      <c r="I989" s="695"/>
      <c r="J989" s="695"/>
      <c r="K989" s="695"/>
      <c r="L989" s="695"/>
      <c r="M989" s="695"/>
      <c r="N989" s="695"/>
      <c r="O989" s="695"/>
      <c r="P989" s="695"/>
      <c r="Q989" s="695"/>
      <c r="R989" s="695"/>
      <c r="S989" s="695"/>
      <c r="T989" s="8"/>
      <c r="U989" s="8"/>
      <c r="V989" s="8"/>
      <c r="W989" s="8"/>
      <c r="X989" s="8"/>
      <c r="Y989" s="8"/>
      <c r="Z989" s="8"/>
      <c r="AA989" s="8"/>
      <c r="AB989" s="8"/>
    </row>
    <row r="990" ht="12.75" customHeight="1" spans="1:28" x14ac:dyDescent="0.25">
      <c r="A990" s="8"/>
      <c r="B990" s="8"/>
      <c r="C990" s="8"/>
      <c r="D990" s="8"/>
      <c r="E990" s="8"/>
      <c r="F990" s="8"/>
      <c r="G990" s="695"/>
      <c r="H990" s="695"/>
      <c r="I990" s="695"/>
      <c r="J990" s="695"/>
      <c r="K990" s="695"/>
      <c r="L990" s="695"/>
      <c r="M990" s="695"/>
      <c r="N990" s="695"/>
      <c r="O990" s="695"/>
      <c r="P990" s="695"/>
      <c r="Q990" s="695"/>
      <c r="R990" s="695"/>
      <c r="S990" s="695"/>
      <c r="T990" s="8"/>
      <c r="U990" s="8"/>
      <c r="V990" s="8"/>
      <c r="W990" s="8"/>
      <c r="X990" s="8"/>
      <c r="Y990" s="8"/>
      <c r="Z990" s="8"/>
      <c r="AA990" s="8"/>
      <c r="AB990" s="8"/>
    </row>
    <row r="991" ht="12.75" customHeight="1" spans="1:28" x14ac:dyDescent="0.25">
      <c r="A991" s="8"/>
      <c r="B991" s="8"/>
      <c r="C991" s="8"/>
      <c r="D991" s="8"/>
      <c r="E991" s="8"/>
      <c r="F991" s="8"/>
      <c r="G991" s="695"/>
      <c r="H991" s="695"/>
      <c r="I991" s="695"/>
      <c r="J991" s="695"/>
      <c r="K991" s="695"/>
      <c r="L991" s="695"/>
      <c r="M991" s="695"/>
      <c r="N991" s="695"/>
      <c r="O991" s="695"/>
      <c r="P991" s="695"/>
      <c r="Q991" s="695"/>
      <c r="R991" s="695"/>
      <c r="S991" s="695"/>
      <c r="T991" s="8"/>
      <c r="U991" s="8"/>
      <c r="V991" s="8"/>
      <c r="W991" s="8"/>
      <c r="X991" s="8"/>
      <c r="Y991" s="8"/>
      <c r="Z991" s="8"/>
      <c r="AA991" s="8"/>
      <c r="AB991" s="8"/>
    </row>
    <row r="992" ht="12.75" customHeight="1" spans="1:28" x14ac:dyDescent="0.25">
      <c r="A992" s="8"/>
      <c r="B992" s="8"/>
      <c r="C992" s="8"/>
      <c r="D992" s="8"/>
      <c r="E992" s="8"/>
      <c r="F992" s="8"/>
      <c r="G992" s="695"/>
      <c r="H992" s="695"/>
      <c r="I992" s="695"/>
      <c r="J992" s="695"/>
      <c r="K992" s="695"/>
      <c r="L992" s="695"/>
      <c r="M992" s="695"/>
      <c r="N992" s="695"/>
      <c r="O992" s="695"/>
      <c r="P992" s="695"/>
      <c r="Q992" s="695"/>
      <c r="R992" s="695"/>
      <c r="S992" s="695"/>
      <c r="T992" s="8"/>
      <c r="U992" s="8"/>
      <c r="V992" s="8"/>
      <c r="W992" s="8"/>
      <c r="X992" s="8"/>
      <c r="Y992" s="8"/>
      <c r="Z992" s="8"/>
      <c r="AA992" s="8"/>
      <c r="AB992" s="8"/>
    </row>
    <row r="993" ht="12.75" customHeight="1" spans="1:28" x14ac:dyDescent="0.25">
      <c r="A993" s="8"/>
      <c r="B993" s="8"/>
      <c r="C993" s="8"/>
      <c r="D993" s="8"/>
      <c r="E993" s="8"/>
      <c r="F993" s="8"/>
      <c r="G993" s="695"/>
      <c r="H993" s="695"/>
      <c r="I993" s="695"/>
      <c r="J993" s="695"/>
      <c r="K993" s="695"/>
      <c r="L993" s="695"/>
      <c r="M993" s="695"/>
      <c r="N993" s="695"/>
      <c r="O993" s="695"/>
      <c r="P993" s="695"/>
      <c r="Q993" s="695"/>
      <c r="R993" s="695"/>
      <c r="S993" s="695"/>
      <c r="T993" s="8"/>
      <c r="U993" s="8"/>
      <c r="V993" s="8"/>
      <c r="W993" s="8"/>
      <c r="X993" s="8"/>
      <c r="Y993" s="8"/>
      <c r="Z993" s="8"/>
      <c r="AA993" s="8"/>
      <c r="AB993" s="8"/>
    </row>
    <row r="994" ht="12.75" customHeight="1" spans="1:28" x14ac:dyDescent="0.25">
      <c r="A994" s="8"/>
      <c r="B994" s="8"/>
      <c r="C994" s="8"/>
      <c r="D994" s="8"/>
      <c r="E994" s="8"/>
      <c r="F994" s="8"/>
      <c r="G994" s="695"/>
      <c r="H994" s="695"/>
      <c r="I994" s="695"/>
      <c r="J994" s="695"/>
      <c r="K994" s="695"/>
      <c r="L994" s="695"/>
      <c r="M994" s="695"/>
      <c r="N994" s="695"/>
      <c r="O994" s="695"/>
      <c r="P994" s="695"/>
      <c r="Q994" s="695"/>
      <c r="R994" s="695"/>
      <c r="S994" s="695"/>
      <c r="T994" s="8"/>
      <c r="U994" s="8"/>
      <c r="V994" s="8"/>
      <c r="W994" s="8"/>
      <c r="X994" s="8"/>
      <c r="Y994" s="8"/>
      <c r="Z994" s="8"/>
      <c r="AA994" s="8"/>
      <c r="AB994" s="8"/>
    </row>
    <row r="995" ht="12.75" customHeight="1" spans="1:28" x14ac:dyDescent="0.25">
      <c r="A995" s="8"/>
      <c r="B995" s="8"/>
      <c r="C995" s="8"/>
      <c r="D995" s="8"/>
      <c r="E995" s="8"/>
      <c r="F995" s="8"/>
      <c r="G995" s="695"/>
      <c r="H995" s="695"/>
      <c r="I995" s="695"/>
      <c r="J995" s="695"/>
      <c r="K995" s="695"/>
      <c r="L995" s="695"/>
      <c r="M995" s="695"/>
      <c r="N995" s="695"/>
      <c r="O995" s="695"/>
      <c r="P995" s="695"/>
      <c r="Q995" s="695"/>
      <c r="R995" s="695"/>
      <c r="S995" s="695"/>
      <c r="T995" s="8"/>
      <c r="U995" s="8"/>
      <c r="V995" s="8"/>
      <c r="W995" s="8"/>
      <c r="X995" s="8"/>
      <c r="Y995" s="8"/>
      <c r="Z995" s="8"/>
      <c r="AA995" s="8"/>
      <c r="AB995" s="8"/>
    </row>
    <row r="996" ht="12.75" customHeight="1" spans="1:28" x14ac:dyDescent="0.25">
      <c r="A996" s="8"/>
      <c r="B996" s="8"/>
      <c r="C996" s="8"/>
      <c r="D996" s="8"/>
      <c r="E996" s="8"/>
      <c r="F996" s="8"/>
      <c r="G996" s="695"/>
      <c r="H996" s="695"/>
      <c r="I996" s="695"/>
      <c r="J996" s="695"/>
      <c r="K996" s="695"/>
      <c r="L996" s="695"/>
      <c r="M996" s="695"/>
      <c r="N996" s="695"/>
      <c r="O996" s="695"/>
      <c r="P996" s="695"/>
      <c r="Q996" s="695"/>
      <c r="R996" s="695"/>
      <c r="S996" s="695"/>
      <c r="T996" s="8"/>
      <c r="U996" s="8"/>
      <c r="V996" s="8"/>
      <c r="W996" s="8"/>
      <c r="X996" s="8"/>
      <c r="Y996" s="8"/>
      <c r="Z996" s="8"/>
      <c r="AA996" s="8"/>
      <c r="AB996" s="8"/>
    </row>
    <row r="997" ht="12.75" customHeight="1" spans="1:28" x14ac:dyDescent="0.25">
      <c r="A997" s="8"/>
      <c r="B997" s="8"/>
      <c r="C997" s="8"/>
      <c r="D997" s="8"/>
      <c r="E997" s="8"/>
      <c r="F997" s="8"/>
      <c r="G997" s="695"/>
      <c r="H997" s="695"/>
      <c r="I997" s="695"/>
      <c r="J997" s="695"/>
      <c r="K997" s="695"/>
      <c r="L997" s="695"/>
      <c r="M997" s="695"/>
      <c r="N997" s="695"/>
      <c r="O997" s="695"/>
      <c r="P997" s="695"/>
      <c r="Q997" s="695"/>
      <c r="R997" s="695"/>
      <c r="S997" s="695"/>
      <c r="T997" s="8"/>
      <c r="U997" s="8"/>
      <c r="V997" s="8"/>
      <c r="W997" s="8"/>
      <c r="X997" s="8"/>
      <c r="Y997" s="8"/>
      <c r="Z997" s="8"/>
      <c r="AA997" s="8"/>
      <c r="AB997" s="8"/>
    </row>
    <row r="998" ht="12.75" customHeight="1" spans="1:28" x14ac:dyDescent="0.25">
      <c r="A998" s="8"/>
      <c r="B998" s="8"/>
      <c r="C998" s="8"/>
      <c r="D998" s="8"/>
      <c r="E998" s="8"/>
      <c r="F998" s="8"/>
      <c r="G998" s="695"/>
      <c r="H998" s="695"/>
      <c r="I998" s="695"/>
      <c r="J998" s="695"/>
      <c r="K998" s="695"/>
      <c r="L998" s="695"/>
      <c r="M998" s="695"/>
      <c r="N998" s="695"/>
      <c r="O998" s="695"/>
      <c r="P998" s="695"/>
      <c r="Q998" s="695"/>
      <c r="R998" s="695"/>
      <c r="S998" s="695"/>
      <c r="T998" s="8"/>
      <c r="U998" s="8"/>
      <c r="V998" s="8"/>
      <c r="W998" s="8"/>
      <c r="X998" s="8"/>
      <c r="Y998" s="8"/>
      <c r="Z998" s="8"/>
      <c r="AA998" s="8"/>
      <c r="AB998" s="8"/>
    </row>
    <row r="999" ht="12.75" customHeight="1" spans="1:28" x14ac:dyDescent="0.25">
      <c r="A999" s="8"/>
      <c r="B999" s="8"/>
      <c r="C999" s="8"/>
      <c r="D999" s="8"/>
      <c r="E999" s="8"/>
      <c r="F999" s="8"/>
      <c r="G999" s="695"/>
      <c r="H999" s="695"/>
      <c r="I999" s="695"/>
      <c r="J999" s="695"/>
      <c r="K999" s="695"/>
      <c r="L999" s="695"/>
      <c r="M999" s="695"/>
      <c r="N999" s="695"/>
      <c r="O999" s="695"/>
      <c r="P999" s="695"/>
      <c r="Q999" s="695"/>
      <c r="R999" s="695"/>
      <c r="S999" s="695"/>
      <c r="T999" s="8"/>
      <c r="U999" s="8"/>
      <c r="V999" s="8"/>
      <c r="W999" s="8"/>
      <c r="X999" s="8"/>
      <c r="Y999" s="8"/>
      <c r="Z999" s="8"/>
      <c r="AA999" s="8"/>
      <c r="AB999" s="8"/>
    </row>
    <row r="1000" ht="12.75" customHeight="1" spans="1:28" x14ac:dyDescent="0.25">
      <c r="A1000" s="8"/>
      <c r="B1000" s="8"/>
      <c r="C1000" s="8"/>
      <c r="D1000" s="8"/>
      <c r="E1000" s="8"/>
      <c r="F1000" s="8"/>
      <c r="G1000" s="695"/>
      <c r="H1000" s="695"/>
      <c r="I1000" s="695"/>
      <c r="J1000" s="695"/>
      <c r="K1000" s="695"/>
      <c r="L1000" s="695"/>
      <c r="M1000" s="695"/>
      <c r="N1000" s="695"/>
      <c r="O1000" s="695"/>
      <c r="P1000" s="695"/>
      <c r="Q1000" s="695"/>
      <c r="R1000" s="695"/>
      <c r="S1000" s="695"/>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2"/>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3" t="s">
        <v>2</v>
      </c>
      <c r="S5" s="8"/>
      <c r="T5" s="8"/>
      <c r="U5" s="8"/>
      <c r="V5" s="8"/>
      <c r="W5" s="8"/>
      <c r="X5" s="8"/>
      <c r="Y5" s="8"/>
      <c r="Z5" s="8"/>
    </row>
    <row r="6" spans="1:26" x14ac:dyDescent="0.25">
      <c r="A6" s="9"/>
      <c r="B6" s="8"/>
      <c r="C6" s="8" t="s">
        <v>901</v>
      </c>
      <c r="D6" s="8"/>
      <c r="E6" s="8"/>
      <c r="F6" s="8"/>
      <c r="G6" s="704">
        <v>0.04138</v>
      </c>
      <c r="H6" s="8"/>
      <c r="I6" s="8"/>
      <c r="J6" s="8" t="s">
        <v>902</v>
      </c>
      <c r="K6" s="8"/>
      <c r="L6" s="8"/>
      <c r="M6" s="705">
        <v>14165.9</v>
      </c>
      <c r="N6" s="586">
        <f>M6/$M$9</f>
        <v>0.6257843790551119</v>
      </c>
      <c r="O6" s="586">
        <f>Cost_of_Debt</f>
        <v>0.0503</v>
      </c>
      <c r="P6" s="8"/>
      <c r="Q6" s="8"/>
      <c r="R6" s="123"/>
      <c r="S6" s="8"/>
      <c r="T6" s="8"/>
      <c r="U6" s="8"/>
      <c r="V6" s="8"/>
      <c r="W6" s="8"/>
      <c r="X6" s="8"/>
      <c r="Y6" s="8"/>
      <c r="Z6" s="8"/>
    </row>
    <row r="7" spans="1:26" x14ac:dyDescent="0.25">
      <c r="A7" s="9"/>
      <c r="B7" s="8"/>
      <c r="C7" s="8" t="s">
        <v>903</v>
      </c>
      <c r="D7" s="8"/>
      <c r="E7" s="8"/>
      <c r="F7" s="8"/>
      <c r="G7" s="704">
        <v>0.0438</v>
      </c>
      <c r="H7" s="8"/>
      <c r="I7" s="8"/>
      <c r="J7" s="8" t="s">
        <v>904</v>
      </c>
      <c r="K7" s="8"/>
      <c r="L7" s="8"/>
      <c r="M7" s="584">
        <f>Diluted_Shares*Share_Price</f>
        <v>8471.03038</v>
      </c>
      <c r="N7" s="706">
        <f>1-Weight_of_Debt-Weight_of_Preferred</f>
        <v>0.374211203404322</v>
      </c>
      <c r="O7" s="586">
        <f>Cost_of_Equity</f>
        <v>0.10727972799999999</v>
      </c>
      <c r="P7" s="8"/>
      <c r="Q7" s="8"/>
      <c r="R7" s="8"/>
      <c r="S7" s="8"/>
      <c r="T7" s="8"/>
      <c r="U7" s="8"/>
      <c r="V7" s="8"/>
      <c r="W7" s="8"/>
      <c r="X7" s="8"/>
      <c r="Y7" s="8"/>
      <c r="Z7" s="8"/>
    </row>
    <row r="8" spans="1:26" x14ac:dyDescent="0.25">
      <c r="A8" s="9"/>
      <c r="B8" s="8"/>
      <c r="C8" s="8" t="s">
        <v>905</v>
      </c>
      <c r="D8" s="8"/>
      <c r="E8" s="8"/>
      <c r="F8" s="8"/>
      <c r="G8" s="704">
        <v>0.0503</v>
      </c>
      <c r="H8" s="8"/>
      <c r="I8" s="8"/>
      <c r="J8" s="8" t="s">
        <v>906</v>
      </c>
      <c r="K8" s="8"/>
      <c r="L8" s="8"/>
      <c r="M8" s="707">
        <v>0.1</v>
      </c>
      <c r="N8" s="586">
        <f>M8/$M$9</f>
        <v>0.000004417540566113779</v>
      </c>
      <c r="O8" s="586">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8">
        <f t="shared" ref="M9:N9" si="0">SUM(M6:M8)</f>
        <v>22637.030379999997</v>
      </c>
      <c r="N9" s="709">
        <f t="shared" si="0"/>
        <v>1</v>
      </c>
      <c r="O9" s="709">
        <f>SUMPRODUCT(N6:N8,O6:O8)</f>
        <v>0.07162256567356942</v>
      </c>
      <c r="P9" s="8"/>
      <c r="Q9" s="8"/>
      <c r="R9" s="8"/>
      <c r="S9" s="8"/>
      <c r="T9" s="8"/>
      <c r="U9" s="8"/>
      <c r="V9" s="8"/>
      <c r="W9" s="8"/>
      <c r="X9" s="8"/>
      <c r="Y9" s="8"/>
      <c r="Z9" s="8"/>
    </row>
    <row r="10" spans="1:26" x14ac:dyDescent="0.25">
      <c r="A10" s="9"/>
      <c r="B10" s="8"/>
      <c r="C10" s="8" t="s">
        <v>909</v>
      </c>
      <c r="D10" s="8"/>
      <c r="E10" s="8"/>
      <c r="F10" s="8"/>
      <c r="G10" s="704">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10"/>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1" t="s">
        <v>911</v>
      </c>
      <c r="K13" s="712"/>
      <c r="L13" s="712"/>
      <c r="M13" s="712"/>
      <c r="N13" s="712"/>
      <c r="O13" s="713">
        <f>SUMPRODUCT($N$6:$N$8,$O$6:$O$8)</f>
        <v>0.07162256567356942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4">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4">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5">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4">
        <f>Risk_Free_Rate</f>
        <v>0.04138</v>
      </c>
      <c r="H22" s="8"/>
      <c r="I22" s="8"/>
      <c r="J22" s="622"/>
      <c r="K22" s="624"/>
      <c r="L22" s="624" t="s">
        <v>916</v>
      </c>
      <c r="M22" s="716"/>
      <c r="N22" s="716"/>
      <c r="O22" s="716"/>
      <c r="P22" s="716"/>
      <c r="Q22" s="8"/>
      <c r="R22" s="8"/>
      <c r="S22" s="8"/>
      <c r="T22" s="8"/>
      <c r="U22" s="8"/>
      <c r="V22" s="8"/>
      <c r="W22" s="8"/>
      <c r="X22" s="8"/>
      <c r="Y22" s="8"/>
      <c r="Z22" s="8"/>
    </row>
    <row r="23" ht="14.25" customHeight="1" spans="1:26" x14ac:dyDescent="0.25">
      <c r="A23" s="9"/>
      <c r="B23" s="8"/>
      <c r="C23" s="8" t="str">
        <f t="shared" si="1"/>
        <v>Equity Risk Premium (ERP):</v>
      </c>
      <c r="D23" s="8"/>
      <c r="E23" s="8"/>
      <c r="F23" s="8"/>
      <c r="G23" s="704">
        <f>ERP</f>
        <v>0.0438</v>
      </c>
      <c r="H23" s="8"/>
      <c r="I23" s="8"/>
      <c r="J23" s="8"/>
      <c r="K23" s="717">
        <f>+Discount_Rate</f>
        <v>0.07162256567356942</v>
      </c>
      <c r="L23" s="718">
        <f t="shared" ref="L23:M23" si="2">M23-$M$34</f>
        <v>0.0403</v>
      </c>
      <c r="M23" s="718">
        <f t="shared" si="2"/>
        <v>0.0453</v>
      </c>
      <c r="N23" s="719">
        <v>0.0503</v>
      </c>
      <c r="O23" s="718">
        <f t="shared" ref="O23:P23" si="3">N23+$M$34</f>
        <v>0.055299999999999995</v>
      </c>
      <c r="P23" s="718">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20">
        <f>IF(J44="Comps Relevered Beta",G47,G49)</f>
        <v>1.50456</v>
      </c>
      <c r="H24" s="8"/>
      <c r="I24" s="8"/>
      <c r="J24" s="721" t="s">
        <v>918</v>
      </c>
      <c r="K24" s="722">
        <f t="shared" ref="K24:K25" si="4">K25-$M$37</f>
        <v>0.5857843790551118</v>
      </c>
      <c r="L24" s="723">
        <f/>
        <v>0.0680439110030183</v>
      </c>
      <c r="M24" s="724">
        <v>0.07097283289829387</v>
      </c>
      <c r="N24" s="724">
        <v>0.07390175479356943</v>
      </c>
      <c r="O24" s="724">
        <v>0.07683067668884498</v>
      </c>
      <c r="P24" s="725">
        <v>0.07975959858412053</v>
      </c>
      <c r="Q24" s="8"/>
      <c r="R24" s="8"/>
      <c r="S24" s="8"/>
      <c r="T24" s="8"/>
      <c r="U24" s="8"/>
      <c r="V24" s="8"/>
      <c r="W24" s="8"/>
      <c r="X24" s="8"/>
      <c r="Y24" s="8"/>
      <c r="Z24" s="8"/>
    </row>
    <row r="25" ht="15.75" customHeight="1" spans="1:26" x14ac:dyDescent="0.25">
      <c r="A25" s="9"/>
      <c r="B25" s="8"/>
      <c r="C25" s="8" t="s">
        <v>914</v>
      </c>
      <c r="D25" s="8"/>
      <c r="E25" s="8"/>
      <c r="F25" s="8"/>
      <c r="G25" s="704">
        <f>G22+G24*G23</f>
        <v>0.10727972799999999</v>
      </c>
      <c r="H25" s="8"/>
      <c r="I25" s="8"/>
      <c r="J25" s="726"/>
      <c r="K25" s="722">
        <f t="shared" si="4"/>
        <v>0.6057843790551118</v>
      </c>
      <c r="L25" s="727">
        <v>0.06670431644301832</v>
      </c>
      <c r="M25" s="728">
        <v>0.06973323833829387</v>
      </c>
      <c r="N25" s="728">
        <v>0.07276216023356942</v>
      </c>
      <c r="O25" s="728">
        <v>0.07579108212884499</v>
      </c>
      <c r="P25" s="729">
        <v>0.07882000402412055</v>
      </c>
      <c r="Q25" s="8"/>
      <c r="R25" s="8"/>
      <c r="S25" s="8"/>
      <c r="T25" s="8"/>
      <c r="U25" s="8"/>
      <c r="V25" s="8"/>
      <c r="W25" s="8"/>
      <c r="X25" s="8"/>
      <c r="Y25" s="8"/>
      <c r="Z25" s="8"/>
    </row>
    <row r="26" ht="15.75" customHeight="1" spans="1:26" x14ac:dyDescent="0.25">
      <c r="A26" s="9"/>
      <c r="B26" s="8"/>
      <c r="C26" s="8"/>
      <c r="D26" s="8"/>
      <c r="E26" s="8"/>
      <c r="F26" s="8"/>
      <c r="G26" s="8"/>
      <c r="H26" s="8"/>
      <c r="I26" s="8"/>
      <c r="J26" s="726"/>
      <c r="K26" s="730">
        <v>0.6257843790551119</v>
      </c>
      <c r="L26" s="727">
        <v>0.06536472188301831</v>
      </c>
      <c r="M26" s="728">
        <v>0.06849364377829387</v>
      </c>
      <c r="N26" s="728">
        <v>0.07162256567356942</v>
      </c>
      <c r="O26" s="728">
        <v>0.07475148756884499</v>
      </c>
      <c r="P26" s="729">
        <v>0.07788040946412055</v>
      </c>
      <c r="Q26" s="8"/>
      <c r="R26" s="8"/>
      <c r="S26" s="8"/>
      <c r="T26" s="8"/>
      <c r="U26" s="8"/>
      <c r="V26" s="8"/>
      <c r="W26" s="8"/>
      <c r="X26" s="8"/>
      <c r="Y26" s="8"/>
      <c r="Z26" s="8"/>
    </row>
    <row r="27" ht="15.75" customHeight="1" spans="1:26" x14ac:dyDescent="0.25">
      <c r="A27" s="9"/>
      <c r="B27" s="8"/>
      <c r="C27" s="8"/>
      <c r="D27" s="8"/>
      <c r="E27" s="8"/>
      <c r="F27" s="8"/>
      <c r="G27" s="8"/>
      <c r="H27" s="8"/>
      <c r="I27" s="8"/>
      <c r="J27" s="726"/>
      <c r="K27" s="722">
        <f t="shared" ref="K27:K28" si="5">K26+$M$37</f>
        <v>0.6457843790551119</v>
      </c>
      <c r="L27" s="727">
        <v>0.06402512732301831</v>
      </c>
      <c r="M27" s="728">
        <v>0.06725404921829387</v>
      </c>
      <c r="N27" s="728">
        <v>0.07048297111356942</v>
      </c>
      <c r="O27" s="728">
        <v>0.07371189300884498</v>
      </c>
      <c r="P27" s="729">
        <v>0.07694081490412054</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1"/>
      <c r="K28" s="722">
        <f t="shared" si="5"/>
        <v>0.6657843790551119</v>
      </c>
      <c r="L28" s="732">
        <v>0.06268553276301832</v>
      </c>
      <c r="M28" s="733">
        <v>0.06601445465829388</v>
      </c>
      <c r="N28" s="733">
        <v>0.06934337655356942</v>
      </c>
      <c r="O28" s="733">
        <v>0.07267229844884499</v>
      </c>
      <c r="P28" s="734">
        <v>0.07600122034412055</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5"/>
      <c r="F32" s="735"/>
      <c r="G32" s="736"/>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3" t="str">
        <f>'MM Banking Comparables'!D12</f>
        <v>Piper Sandler Companies</v>
      </c>
      <c r="D33" s="737">
        <f>'MM Banking Comparables'!H29</f>
        <v>1.54616</v>
      </c>
      <c r="E33" s="738">
        <f>'MM Banking Comparables'!O29</f>
        <v>0.071478</v>
      </c>
      <c r="F33" s="739">
        <f>'MM Banking Comparables'!G29</f>
        <v>0.27916</v>
      </c>
      <c r="G33" s="740">
        <f t="shared" ref="G33:G36" si="6">IF(ISERROR(D33/(1+(1-F33)*E33)),"NA",(D33/(1+(1-F33)*E33)))</f>
        <v>1.4703988721942811</v>
      </c>
      <c r="H33" s="8"/>
      <c r="I33" s="8"/>
      <c r="J33" s="8" t="s">
        <v>925</v>
      </c>
      <c r="K33" s="8"/>
      <c r="L33" s="8"/>
      <c r="M33" s="741">
        <f>G8</f>
        <v>0.0503</v>
      </c>
      <c r="N33" s="715">
        <f>M33-N23</f>
        <v>0</v>
      </c>
      <c r="O33" s="8"/>
      <c r="P33" s="8"/>
      <c r="Q33" s="8"/>
      <c r="R33" s="8"/>
      <c r="S33" s="8"/>
      <c r="T33" s="8"/>
      <c r="U33" s="8"/>
      <c r="V33" s="8"/>
      <c r="W33" s="8"/>
      <c r="X33" s="8"/>
      <c r="Y33" s="8"/>
      <c r="Z33" s="8"/>
    </row>
    <row r="34" ht="15.75" customHeight="1" spans="1:26" x14ac:dyDescent="0.25">
      <c r="A34" s="9"/>
      <c r="B34" s="8"/>
      <c r="C34" s="483" t="str">
        <f>'MM Banking Comparables'!D13</f>
        <v>Stifel Financial Corp.</v>
      </c>
      <c r="D34" s="737">
        <f>'MM Banking Comparables'!H30</f>
        <v>1.1456</v>
      </c>
      <c r="E34" s="738">
        <f>'MM Banking Comparables'!O30</f>
        <v>0.393024</v>
      </c>
      <c r="F34" s="739">
        <f>'MM Banking Comparables'!G30</f>
        <v>0.212252</v>
      </c>
      <c r="G34" s="740">
        <f t="shared" si="6"/>
        <v>0.8747683374225129</v>
      </c>
      <c r="H34" s="8"/>
      <c r="I34" s="8"/>
      <c r="J34" s="8" t="s">
        <v>926</v>
      </c>
      <c r="K34" s="8"/>
      <c r="L34" s="8"/>
      <c r="M34" s="742">
        <v>0.005</v>
      </c>
      <c r="N34" s="8"/>
      <c r="O34" s="8"/>
      <c r="P34" s="8"/>
      <c r="Q34" s="8"/>
      <c r="R34" s="8"/>
      <c r="S34" s="8"/>
      <c r="T34" s="8"/>
      <c r="U34" s="8"/>
      <c r="V34" s="8"/>
      <c r="W34" s="8"/>
      <c r="X34" s="8"/>
      <c r="Y34" s="8"/>
      <c r="Z34" s="8"/>
    </row>
    <row r="35" ht="15.75" customHeight="1" spans="1:26" x14ac:dyDescent="0.25">
      <c r="A35" s="9"/>
      <c r="B35" s="8"/>
      <c r="C35" s="483" t="str">
        <f>'MM Banking Comparables'!D14</f>
        <v>Raymond James Financial, Inc.</v>
      </c>
      <c r="D35" s="737">
        <f>'MM Banking Comparables'!H31</f>
        <v>1.00586</v>
      </c>
      <c r="E35" s="738">
        <f>'MM Banking Comparables'!O31</f>
        <v>0.369056</v>
      </c>
      <c r="F35" s="739">
        <f>'MM Banking Comparables'!G31</f>
        <v>0.213338</v>
      </c>
      <c r="G35" s="740">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3" t="str">
        <f>'MM Banking Comparables'!D15</f>
        <v>Houlihan Lokey, Inc.</v>
      </c>
      <c r="D36" s="737">
        <f>'MM Banking Comparables'!H32</f>
        <v>0.95237</v>
      </c>
      <c r="E36" s="738">
        <f>'MM Banking Comparables'!O32</f>
        <v>0.20147500000000002</v>
      </c>
      <c r="F36" s="739">
        <f>'MM Banking Comparables'!G32</f>
        <v>0.24772300000000003</v>
      </c>
      <c r="G36" s="740">
        <f t="shared" si="6"/>
        <v>0.8270223503738681</v>
      </c>
      <c r="H36" s="8"/>
      <c r="I36" s="8"/>
      <c r="J36" s="8" t="s">
        <v>927</v>
      </c>
      <c r="K36" s="8"/>
      <c r="L36" s="8"/>
      <c r="M36" s="743">
        <f>Weight_of_Debt</f>
        <v>0.6257843790551119</v>
      </c>
      <c r="N36" s="715">
        <f>M36-K26</f>
        <v>0</v>
      </c>
      <c r="O36" s="8"/>
      <c r="P36" s="8"/>
      <c r="Q36" s="8"/>
      <c r="R36" s="8"/>
      <c r="S36" s="8"/>
      <c r="T36" s="8"/>
      <c r="U36" s="8"/>
      <c r="V36" s="8"/>
      <c r="W36" s="8"/>
      <c r="X36" s="8"/>
      <c r="Y36" s="8"/>
      <c r="Z36" s="8"/>
    </row>
    <row r="37" ht="15.75" customHeight="1" spans="1:26" x14ac:dyDescent="0.25">
      <c r="A37" s="9"/>
      <c r="B37" s="8"/>
      <c r="C37" s="483"/>
      <c r="D37" s="737"/>
      <c r="E37" s="738"/>
      <c r="F37" s="739"/>
      <c r="G37" s="740"/>
      <c r="H37" s="8"/>
      <c r="I37" s="8"/>
      <c r="J37" s="8" t="s">
        <v>928</v>
      </c>
      <c r="K37" s="8"/>
      <c r="L37" s="8"/>
      <c r="M37" s="742">
        <v>0.02</v>
      </c>
      <c r="N37" s="8"/>
      <c r="O37" s="8"/>
      <c r="P37" s="8"/>
      <c r="Q37" s="8"/>
      <c r="R37" s="8"/>
      <c r="S37" s="8"/>
      <c r="T37" s="8"/>
      <c r="U37" s="8"/>
      <c r="V37" s="8"/>
      <c r="W37" s="8"/>
      <c r="X37" s="8"/>
      <c r="Y37" s="8"/>
      <c r="Z37" s="8"/>
    </row>
    <row r="38" ht="15.75" customHeight="1" spans="1:26" x14ac:dyDescent="0.25">
      <c r="A38" s="9"/>
      <c r="B38" s="8"/>
      <c r="C38" s="122"/>
      <c r="D38" s="744"/>
      <c r="E38" s="745"/>
      <c r="F38" s="746"/>
      <c r="G38" s="747"/>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40">
        <f t="shared" ref="D39:G39" si="7">AVERAGE(D32:D38)</f>
        <v>1.1624975</v>
      </c>
      <c r="E39" s="583">
        <f t="shared" si="7"/>
        <v>0.25875825</v>
      </c>
      <c r="F39" s="586">
        <f t="shared" si="7"/>
        <v>0.23811825</v>
      </c>
      <c r="G39" s="740">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40">
        <f t="shared" ref="D40:G40" si="8">MEDIAN(D32:D38)</f>
        <v>1.07573</v>
      </c>
      <c r="E40" s="583">
        <f t="shared" si="8"/>
        <v>0.2852655</v>
      </c>
      <c r="F40" s="586">
        <f t="shared" si="8"/>
        <v>0.23053050000000003</v>
      </c>
      <c r="G40" s="740">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8"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9">
        <f>G39</f>
        <v>0.9879328026922461</v>
      </c>
      <c r="E47" s="750">
        <f>'MM Banking Comparables'!O27</f>
        <v>3.177415</v>
      </c>
      <c r="F47" s="751">
        <f>Tax_Rate</f>
        <v>0</v>
      </c>
      <c r="G47" s="752">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3"/>
      <c r="E49" s="754"/>
      <c r="F49" s="754"/>
      <c r="G49" s="755">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4">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8"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8" t="s">
        <v>405</v>
      </c>
      <c r="D6" s="100" t="s">
        <v>938</v>
      </c>
      <c r="E6" s="100" t="s">
        <v>939</v>
      </c>
      <c r="F6" s="756" t="s">
        <v>940</v>
      </c>
      <c r="G6" s="757" t="s">
        <v>941</v>
      </c>
      <c r="H6" s="8"/>
      <c r="I6" s="8"/>
      <c r="J6" s="8"/>
      <c r="K6" s="8"/>
      <c r="L6" s="758" t="s">
        <v>942</v>
      </c>
      <c r="M6" s="759"/>
      <c r="N6" s="759"/>
      <c r="O6" s="759"/>
      <c r="P6" s="759"/>
      <c r="Q6" s="759"/>
      <c r="R6" s="179"/>
      <c r="S6" s="8"/>
      <c r="T6" s="8"/>
      <c r="U6" s="8"/>
      <c r="V6" s="8"/>
      <c r="W6" s="8"/>
      <c r="X6" s="8"/>
      <c r="Y6" s="8"/>
      <c r="Z6" s="8"/>
      <c r="AA6" s="8"/>
      <c r="AB6" s="8"/>
      <c r="AC6" s="8"/>
      <c r="AD6" s="8"/>
      <c r="AE6" s="8"/>
      <c r="AF6" s="8"/>
      <c r="AG6" s="8"/>
      <c r="AH6" s="8"/>
      <c r="AI6" s="8"/>
      <c r="AJ6" s="8"/>
    </row>
    <row r="7" ht="14.25" customHeight="1" spans="1:36" x14ac:dyDescent="0.25">
      <c r="A7" s="8"/>
      <c r="B7" s="8"/>
      <c r="C7" s="760">
        <f>Diluted_Shares</f>
        <v>222.746</v>
      </c>
      <c r="D7" s="761">
        <f>Share_Price</f>
        <v>38.03</v>
      </c>
      <c r="E7" s="762">
        <f>C7*D7</f>
        <v>8471.03038</v>
      </c>
      <c r="F7" s="762">
        <f>Model!V141-Model!V120</f>
        <v>4147.921606592256</v>
      </c>
      <c r="G7" s="762">
        <f>SUM(E7:F7)</f>
        <v>12618.951986592256</v>
      </c>
      <c r="H7" s="8"/>
      <c r="I7" s="8"/>
      <c r="J7" s="8"/>
      <c r="K7" s="8"/>
      <c r="L7" s="748"/>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3"/>
      <c r="R8" s="205"/>
      <c r="S8" s="8"/>
      <c r="T8" s="8"/>
      <c r="U8" s="8"/>
      <c r="V8" s="8"/>
      <c r="W8" s="8"/>
      <c r="X8" s="8"/>
      <c r="Y8" s="8"/>
      <c r="Z8" s="8"/>
      <c r="AA8" s="8"/>
      <c r="AB8" s="8"/>
      <c r="AC8" s="8"/>
      <c r="AD8" s="8"/>
      <c r="AE8" s="8"/>
      <c r="AF8" s="8"/>
      <c r="AG8" s="8"/>
      <c r="AH8" s="8"/>
      <c r="AI8" s="8"/>
      <c r="AJ8" s="8"/>
    </row>
    <row r="9" ht="14.25" customHeight="1" spans="1:36" x14ac:dyDescent="0.25">
      <c r="A9" s="8"/>
      <c r="B9" s="764" t="str">
        <f>C9</f>
        <v>Middle Market Banking</v>
      </c>
      <c r="C9" s="758" t="s">
        <v>708</v>
      </c>
      <c r="D9" s="759"/>
      <c r="E9" s="759"/>
      <c r="F9" s="759"/>
      <c r="G9" s="759"/>
      <c r="H9" s="759"/>
      <c r="I9" s="759"/>
      <c r="J9" s="759"/>
      <c r="K9" s="8"/>
      <c r="L9" s="765">
        <v>1</v>
      </c>
      <c r="M9" s="766" t="str">
        <f>$G$148&amp;" P/E"</f>
        <v>NTM P/E</v>
      </c>
      <c r="N9" s="122"/>
      <c r="O9" s="122"/>
      <c r="P9" s="122"/>
      <c r="Q9" s="767">
        <f>$F$130</f>
        <v>55.97555413106221</v>
      </c>
      <c r="R9" s="768">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4" t="str">
        <f>C14</f>
        <v>Middle Market Banking</v>
      </c>
      <c r="C10" s="381"/>
      <c r="D10" s="769" t="str">
        <f>Ticker</f>
        <v>JEF</v>
      </c>
      <c r="E10" s="769" t="s">
        <v>149</v>
      </c>
      <c r="F10" s="770" t="str">
        <f>'Multiples Data'!M$6</f>
        <v>Piper Sandler Companies</v>
      </c>
      <c r="G10" s="770" t="str">
        <f>'Multiples Data'!N$6</f>
        <v>Stifel Financial Corp.</v>
      </c>
      <c r="H10" s="770" t="str">
        <f>'Multiples Data'!O$6</f>
        <v>Raymond James Financial, Inc.</v>
      </c>
      <c r="I10" s="770" t="str">
        <f>'Multiples Data'!P$6</f>
        <v>Houlihan Lokey, Inc.</v>
      </c>
      <c r="J10" s="770">
        <f>'Multiples Data'!Q$6</f>
        <v>0</v>
      </c>
      <c r="K10" s="8"/>
      <c r="L10" s="771">
        <v>0</v>
      </c>
      <c r="M10" s="111" t="s">
        <v>17</v>
      </c>
      <c r="N10" s="8"/>
      <c r="O10" s="8"/>
      <c r="P10" s="8"/>
      <c r="Q10" s="763">
        <f>$R$80</f>
        <v>65.73065947484882</v>
      </c>
      <c r="R10" s="205">
        <f>Q10/Share_Price-1</f>
        <v>0.72838967853928</v>
      </c>
      <c r="S10" s="8"/>
      <c r="T10" s="8"/>
      <c r="U10" s="8"/>
      <c r="V10" s="8"/>
      <c r="W10" s="8"/>
      <c r="X10" s="8"/>
      <c r="Y10" s="8"/>
      <c r="Z10" s="8"/>
      <c r="AA10" s="8"/>
      <c r="AB10" s="8"/>
      <c r="AC10" s="8"/>
      <c r="AD10" s="8"/>
      <c r="AE10" s="260" t="s">
        <v>947</v>
      </c>
      <c r="AF10" s="8"/>
      <c r="AG10" s="8"/>
      <c r="AH10" s="8"/>
      <c r="AI10" s="763"/>
      <c r="AJ10" s="205"/>
    </row>
    <row r="11" ht="14.25" customHeight="1" hidden="1" spans="1:36" x14ac:dyDescent="0.25" outlineLevel="1" collapsed="1">
      <c r="A11" s="8"/>
      <c r="B11" s="764" t="str">
        <f>C19</f>
        <v>Middle Market Banking</v>
      </c>
      <c r="C11" s="75" t="s">
        <v>135</v>
      </c>
      <c r="D11" s="772">
        <v>8.3</v>
      </c>
      <c r="E11" s="773">
        <f t="shared" ref="E11:E12" si="0">AVERAGE(F11:J11)</f>
        <v>12.44131492677972</v>
      </c>
      <c r="F11" s="774">
        <f>IF($D$24="LTM",'Multiples Data'!M$86,IF($D$24="NTM",'Multiples Data'!S$86,"N/A"))</f>
        <v>15.9827611737431</v>
      </c>
      <c r="G11" s="774">
        <f>IF($D$24="LTM",'Multiples Data'!N$86,IF($D$24="NTM",'Multiples Data'!T$86,"N/A"))</f>
        <v>11.3482416824152</v>
      </c>
      <c r="H11" s="774">
        <f>IF($D$24="LTM",'Multiples Data'!O$86,IF($D$24="NTM",'Multiples Data'!U$86,"N/A"))</f>
        <v>12.2000647574595</v>
      </c>
      <c r="I11" s="774">
        <f>IF($D$24="LTM",'Multiples Data'!P$86,IF($D$24="NTM",'Multiples Data'!V$86,"N/A"))</f>
        <v>22.6755070202808</v>
      </c>
      <c r="J11" s="774">
        <f>IF($D$24="LTM",'Multiples Data'!Q$86,IF($D$24="NTM",'Multiples Data'!W$86,"N/A"))</f>
        <v>0</v>
      </c>
      <c r="K11" s="8"/>
      <c r="L11" s="8"/>
      <c r="M11" s="260" t="s">
        <v>946</v>
      </c>
      <c r="N11" s="8"/>
      <c r="O11" s="8"/>
      <c r="P11" s="8"/>
      <c r="Q11" s="763"/>
      <c r="R11" s="205"/>
      <c r="S11" s="8"/>
      <c r="T11" s="8"/>
      <c r="U11" s="8"/>
      <c r="V11" s="8"/>
      <c r="W11" s="8"/>
      <c r="X11" s="8"/>
      <c r="Y11" s="8"/>
      <c r="Z11" s="8"/>
      <c r="AA11" s="8"/>
      <c r="AB11" s="8"/>
      <c r="AC11" s="8"/>
      <c r="AD11" s="771">
        <v>0</v>
      </c>
      <c r="AE11" s="111" t="s">
        <v>145</v>
      </c>
      <c r="AF11" s="8"/>
      <c r="AG11" s="8"/>
      <c r="AH11" s="8"/>
      <c r="AI11" s="763" t="e">
        <f>$AB$80</f>
        <v>#NAME?</v>
      </c>
      <c r="AJ11" s="205" t="e">
        <f>AI11/Share_Price-1</f>
        <v>#NAME?</v>
      </c>
    </row>
    <row r="12" ht="14.25" customHeight="1" hidden="1" spans="1:36" x14ac:dyDescent="0.25" outlineLevel="1" collapsed="1">
      <c r="A12" s="8"/>
      <c r="B12" s="764" t="str">
        <f>Company_Name</f>
        <v>Jefferies Financial Group Inc.</v>
      </c>
      <c r="C12" s="75" t="s">
        <v>137</v>
      </c>
      <c r="D12" s="775">
        <f>IF($D$24="LTM",'Multiples Data'!X$86,IF($D$24="NTM",'Multiples Data'!AD$86,"N/A"))</f>
        <v>10.8796</v>
      </c>
      <c r="E12" s="776">
        <f t="shared" si="0"/>
        <v>7.637312835981541</v>
      </c>
      <c r="F12" s="774">
        <f>IF($D$24="LTM",'Multiples Data'!Y$86,IF($D$24="NTM",'Multiples Data'!AE$86,"N/A"))</f>
        <v>8.2095</v>
      </c>
      <c r="G12" s="774">
        <f>IF($D$24="LTM",'Multiples Data'!Z$86,IF($D$24="NTM",'Multiples Data'!AF$86,"N/A"))</f>
        <v>7.7792</v>
      </c>
      <c r="H12" s="774">
        <f>IF($D$24="LTM",'Multiples Data'!AA$86,IF($D$24="NTM",'Multiples Data'!AG$86,"N/A"))</f>
        <v>10.3136</v>
      </c>
      <c r="I12" s="774">
        <f>IF($D$24="LTM",'Multiples Data'!AB$86,IF($D$24="NTM",'Multiples Data'!AH$86,"N/A"))</f>
        <v>11.8842641799077</v>
      </c>
      <c r="J12" s="774">
        <f>IF($D$24="LTM",'Multiples Data'!AC$86,IF($D$24="NTM",'Multiples Data'!AI$86,"N/A"))</f>
        <v>0</v>
      </c>
      <c r="K12" s="8"/>
      <c r="L12" s="765">
        <v>0</v>
      </c>
      <c r="M12" s="766" t="str">
        <f>$G$148&amp;" P/E"</f>
        <v>NTM P/E</v>
      </c>
      <c r="N12" s="122"/>
      <c r="O12" s="122"/>
      <c r="P12" s="122"/>
      <c r="Q12" s="767">
        <f>$F$130</f>
        <v>55.97555413106221</v>
      </c>
      <c r="R12" s="768">
        <f>Q12/Share_Price-1</f>
        <v>0.47187888853700266</v>
      </c>
      <c r="S12" s="8"/>
      <c r="T12" s="8"/>
      <c r="U12" s="8"/>
      <c r="V12" s="8"/>
      <c r="W12" s="8"/>
      <c r="X12" s="8"/>
      <c r="Y12" s="8"/>
      <c r="Z12" s="8"/>
      <c r="AA12" s="8"/>
      <c r="AB12" s="8"/>
      <c r="AC12" s="8"/>
      <c r="AD12" s="771">
        <v>0</v>
      </c>
      <c r="AE12" s="111" t="s">
        <v>17</v>
      </c>
      <c r="AF12" s="8"/>
      <c r="AG12" s="8"/>
      <c r="AH12" s="8"/>
      <c r="AI12" s="763">
        <f>$R$80</f>
        <v>65.73065947484882</v>
      </c>
      <c r="AJ12" s="205">
        <f>AI12/Share_Price-1</f>
        <v>0.72838967853928</v>
      </c>
    </row>
    <row r="13" ht="14.25" customHeight="1" hidden="1" spans="1:36" x14ac:dyDescent="0.25" outlineLevel="1" collapsed="1">
      <c r="A13" s="8"/>
      <c r="B13" s="8"/>
      <c r="C13" s="8"/>
      <c r="D13" s="8"/>
      <c r="E13" s="8"/>
      <c r="F13" s="8"/>
      <c r="G13" s="8"/>
      <c r="H13" s="8"/>
      <c r="I13" s="8"/>
      <c r="J13" s="8"/>
      <c r="K13" s="8"/>
      <c r="L13" s="771">
        <v>0</v>
      </c>
      <c r="M13" s="766" t="str">
        <f>$G$148&amp;" P/E Spread to Comps"</f>
        <v>NTM P/E Spread to Comps</v>
      </c>
      <c r="N13" s="122"/>
      <c r="O13" s="122"/>
      <c r="P13" s="122"/>
      <c r="Q13" s="767">
        <f>$J$130</f>
        <v>46.986241087888615</v>
      </c>
      <c r="R13" s="768">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8" t="str">
        <f>+C9</f>
        <v>Middle Market Banking</v>
      </c>
      <c r="D14" s="759"/>
      <c r="E14" s="759"/>
      <c r="F14" s="759"/>
      <c r="G14" s="759"/>
      <c r="H14" s="759"/>
      <c r="I14" s="759"/>
      <c r="J14" s="179"/>
      <c r="K14" s="8"/>
      <c r="L14" s="771">
        <v>0</v>
      </c>
      <c r="M14" s="111" t="str">
        <f>$G$148&amp;" EV/EBITDA"</f>
        <v>NTM EV/EBITDA</v>
      </c>
      <c r="N14" s="8"/>
      <c r="O14" s="8"/>
      <c r="P14" s="8"/>
      <c r="Q14" s="763">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9" t="str">
        <f>Ticker</f>
        <v>JEF</v>
      </c>
      <c r="E15" s="769" t="s">
        <v>149</v>
      </c>
      <c r="F15" s="770" t="str">
        <f>+F10</f>
        <v>Piper Sandler Companies</v>
      </c>
      <c r="G15" s="770" t="str">
        <f t="shared" ref="G15:J15" si="1">+G10</f>
        <v>Stifel Financial Corp.</v>
      </c>
      <c r="H15" s="770" t="str">
        <f t="shared" si="1"/>
        <v>Raymond James Financial, Inc.</v>
      </c>
      <c r="I15" s="770" t="str">
        <f t="shared" si="1"/>
        <v>Houlihan Lokey, Inc.</v>
      </c>
      <c r="J15" s="770">
        <f t="shared" si="1"/>
        <v>0</v>
      </c>
      <c r="K15" s="8"/>
      <c r="L15" s="771">
        <v>0</v>
      </c>
      <c r="M15" s="111" t="str">
        <f>$G$148&amp;" EV/EBITDA Spread to Comps"</f>
        <v>NTM EV/EBITDA Spread to Comps</v>
      </c>
      <c r="N15" s="8"/>
      <c r="O15" s="8"/>
      <c r="P15" s="8"/>
      <c r="Q15" s="763">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2">
        <v>8.3</v>
      </c>
      <c r="E16" s="773">
        <f t="shared" ref="E16:E17" si="2">AVERAGE(F16:J16)</f>
        <v>16.20704618026362</v>
      </c>
      <c r="F16" s="774">
        <f>IF($D$24="LTM",'Multiples Data'!AM$86,IF($D$24="NTM",'Multiples Data'!AS$86,"N/A"))</f>
        <v>18.0372200865908</v>
      </c>
      <c r="G16" s="774">
        <f>IF($D$24="LTM",'Multiples Data'!AN$86,IF($D$24="NTM",'Multiples Data'!AT$86,"N/A"))</f>
        <v>18.548904045644</v>
      </c>
      <c r="H16" s="774">
        <f>IF($D$24="LTM",'Multiples Data'!AO$86,IF($D$24="NTM",'Multiples Data'!AU$86,"N/A"))</f>
        <v>17.3009847075473</v>
      </c>
      <c r="I16" s="774">
        <f>IF($D$24="LTM",'Multiples Data'!AP$86,IF($D$24="NTM",'Multiples Data'!AV$86,"N/A"))</f>
        <v>15.0214839738927</v>
      </c>
      <c r="J16" s="774">
        <f>IF($D$24="LTM",'Multiples Data'!AQ$86,IF($D$24="NTM",'Multiples Data'!AW$86,"N/A"))</f>
        <v>12.1266380876433</v>
      </c>
      <c r="K16" s="8"/>
      <c r="L16" s="8"/>
      <c r="M16" s="260" t="s">
        <v>948</v>
      </c>
      <c r="N16" s="8"/>
      <c r="O16" s="8"/>
      <c r="P16" s="8"/>
      <c r="Q16" s="763"/>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5">
        <f>D$12</f>
        <v>10.8796</v>
      </c>
      <c r="E17" s="776">
        <f t="shared" si="2"/>
        <v>12.189450395723323</v>
      </c>
      <c r="F17" s="774">
        <f>IF($D$24="LTM",'Multiples Data'!AY$86,IF($D$24="NTM",'Multiples Data'!BE$86,"N/A"))</f>
        <v>12.7838345671624</v>
      </c>
      <c r="G17" s="774">
        <f>IF($D$24="LTM",'Multiples Data'!AZ$86,IF($D$24="NTM",'Multiples Data'!BF$86,"N/A"))</f>
        <v>15.5062457521629</v>
      </c>
      <c r="H17" s="774">
        <f>IF($D$24="LTM",'Multiples Data'!BA$86,IF($D$24="NTM",'Multiples Data'!BG$86,"N/A"))</f>
        <v>11.4931908863573</v>
      </c>
      <c r="I17" s="774">
        <f>IF($D$24="LTM",'Multiples Data'!BB$86,IF($D$24="NTM",'Multiples Data'!BH$86,"N/A"))</f>
        <v>12.2156576237082</v>
      </c>
      <c r="J17" s="774">
        <f>IF($D$24="LTM",'Multiples Data'!BC$86,IF($D$24="NTM",'Multiples Data'!BI$86,"N/A"))</f>
        <v>8.94832314922583</v>
      </c>
      <c r="K17" s="8"/>
      <c r="L17" s="771">
        <v>0</v>
      </c>
      <c r="M17" s="111" t="str">
        <f>$G$226&amp;" P/E"</f>
        <v>NTM P/E</v>
      </c>
      <c r="N17" s="8"/>
      <c r="O17" s="8"/>
      <c r="P17" s="8"/>
      <c r="Q17" s="763">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1">
        <v>0</v>
      </c>
      <c r="M18" s="111" t="str">
        <f>$G$226&amp;" P/E Spread to Comps"</f>
        <v>NTM P/E Spread to Comps</v>
      </c>
      <c r="N18" s="8"/>
      <c r="O18" s="8"/>
      <c r="P18" s="8"/>
      <c r="Q18" s="763">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8" t="s">
        <v>708</v>
      </c>
      <c r="D19" s="759"/>
      <c r="E19" s="759"/>
      <c r="F19" s="759"/>
      <c r="G19" s="759"/>
      <c r="H19" s="759"/>
      <c r="I19" s="759"/>
      <c r="J19" s="179"/>
      <c r="K19" s="8"/>
      <c r="L19" s="771">
        <v>0</v>
      </c>
      <c r="M19" s="111" t="str">
        <f>$G$226&amp;" EV/EBITDA"</f>
        <v>NTM EV/EBITDA</v>
      </c>
      <c r="N19" s="8"/>
      <c r="O19" s="8"/>
      <c r="P19" s="8"/>
      <c r="Q19" s="763">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9" t="str">
        <f>Ticker</f>
        <v>JEF</v>
      </c>
      <c r="E20" s="769" t="s">
        <v>149</v>
      </c>
      <c r="F20" s="770" t="str">
        <f>+F15</f>
        <v>Piper Sandler Companies</v>
      </c>
      <c r="G20" s="770" t="str">
        <f t="shared" ref="G20:J20" si="3">+G15</f>
        <v>Stifel Financial Corp.</v>
      </c>
      <c r="H20" s="770" t="str">
        <f t="shared" si="3"/>
        <v>Raymond James Financial, Inc.</v>
      </c>
      <c r="I20" s="770" t="str">
        <f t="shared" si="3"/>
        <v>Houlihan Lokey, Inc.</v>
      </c>
      <c r="J20" s="770">
        <f t="shared" si="3"/>
        <v>0</v>
      </c>
      <c r="K20" s="8"/>
      <c r="L20" s="771">
        <v>0</v>
      </c>
      <c r="M20" s="111" t="str">
        <f>$G$226&amp;" EV/EBITDA Spread to Comps"</f>
        <v>NTM EV/EBITDA Spread to Comps</v>
      </c>
      <c r="N20" s="8"/>
      <c r="O20" s="8"/>
      <c r="P20" s="8"/>
      <c r="Q20" s="763">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2">
        <v>8.3</v>
      </c>
      <c r="E21" s="773">
        <f t="shared" ref="E21:E22" si="4">AVERAGE(F21:J21)</f>
        <v>16.16874562323472</v>
      </c>
      <c r="F21" s="774">
        <f>IF($D$24="LTM",'Multiples Data'!BM$86,IF($D$24="NTM",'Multiples Data'!BS$86,"N/A"))</f>
        <v>11.0988919387388</v>
      </c>
      <c r="G21" s="774">
        <f>IF($D$24="LTM",'Multiples Data'!BN$86,IF($D$24="NTM",'Multiples Data'!BT$86,"N/A"))</f>
        <v>17.1678038497184</v>
      </c>
      <c r="H21" s="774">
        <f>IF($D$24="LTM",'Multiples Data'!BO$86,IF($D$24="NTM",'Multiples Data'!BU$86,"N/A"))</f>
        <v>15.3184158666614</v>
      </c>
      <c r="I21" s="774">
        <f>IF($D$24="LTM",'Multiples Data'!BP$86,IF($D$24="NTM",'Multiples Data'!BV$86,"N/A"))</f>
        <v>20.2337090247079</v>
      </c>
      <c r="J21" s="774">
        <f>IF($D$24="LTM",'Multiples Data'!BQ$86,IF($D$24="NTM",'Multiples Data'!BW$86,"N/A"))</f>
        <v>17.0249074363471</v>
      </c>
      <c r="K21" s="8"/>
      <c r="L21" s="8"/>
      <c r="M21" s="260" t="s">
        <v>949</v>
      </c>
      <c r="N21" s="8"/>
      <c r="O21" s="8"/>
      <c r="P21" s="8"/>
      <c r="Q21" s="763"/>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5">
        <f>D$12</f>
        <v>10.8796</v>
      </c>
      <c r="E22" s="776">
        <f t="shared" si="4"/>
        <v>11.6208901847341</v>
      </c>
      <c r="F22" s="774">
        <f>IF($D$24="LTM",'Multiples Data'!BY$86,IF($D$24="NTM",'Multiples Data'!CE$86,"N/A"))</f>
        <v>6.6876218938895</v>
      </c>
      <c r="G22" s="774">
        <f>IF($D$24="LTM",'Multiples Data'!BZ$86,IF($D$24="NTM",'Multiples Data'!CF$86,"N/A"))</f>
        <v>13.0119608316293</v>
      </c>
      <c r="H22" s="774">
        <f>IF($D$24="LTM",'Multiples Data'!CA$86,IF($D$24="NTM",'Multiples Data'!CG$86,"N/A"))</f>
        <v>12.4521138558247</v>
      </c>
      <c r="I22" s="774">
        <f>IF($D$24="LTM",'Multiples Data'!CB$86,IF($D$24="NTM",'Multiples Data'!CH$86,"N/A"))</f>
        <v>14.1638045774507</v>
      </c>
      <c r="J22" s="774">
        <f>IF($D$24="LTM",'Multiples Data'!CC$86,IF($D$24="NTM",'Multiples Data'!CI$86,"N/A"))</f>
        <v>11.7889497648763</v>
      </c>
      <c r="K22" s="8"/>
      <c r="L22" s="771">
        <v>0</v>
      </c>
      <c r="M22" s="777" t="str">
        <f>D24&amp;" EV/EBITDA"</f>
        <v>NTM EV/EBITDA</v>
      </c>
      <c r="N22" s="122"/>
      <c r="O22" s="122"/>
      <c r="P22" s="122"/>
      <c r="Q22" s="767" t="e">
        <f>$R$288</f>
        <v>#REF!</v>
      </c>
      <c r="R22" s="768"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4"/>
      <c r="E23" s="774"/>
      <c r="F23" s="774"/>
      <c r="G23" s="774"/>
      <c r="H23" s="774"/>
      <c r="I23" s="774"/>
      <c r="J23" s="774"/>
      <c r="K23" s="8"/>
      <c r="L23" s="205"/>
      <c r="M23" s="8" t="s">
        <v>950</v>
      </c>
      <c r="N23" s="8"/>
      <c r="O23" s="8"/>
      <c r="P23" s="8"/>
      <c r="Q23" s="763">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4"/>
      <c r="I24" s="774"/>
      <c r="J24" s="774"/>
      <c r="K24" s="8"/>
      <c r="L24" s="300"/>
      <c r="M24" s="8" t="s">
        <v>953</v>
      </c>
      <c r="N24" s="8"/>
      <c r="O24" s="778"/>
      <c r="P24" s="8"/>
      <c r="Q24" s="763">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4"/>
      <c r="I25" s="774"/>
      <c r="J25" s="774"/>
      <c r="K25" s="8"/>
      <c r="L25" s="300"/>
      <c r="M25" s="8"/>
      <c r="N25" s="8"/>
      <c r="O25" s="778"/>
      <c r="P25" s="8"/>
      <c r="Q25" s="763"/>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9">
        <v>1</v>
      </c>
      <c r="O26" s="779">
        <f t="shared" ref="O26:R26" si="5">N26+1</f>
        <v>2</v>
      </c>
      <c r="P26" s="779">
        <f t="shared" si="5"/>
        <v>3</v>
      </c>
      <c r="Q26" s="779">
        <f t="shared" si="5"/>
        <v>4</v>
      </c>
      <c r="R26" s="779">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9"/>
      <c r="O27" s="779"/>
      <c r="P27" s="779"/>
      <c r="Q27" s="779"/>
      <c r="R27" s="779"/>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80"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1"/>
      <c r="B29" s="782"/>
      <c r="C29" s="783"/>
      <c r="D29" s="784"/>
      <c r="E29" s="784"/>
      <c r="F29" s="784"/>
      <c r="G29" s="785">
        <f t="shared" ref="G29:H29" si="9">H29-1</f>
        <v>2023</v>
      </c>
      <c r="H29" s="785">
        <f t="shared" si="9"/>
        <v>2024</v>
      </c>
      <c r="I29" s="785">
        <f>YEAR(Last_FYE)</f>
        <v>2025</v>
      </c>
      <c r="J29" s="785">
        <f>I29+1</f>
        <v>2026</v>
      </c>
      <c r="K29" s="785">
        <f t="shared" ref="K29:N29" si="10">J29</f>
        <v>2026</v>
      </c>
      <c r="L29" s="785">
        <f t="shared" si="10"/>
        <v>2026</v>
      </c>
      <c r="M29" s="785">
        <f t="shared" si="10"/>
        <v>2026</v>
      </c>
      <c r="N29" s="785">
        <f t="shared" si="10"/>
        <v>2026</v>
      </c>
      <c r="O29" s="785">
        <f t="shared" ref="O29:R29" si="11">N29+1</f>
        <v>2027</v>
      </c>
      <c r="P29" s="785">
        <f t="shared" si="11"/>
        <v>2028</v>
      </c>
      <c r="Q29" s="785">
        <f t="shared" si="11"/>
        <v>2029</v>
      </c>
      <c r="R29" s="786">
        <f t="shared" si="11"/>
        <v>2030</v>
      </c>
      <c r="S29" s="781"/>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7"/>
      <c r="K30" s="788"/>
      <c r="L30" s="788"/>
      <c r="M30" s="789"/>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0</v>
      </c>
      <c r="H31" s="279">
        <f>Model!O28</f>
        <v>0</v>
      </c>
      <c r="I31" s="279">
        <f>Model!T28</f>
        <v>0</v>
      </c>
      <c r="J31" s="790">
        <f>Model!U28</f>
        <v>0</v>
      </c>
      <c r="K31" s="791">
        <f>Model!V28</f>
        <v>0</v>
      </c>
      <c r="L31" s="791">
        <f>Model!W28</f>
        <v>0</v>
      </c>
      <c r="M31" s="792">
        <f>Model!X28</f>
        <v>0</v>
      </c>
      <c r="N31" s="279">
        <f>Model!Y28</f>
        <v>0</v>
      </c>
      <c r="O31" s="279">
        <f>Model!AD28</f>
        <v>0</v>
      </c>
      <c r="P31" s="279">
        <f>Model!AE28</f>
        <v>0</v>
      </c>
      <c r="Q31" s="279">
        <f>Model!AF28</f>
        <v>0</v>
      </c>
      <c r="R31" s="279">
        <f>Model!AG28</f>
        <v>0</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0</v>
      </c>
      <c r="H32" s="325">
        <f>Model!O61</f>
        <v>0</v>
      </c>
      <c r="I32" s="325">
        <f>Model!T61</f>
        <v>-6280.481000000001</v>
      </c>
      <c r="J32" s="793">
        <f>Model!U61</f>
        <v>317.7474021812499</v>
      </c>
      <c r="K32" s="794">
        <f>Model!V61</f>
        <v>330.58978982500014</v>
      </c>
      <c r="L32" s="794">
        <f>Model!W61</f>
        <v>385.67599661250017</v>
      </c>
      <c r="M32" s="795">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0</v>
      </c>
      <c r="H33" s="325">
        <f>Model!O36</f>
        <v>0</v>
      </c>
      <c r="I33" s="325">
        <f>Model!T36</f>
        <v>-6472.762000000001</v>
      </c>
      <c r="J33" s="793">
        <f>Model!U36</f>
        <v>-1.5914062500000004</v>
      </c>
      <c r="K33" s="794">
        <f>Model!V36</f>
        <v>-4.846875000000001</v>
      </c>
      <c r="L33" s="794">
        <f>Model!W36</f>
        <v>-8.4453125</v>
      </c>
      <c r="M33" s="795">
        <f>Model!X36</f>
        <v>-11.309375000000003</v>
      </c>
      <c r="N33" s="325">
        <f>Model!Y36</f>
        <v>-26.192968750000006</v>
      </c>
      <c r="O33" s="325">
        <f>Model!AD36</f>
        <v>-81.43931249999999</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6">
        <f>Model!U44</f>
        <v>-63.48614163583124</v>
      </c>
      <c r="K34" s="797">
        <f>Model!V44</f>
        <v>-78.29080513562924</v>
      </c>
      <c r="L34" s="797">
        <f>Model!W44</f>
        <v>-92.41122513638815</v>
      </c>
      <c r="M34" s="798">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0</v>
      </c>
      <c r="H35" s="279">
        <f>Model!O51</f>
        <v>0</v>
      </c>
      <c r="I35" s="279">
        <f>Model!T51</f>
        <v>-6472.762000000001</v>
      </c>
      <c r="J35" s="790">
        <f>Model!U51</f>
        <v>209.0767230454187</v>
      </c>
      <c r="K35" s="791">
        <f>Model!V51</f>
        <v>206.34267788238338</v>
      </c>
      <c r="L35" s="791">
        <f>Model!W51</f>
        <v>247.16552636706768</v>
      </c>
      <c r="M35" s="792">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7" t="e">
        <f t="shared" ref="H36:I36" si="12">H35/G35-1</f>
        <v>#DIV/0!</v>
      </c>
      <c r="I36" s="487" t="e">
        <f t="shared" si="12"/>
        <v>#DIV/0!</v>
      </c>
      <c r="J36" s="799"/>
      <c r="K36" s="800"/>
      <c r="L36" s="800"/>
      <c r="M36" s="801"/>
      <c r="N36" s="487">
        <f>N35/I35-1</f>
        <v>0.4070537148212521</v>
      </c>
      <c r="O36" s="487">
        <f t="shared" ref="O36:R36" si="13">O35/N35-1</f>
        <v>0.3251638555178391</v>
      </c>
      <c r="P36" s="487">
        <f t="shared" si="13"/>
        <v>-0.04317061344584172</v>
      </c>
      <c r="Q36" s="487">
        <f t="shared" si="13"/>
        <v>0.055093585872885154</v>
      </c>
      <c r="R36" s="487">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7"/>
      <c r="I37" s="279"/>
      <c r="J37" s="799"/>
      <c r="K37" s="800"/>
      <c r="L37" s="800"/>
      <c r="M37" s="801"/>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0</v>
      </c>
      <c r="H38" s="279">
        <f t="shared" ref="H38:J38" si="14">H35-H37</f>
        <v>0</v>
      </c>
      <c r="I38" s="279">
        <f t="shared" si="14"/>
        <v>-6472.762000000001</v>
      </c>
      <c r="J38" s="802">
        <f t="shared" si="14"/>
        <v>209.0767230454187</v>
      </c>
      <c r="K38" s="802">
        <f t="shared" ref="K38" si="15">K35-K37</f>
        <v>206.34267788238338</v>
      </c>
      <c r="L38" s="802">
        <f t="shared" ref="L38" si="16">L35-L37</f>
        <v>247.16552636706768</v>
      </c>
      <c r="M38" s="802">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2"/>
      <c r="K39" s="802"/>
      <c r="L39" s="802"/>
      <c r="M39" s="802"/>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7"/>
      <c r="K40" s="788"/>
      <c r="L40" s="788"/>
      <c r="M40" s="789"/>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3">
        <f>-Model!U34</f>
        <v>0</v>
      </c>
      <c r="K41" s="794">
        <f>-Model!V34</f>
        <v>0</v>
      </c>
      <c r="L41" s="794">
        <f>-Model!W34</f>
        <v>0</v>
      </c>
      <c r="M41" s="795">
        <f>-Model!X34</f>
        <v>0</v>
      </c>
      <c r="N41" s="325">
        <f>-Model!Y34</f>
        <v>0</v>
      </c>
      <c r="O41" s="325">
        <f>-Model!AD34</f>
        <v>0</v>
      </c>
      <c r="P41" s="325">
        <f>-Model!AE34</f>
        <v>0</v>
      </c>
      <c r="Q41" s="325">
        <f>-Model!AF34</f>
        <v>0</v>
      </c>
      <c r="R41" s="325">
        <f>-Model!AG34</f>
        <v>0</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3" t="e">
        <f>Model!U249</f>
        <v>#DIV/0!</v>
      </c>
      <c r="K42" s="794" t="e">
        <f>Model!V249</f>
        <v>#DIV/0!</v>
      </c>
      <c r="L42" s="794" t="e">
        <f>Model!W249</f>
        <v>#DIV/0!</v>
      </c>
      <c r="M42" s="795" t="e">
        <f>Model!X249</f>
        <v>#DIV/0!</v>
      </c>
      <c r="N42" s="325" t="e">
        <f>Model!Y249</f>
        <v>#DIV/0!</v>
      </c>
      <c r="O42" s="325" t="e">
        <f>Model!AD249</f>
        <v>#DIV/0!</v>
      </c>
      <c r="P42" s="325" t="e">
        <f>Model!AE249</f>
        <v>#DIV/0!</v>
      </c>
      <c r="Q42" s="325" t="e">
        <f>Model!AF249</f>
        <v>#DIV/0!</v>
      </c>
      <c r="R42" s="325" t="e">
        <f>Model!AG249</f>
        <v>#DIV/0!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3">
        <f>-Model!U196</f>
        <v>0</v>
      </c>
      <c r="K43" s="794">
        <f>-Model!V196</f>
        <v>0</v>
      </c>
      <c r="L43" s="794">
        <f>-Model!W196</f>
        <v>0</v>
      </c>
      <c r="M43" s="795">
        <f>-Model!X196</f>
        <v>0</v>
      </c>
      <c r="N43" s="325">
        <f>-Model!Y196</f>
        <v>0</v>
      </c>
      <c r="O43" s="325">
        <f>-Model!AD196</f>
        <v>0</v>
      </c>
      <c r="P43" s="325">
        <f>-Model!AE196</f>
        <v>0</v>
      </c>
      <c r="Q43" s="325">
        <f>-Model!AF196</f>
        <v>0</v>
      </c>
      <c r="R43" s="325">
        <f>-Model!AG196</f>
        <v>0</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3">
        <f>Model!U40</f>
        <v>0</v>
      </c>
      <c r="K44" s="794">
        <f>Model!V40</f>
        <v>0</v>
      </c>
      <c r="L44" s="794">
        <f>Model!W40</f>
        <v>0</v>
      </c>
      <c r="M44" s="795">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3">
        <f>Model!U110</f>
        <v>0</v>
      </c>
      <c r="K45" s="794">
        <f>Model!V110</f>
        <v>-10.795777199999975</v>
      </c>
      <c r="L45" s="794">
        <f>Model!W110</f>
        <v>-563.6907605999995</v>
      </c>
      <c r="M45" s="795">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3">
        <f>Model!U79</f>
        <v>0</v>
      </c>
      <c r="K46" s="794">
        <f>Model!V79</f>
        <v>0</v>
      </c>
      <c r="L46" s="794">
        <f>Model!W79</f>
        <v>0</v>
      </c>
      <c r="M46" s="795">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7"/>
      <c r="K47" s="788"/>
      <c r="L47" s="788"/>
      <c r="M47" s="789"/>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3">
        <f>Model!U270</f>
        <v>111.24</v>
      </c>
      <c r="K48" s="804">
        <f>Model!V270</f>
        <v>113.27999999999999</v>
      </c>
      <c r="L48" s="804">
        <f>Model!W270</f>
        <v>112.20000000000003</v>
      </c>
      <c r="M48" s="805">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7"/>
      <c r="I49" s="487"/>
      <c r="J49" s="799"/>
      <c r="K49" s="800"/>
      <c r="L49" s="800"/>
      <c r="M49" s="801"/>
      <c r="N49" s="487"/>
      <c r="O49" s="487">
        <f t="shared" ref="O49:R49" si="22">O48/N48-1</f>
        <v>0.19999999999999996</v>
      </c>
      <c r="P49" s="487">
        <f t="shared" si="22"/>
        <v>0.18999999999999995</v>
      </c>
      <c r="Q49" s="487">
        <f t="shared" si="22"/>
        <v>0.1499999999999999</v>
      </c>
      <c r="R49" s="487">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9">
        <f t="shared" ref="J50:R50" si="23">J48/J35</f>
        <v>0.5320534891673944</v>
      </c>
      <c r="K50" s="800">
        <f t="shared" si="23"/>
        <v>0.5489896766027739</v>
      </c>
      <c r="L50" s="800">
        <f t="shared" si="23"/>
        <v>0.4539468009522122</v>
      </c>
      <c r="M50" s="801">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7"/>
      <c r="K51" s="788"/>
      <c r="L51" s="788"/>
      <c r="M51" s="789"/>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3">
        <f>IF(J27=4,0,J48)</f>
        <v>111.24</v>
      </c>
      <c r="K52" s="804">
        <f>IF(K27=4,0,K48)</f>
        <v>113.27999999999999</v>
      </c>
      <c r="L52" s="804">
        <f>IF(L27=4,0,L48)</f>
        <v>112.20000000000003</v>
      </c>
      <c r="M52" s="805">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7"/>
      <c r="K53" s="788"/>
      <c r="L53" s="788"/>
      <c r="M53" s="789"/>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7"/>
      <c r="K54" s="788"/>
      <c r="L54" s="788"/>
      <c r="M54" s="789"/>
      <c r="N54" s="806">
        <f>YEARFRAC(Current_Date,Next_FYE)</f>
        <v>0.725</v>
      </c>
      <c r="O54" s="806">
        <f t="shared" ref="O54:R54" si="25">N54+1</f>
        <v>1.725</v>
      </c>
      <c r="P54" s="806">
        <f t="shared" si="25"/>
        <v>2.725</v>
      </c>
      <c r="Q54" s="806">
        <f t="shared" si="25"/>
        <v>3.725</v>
      </c>
      <c r="R54" s="806">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7"/>
      <c r="K55" s="788"/>
      <c r="L55" s="788"/>
      <c r="M55" s="789"/>
      <c r="N55" s="806">
        <f>N54/2</f>
        <v>0.3625</v>
      </c>
      <c r="O55" s="806">
        <f t="shared" ref="O55:R55" si="26">O54-0.5</f>
        <v>1.225</v>
      </c>
      <c r="P55" s="806">
        <f t="shared" si="26"/>
        <v>2.225</v>
      </c>
      <c r="Q55" s="806">
        <f t="shared" si="26"/>
        <v>3.225</v>
      </c>
      <c r="R55" s="806">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7"/>
      <c r="K56" s="788"/>
      <c r="L56" s="788"/>
      <c r="M56" s="789"/>
      <c r="N56" s="806">
        <f t="shared" ref="N56:R56" si="27">IF($G$87="Yes",1/(1+$G$88)^N55,1/(1+$G$88)^N54)</f>
        <v>0.9752362353240683</v>
      </c>
      <c r="O56" s="806">
        <f t="shared" si="27"/>
        <v>0.9187529224327053</v>
      </c>
      <c r="P56" s="806">
        <f t="shared" si="27"/>
        <v>0.8573474951558363</v>
      </c>
      <c r="Q56" s="806">
        <f t="shared" si="27"/>
        <v>0.8000461380886933</v>
      </c>
      <c r="R56" s="806">
        <f t="shared" si="27"/>
        <v>0.7465745531271297</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7"/>
      <c r="K57" s="788"/>
      <c r="L57" s="788"/>
      <c r="M57" s="789"/>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3"/>
      <c r="K58" s="804"/>
      <c r="L58" s="804"/>
      <c r="M58" s="805"/>
      <c r="N58" s="395">
        <f t="shared" ref="N58:R58" si="28">N52*N56</f>
        <v>437.83815926615245</v>
      </c>
      <c r="O58" s="395">
        <f t="shared" si="28"/>
        <v>494.9755644524372</v>
      </c>
      <c r="P58" s="395">
        <f t="shared" si="28"/>
        <v>549.6533393062422</v>
      </c>
      <c r="Q58" s="395">
        <f t="shared" si="28"/>
        <v>589.8544510444035</v>
      </c>
      <c r="R58" s="417">
        <f t="shared" si="28"/>
        <v>605.474275115712</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7"/>
      <c r="K59" s="788"/>
      <c r="L59" s="788"/>
      <c r="M59" s="789"/>
      <c r="N59" s="8"/>
      <c r="O59" s="487">
        <f t="shared" ref="O59:R59" si="29">O58/N58-1</f>
        <v>0.13049891604251918</v>
      </c>
      <c r="P59" s="487">
        <f t="shared" si="29"/>
        <v>0.11046560432592623</v>
      </c>
      <c r="Q59" s="487">
        <f t="shared" si="29"/>
        <v>0.07313902939060113</v>
      </c>
      <c r="R59" s="487">
        <f t="shared" si="29"/>
        <v>0.026480810721444703</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7">
        <f>R38</f>
        <v>981.6020375281521</v>
      </c>
      <c r="L63" s="8"/>
      <c r="M63" s="8"/>
      <c r="N63" s="186" t="s">
        <v>968</v>
      </c>
      <c r="O63" s="8"/>
      <c r="P63" s="8"/>
      <c r="Q63" s="8"/>
      <c r="R63" s="808">
        <f>R52</f>
        <v>811.00309752</v>
      </c>
      <c r="S63" s="8"/>
      <c r="T63" s="8"/>
      <c r="U63" s="8"/>
      <c r="V63" s="8"/>
      <c r="W63" s="187"/>
      <c r="X63" s="8" t="s">
        <v>967</v>
      </c>
      <c r="Y63" s="8"/>
      <c r="Z63" s="8"/>
      <c r="AA63" s="8"/>
      <c r="AB63" s="807">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9">
        <f>IF(Case_Scenario="Bear",Valuation!J88,IF(Case_Scenario="Base",Valuation!J89,IF(Case_Scenario="Bull",Valuation!J90,"Error")))</f>
        <v>8</v>
      </c>
      <c r="L64" s="8"/>
      <c r="M64" s="8"/>
      <c r="N64" s="186" t="s">
        <v>970</v>
      </c>
      <c r="O64" s="8"/>
      <c r="P64" s="8"/>
      <c r="Q64" s="8"/>
      <c r="R64" s="810">
        <f>G90</f>
        <v>0.02</v>
      </c>
      <c r="S64" s="8"/>
      <c r="T64" s="8"/>
      <c r="U64" s="8"/>
      <c r="V64" s="8"/>
      <c r="W64" s="187"/>
      <c r="X64" s="8" t="s">
        <v>969</v>
      </c>
      <c r="Y64" s="8"/>
      <c r="Z64" s="8"/>
      <c r="AA64" s="8"/>
      <c r="AB64" s="809"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1">
        <f>K63*K64</f>
        <v>7852.816300225217</v>
      </c>
      <c r="L65" s="8"/>
      <c r="M65" s="8"/>
      <c r="N65" s="186" t="s">
        <v>971</v>
      </c>
      <c r="O65" s="8"/>
      <c r="P65" s="8"/>
      <c r="Q65" s="8"/>
      <c r="R65" s="811">
        <f>(R63*(1+R64))/(Discount_Rate-R64)</f>
        <v>16024.44877887841</v>
      </c>
      <c r="S65" s="8"/>
      <c r="T65" s="8"/>
      <c r="U65" s="8"/>
      <c r="V65" s="8"/>
      <c r="W65" s="187"/>
      <c r="X65" s="8" t="s">
        <v>971</v>
      </c>
      <c r="Y65" s="8"/>
      <c r="Z65" s="8"/>
      <c r="AA65" s="8"/>
      <c r="AB65" s="811"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1">
        <f>K65*R56</f>
        <v>6019.431507667763</v>
      </c>
      <c r="L66" s="8"/>
      <c r="M66" s="8"/>
      <c r="N66" s="186" t="s">
        <v>972</v>
      </c>
      <c r="O66" s="8"/>
      <c r="P66" s="8"/>
      <c r="Q66" s="8"/>
      <c r="R66" s="811">
        <f>R65*R56</f>
        <v>11963.445686199728</v>
      </c>
      <c r="S66" s="8"/>
      <c r="T66" s="8"/>
      <c r="U66" s="8"/>
      <c r="V66" s="8"/>
      <c r="W66" s="187"/>
      <c r="X66" s="8" t="s">
        <v>972</v>
      </c>
      <c r="Y66" s="8"/>
      <c r="Z66" s="8"/>
      <c r="AA66" s="8"/>
      <c r="AB66" s="811"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1">
        <f>SUM(N58:R58)</f>
        <v>2677.7957891849474</v>
      </c>
      <c r="L67" s="8"/>
      <c r="M67" s="8"/>
      <c r="N67" s="186" t="s">
        <v>974</v>
      </c>
      <c r="O67" s="8"/>
      <c r="P67" s="8"/>
      <c r="Q67" s="8"/>
      <c r="R67" s="811">
        <f>SUM(N58:R58)</f>
        <v>2677.7957891849474</v>
      </c>
      <c r="S67" s="8"/>
      <c r="T67" s="8"/>
      <c r="U67" s="8"/>
      <c r="V67" s="8"/>
      <c r="W67" s="187"/>
      <c r="X67" s="8" t="s">
        <v>974</v>
      </c>
      <c r="Y67" s="8"/>
      <c r="Z67" s="8"/>
      <c r="AA67" s="8"/>
      <c r="AB67" s="811">
        <f>SUM(N58:R58)</f>
        <v>2677.7957891849474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2">
        <f>K66+K67</f>
        <v>8737.892499186048</v>
      </c>
      <c r="L69" s="8"/>
      <c r="M69" s="8"/>
      <c r="N69" s="188" t="s">
        <v>10</v>
      </c>
      <c r="O69" s="123"/>
      <c r="P69" s="123"/>
      <c r="Q69" s="123"/>
      <c r="R69" s="812">
        <f>R66+R67</f>
        <v>14641.241475384675</v>
      </c>
      <c r="S69" s="8"/>
      <c r="T69" s="8"/>
      <c r="U69" s="8"/>
      <c r="V69" s="8"/>
      <c r="W69" s="187"/>
      <c r="X69" s="123" t="s">
        <v>10</v>
      </c>
      <c r="Y69" s="123"/>
      <c r="Z69" s="123"/>
      <c r="AA69" s="123"/>
      <c r="AB69" s="812"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3">
        <f>IF(Last_FQR="1Q",Model!$U$120,IF(Last_FQR="2Q",Model!$V$120,IF(Last_FQR="3Q",Model!$W$120,Model!$X$120)))</f>
        <v>9605.263504524113</v>
      </c>
      <c r="L70" s="8"/>
      <c r="M70" s="8"/>
      <c r="N70" s="186" t="s">
        <v>975</v>
      </c>
      <c r="O70" s="8"/>
      <c r="P70" s="8"/>
      <c r="Q70" s="8"/>
      <c r="R70" s="811">
        <f t="shared" ref="R70:R75" si="30">K70</f>
        <v>9605.263504524113</v>
      </c>
      <c r="S70" s="8"/>
      <c r="T70" s="8"/>
      <c r="U70" s="8"/>
      <c r="V70" s="8"/>
      <c r="W70" s="187"/>
      <c r="X70" s="8" t="s">
        <v>975</v>
      </c>
      <c r="Y70" s="8"/>
      <c r="Z70" s="8"/>
      <c r="AA70" s="8"/>
      <c r="AB70" s="813">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3">
        <f>WACC!$M$8</f>
        <v>0.1</v>
      </c>
      <c r="L71" s="8"/>
      <c r="M71" s="8"/>
      <c r="N71" s="186" t="s">
        <v>976</v>
      </c>
      <c r="O71" s="8"/>
      <c r="P71" s="8"/>
      <c r="Q71" s="8"/>
      <c r="R71" s="811">
        <f t="shared" si="30"/>
        <v>0.1</v>
      </c>
      <c r="S71" s="8"/>
      <c r="T71" s="8"/>
      <c r="U71" s="8"/>
      <c r="V71" s="8"/>
      <c r="W71" s="187"/>
      <c r="X71" s="8" t="s">
        <v>976</v>
      </c>
      <c r="Y71" s="8"/>
      <c r="Z71" s="8"/>
      <c r="AA71" s="8"/>
      <c r="AB71" s="813">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3">
        <f>-IF(Last_FQR="1Q",Model!$U$140+Model!$U$141,IF(Last_FQR="2Q",Model!$V$140+Model!$V$141,IF(Last_FQR="3Q",Model!$W$140+Model!$W$141,Model!$X$140+Model!$X$141)))</f>
        <v>-16895.891</v>
      </c>
      <c r="L72" s="8"/>
      <c r="M72" s="8"/>
      <c r="N72" s="186" t="s">
        <v>977</v>
      </c>
      <c r="O72" s="8"/>
      <c r="P72" s="8"/>
      <c r="Q72" s="8"/>
      <c r="R72" s="811">
        <f t="shared" si="30"/>
        <v>-16895.891</v>
      </c>
      <c r="S72" s="8"/>
      <c r="T72" s="8"/>
      <c r="U72" s="8"/>
      <c r="V72" s="8"/>
      <c r="W72" s="187"/>
      <c r="X72" s="8" t="s">
        <v>977</v>
      </c>
      <c r="Y72" s="8"/>
      <c r="Z72" s="8"/>
      <c r="AA72" s="8"/>
      <c r="AB72" s="813">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4">
        <v>0</v>
      </c>
      <c r="L73" s="8"/>
      <c r="M73" s="8"/>
      <c r="N73" s="186" t="s">
        <v>978</v>
      </c>
      <c r="O73" s="8"/>
      <c r="P73" s="8"/>
      <c r="Q73" s="8"/>
      <c r="R73" s="811">
        <f t="shared" si="30"/>
        <v>0</v>
      </c>
      <c r="S73" s="8"/>
      <c r="T73" s="8"/>
      <c r="U73" s="8"/>
      <c r="V73" s="8"/>
      <c r="W73" s="187"/>
      <c r="X73" s="8" t="s">
        <v>978</v>
      </c>
      <c r="Y73" s="8"/>
      <c r="Z73" s="8"/>
      <c r="AA73" s="8"/>
      <c r="AB73" s="814">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3">
        <f>-IF(Last_FQR="1Q",Model!$U$154,IF(Last_FQR="2Q",Model!$V$154,IF(Last_FQR="3Q",Model!$W$154,Model!$X$154)))</f>
        <v>0</v>
      </c>
      <c r="L74" s="8"/>
      <c r="M74" s="8"/>
      <c r="N74" s="186" t="s">
        <v>979</v>
      </c>
      <c r="O74" s="8"/>
      <c r="P74" s="8"/>
      <c r="Q74" s="8"/>
      <c r="R74" s="811">
        <f t="shared" si="30"/>
        <v>0</v>
      </c>
      <c r="S74" s="8"/>
      <c r="T74" s="8"/>
      <c r="U74" s="8"/>
      <c r="V74" s="8"/>
      <c r="W74" s="187"/>
      <c r="X74" s="8" t="s">
        <v>979</v>
      </c>
      <c r="Y74" s="8"/>
      <c r="Z74" s="8"/>
      <c r="AA74" s="8"/>
      <c r="AB74" s="813">
        <f>-Model!$V$154</f>
        <v>0</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4">
        <v>0</v>
      </c>
      <c r="L75" s="8"/>
      <c r="M75" s="8"/>
      <c r="N75" s="186" t="s">
        <v>980</v>
      </c>
      <c r="O75" s="8"/>
      <c r="P75" s="8"/>
      <c r="Q75" s="8"/>
      <c r="R75" s="811">
        <f t="shared" si="30"/>
        <v>0</v>
      </c>
      <c r="S75" s="8"/>
      <c r="T75" s="8"/>
      <c r="U75" s="8"/>
      <c r="V75" s="8"/>
      <c r="W75" s="187"/>
      <c r="X75" s="8" t="s">
        <v>980</v>
      </c>
      <c r="Y75" s="8"/>
      <c r="Z75" s="8"/>
      <c r="AA75" s="8"/>
      <c r="AB75" s="814">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2">
        <f>SUM(K66:K67)</f>
        <v>8737.892499186048</v>
      </c>
      <c r="L76" s="8"/>
      <c r="M76" s="8"/>
      <c r="N76" s="188" t="s">
        <v>13</v>
      </c>
      <c r="O76" s="123"/>
      <c r="P76" s="123"/>
      <c r="Q76" s="123"/>
      <c r="R76" s="812">
        <f>SUM(R66:R67)</f>
        <v>14641.241475384675</v>
      </c>
      <c r="S76" s="8"/>
      <c r="T76" s="8"/>
      <c r="U76" s="8"/>
      <c r="V76" s="8"/>
      <c r="W76" s="187"/>
      <c r="X76" s="123" t="s">
        <v>13</v>
      </c>
      <c r="Y76" s="123"/>
      <c r="Z76" s="123"/>
      <c r="AA76" s="123"/>
      <c r="AB76" s="812"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5">
        <f>Diluted_Shares</f>
        <v>222.746</v>
      </c>
      <c r="L78" s="8"/>
      <c r="M78" s="8"/>
      <c r="N78" s="186" t="s">
        <v>981</v>
      </c>
      <c r="O78" s="8"/>
      <c r="P78" s="8"/>
      <c r="Q78" s="8"/>
      <c r="R78" s="816">
        <f>K78</f>
        <v>222.746</v>
      </c>
      <c r="S78" s="8"/>
      <c r="T78" s="8"/>
      <c r="U78" s="8"/>
      <c r="V78" s="8"/>
      <c r="W78" s="187"/>
      <c r="X78" s="8" t="s">
        <v>981</v>
      </c>
      <c r="Y78" s="8"/>
      <c r="Z78" s="8"/>
      <c r="AA78" s="8"/>
      <c r="AB78" s="815">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7">
        <f>K76/K78</f>
        <v>39.228055719007514</v>
      </c>
      <c r="L80" s="8"/>
      <c r="M80" s="8"/>
      <c r="N80" s="188" t="s">
        <v>15</v>
      </c>
      <c r="O80" s="123"/>
      <c r="P80" s="123"/>
      <c r="Q80" s="123"/>
      <c r="R80" s="817">
        <f>R76/R78</f>
        <v>65.73065947484882</v>
      </c>
      <c r="S80" s="8"/>
      <c r="T80" s="8"/>
      <c r="U80" s="8"/>
      <c r="V80" s="8"/>
      <c r="W80" s="187"/>
      <c r="X80" s="123" t="s">
        <v>15</v>
      </c>
      <c r="Y80" s="123"/>
      <c r="Z80" s="123"/>
      <c r="AA80" s="123"/>
      <c r="AB80" s="817" t="e">
        <f>AB76/AB78</f>
        <v>#NAME?</v>
      </c>
      <c r="AC80" s="8"/>
      <c r="AD80" s="8"/>
      <c r="AE80" s="8"/>
      <c r="AF80" s="8"/>
      <c r="AG80" s="8"/>
      <c r="AH80" s="8"/>
      <c r="AI80" s="8"/>
      <c r="AJ80" s="8"/>
    </row>
    <row r="81" ht="15.75" customHeight="1" hidden="1" spans="1:36" x14ac:dyDescent="0.25" outlineLevel="1" collapsed="1">
      <c r="A81" s="8"/>
      <c r="B81" s="8"/>
      <c r="C81" s="8"/>
      <c r="D81" s="8"/>
      <c r="E81" s="8"/>
      <c r="F81" s="8"/>
      <c r="G81" s="818" t="s">
        <v>12</v>
      </c>
      <c r="H81" s="122"/>
      <c r="I81" s="122"/>
      <c r="J81" s="122"/>
      <c r="K81" s="819">
        <f>K80/Share_Price-1</f>
        <v>0.031502911359650554</v>
      </c>
      <c r="L81" s="8"/>
      <c r="M81" s="8"/>
      <c r="N81" s="818" t="s">
        <v>12</v>
      </c>
      <c r="O81" s="122"/>
      <c r="P81" s="122"/>
      <c r="Q81" s="122"/>
      <c r="R81" s="819">
        <f>R80/Share_Price-1</f>
        <v>0.72838967853928</v>
      </c>
      <c r="S81" s="8"/>
      <c r="T81" s="8"/>
      <c r="U81" s="8"/>
      <c r="V81" s="8"/>
      <c r="W81" s="8"/>
      <c r="X81" s="818" t="s">
        <v>12</v>
      </c>
      <c r="Y81" s="122"/>
      <c r="Z81" s="122"/>
      <c r="AA81" s="122"/>
      <c r="AB81" s="819"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20">
        <f>R65/K63</f>
        <v>18.7471399392939</v>
      </c>
      <c r="L83" s="8"/>
      <c r="M83" s="8"/>
      <c r="N83" s="8" t="s">
        <v>983</v>
      </c>
      <c r="O83" s="8"/>
      <c r="P83" s="8"/>
      <c r="Q83" s="8"/>
      <c r="R83" s="821">
        <f>(K65*Discount_Rate-R63)/(R63+K65)</f>
        <v>-0.034735763049078404</v>
      </c>
      <c r="S83" s="8"/>
      <c r="T83" s="8"/>
      <c r="U83" s="8"/>
      <c r="V83" s="8"/>
      <c r="W83" s="8"/>
      <c r="X83" s="8" t="s">
        <v>982</v>
      </c>
      <c r="Y83" s="8"/>
      <c r="Z83" s="8"/>
      <c r="AA83" s="8"/>
      <c r="AB83" s="820">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8"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2"/>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3">
        <f>Discount_Rate</f>
        <v>0.07162256567356942</v>
      </c>
      <c r="H88" s="8"/>
      <c r="I88" s="8" t="s">
        <v>986</v>
      </c>
      <c r="J88" s="824">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5">
        <f>Tax_Rate</f>
        <v>0</v>
      </c>
      <c r="H89" s="8"/>
      <c r="I89" s="8" t="s">
        <v>26</v>
      </c>
      <c r="J89" s="824">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6">
        <v>0.02</v>
      </c>
      <c r="H90" s="8"/>
      <c r="I90" s="8" t="s">
        <v>988</v>
      </c>
      <c r="J90" s="824">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4">
        <f t="array" ref="G91">_xlfn.IFS(Case_Scenario="Base",Valuation!J89,Case_Scenario="Bull",Valuation!J90,Case_Scenario="Bear",Valuation!J88)</f>
        <v>8</v>
      </c>
      <c r="H91" s="8"/>
      <c r="I91" s="8"/>
      <c r="J91" s="824"/>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8"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20">
        <f>J89</f>
        <v>8</v>
      </c>
      <c r="F96" s="715">
        <f>E96-H102</f>
        <v>0</v>
      </c>
      <c r="G96" s="8"/>
      <c r="H96" s="8" t="s">
        <v>991</v>
      </c>
      <c r="I96" s="8"/>
      <c r="J96" s="827">
        <f>G90</f>
        <v>0.02</v>
      </c>
      <c r="K96" s="715">
        <f>J96-H110</f>
        <v>0</v>
      </c>
      <c r="L96" s="8"/>
      <c r="M96" s="8" t="s">
        <v>992</v>
      </c>
      <c r="N96" s="8"/>
      <c r="O96" s="827">
        <f>+E105</f>
        <v>0.07162256567356942</v>
      </c>
      <c r="P96" s="715">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8">
        <v>1</v>
      </c>
      <c r="F97" s="8"/>
      <c r="G97" s="8"/>
      <c r="H97" s="8" t="s">
        <v>994</v>
      </c>
      <c r="I97" s="8"/>
      <c r="J97" s="829">
        <v>0.005</v>
      </c>
      <c r="K97" s="8"/>
      <c r="L97" s="8"/>
      <c r="M97" s="8" t="s">
        <v>995</v>
      </c>
      <c r="N97" s="8"/>
      <c r="O97" s="829">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30"/>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30"/>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2"/>
      <c r="E101" s="624"/>
      <c r="F101" s="624" t="s">
        <v>145</v>
      </c>
      <c r="G101" s="716"/>
      <c r="H101" s="716"/>
      <c r="I101" s="716"/>
      <c r="J101" s="716"/>
      <c r="K101" s="8"/>
      <c r="L101" s="622"/>
      <c r="M101" s="624"/>
      <c r="N101" s="624" t="s">
        <v>145</v>
      </c>
      <c r="O101" s="716"/>
      <c r="P101" s="716"/>
      <c r="Q101" s="716"/>
      <c r="R101" s="716"/>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1">
        <f>K80</f>
        <v>39.228055719007514</v>
      </c>
      <c r="F102" s="832">
        <f t="shared" ref="F102:G102" si="31">G102-$E$97</f>
        <v>6</v>
      </c>
      <c r="G102" s="832">
        <f t="shared" si="31"/>
        <v>7</v>
      </c>
      <c r="H102" s="833">
        <f>+E96</f>
        <v>8</v>
      </c>
      <c r="I102" s="832">
        <f t="shared" ref="I102:J102" si="32">H102+$E$97</f>
        <v>9</v>
      </c>
      <c r="J102" s="832">
        <f t="shared" si="32"/>
        <v>10</v>
      </c>
      <c r="K102" s="8"/>
      <c r="L102" s="8"/>
      <c r="M102" s="834">
        <f>$H$77</f>
        <v>0</v>
      </c>
      <c r="N102" s="832">
        <f t="shared" ref="N102:R102" si="33">F102</f>
        <v>6</v>
      </c>
      <c r="O102" s="832">
        <f t="shared" si="33"/>
        <v>7</v>
      </c>
      <c r="P102" s="832">
        <f t="shared" si="33"/>
        <v>8</v>
      </c>
      <c r="Q102" s="832">
        <f t="shared" si="33"/>
        <v>9</v>
      </c>
      <c r="R102" s="832">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1" t="s">
        <v>44</v>
      </c>
      <c r="E103" s="835">
        <f t="shared" ref="E103:E104" si="34">E104-$O$97</f>
        <v>0.06162256567356942</v>
      </c>
      <c r="F103" s="836">
        <v>146.6099932465139</v>
      </c>
      <c r="G103" s="837">
        <v>146.6099932465139</v>
      </c>
      <c r="H103" s="837">
        <v>146.6099932465139</v>
      </c>
      <c r="I103" s="837">
        <v>146.6099932465139</v>
      </c>
      <c r="J103" s="838">
        <v>146.6099932465139</v>
      </c>
      <c r="K103" s="8"/>
      <c r="L103" s="721" t="s">
        <v>44</v>
      </c>
      <c r="M103" s="835">
        <f t="shared" ref="M103:M107" si="35">E103</f>
        <v>0.06162256567356942</v>
      </c>
      <c r="N103" s="839">
        <f t="shared" ref="N103:R107" si="36">F103/Share_Price-1</f>
        <v>2.85511420579842</v>
      </c>
      <c r="O103" s="709">
        <f t="shared" si="36"/>
        <v>2.85511420579842</v>
      </c>
      <c r="P103" s="709">
        <f t="shared" si="36"/>
        <v>2.85511420579842</v>
      </c>
      <c r="Q103" s="709">
        <f t="shared" si="36"/>
        <v>2.85511420579842</v>
      </c>
      <c r="R103" s="840">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6"/>
      <c r="E104" s="835">
        <f t="shared" si="34"/>
        <v>0.06662256567356942</v>
      </c>
      <c r="F104" s="841">
        <v>146.6099932465139</v>
      </c>
      <c r="G104" s="842">
        <v>146.6099932465139</v>
      </c>
      <c r="H104" s="842">
        <v>146.6099932465139</v>
      </c>
      <c r="I104" s="842">
        <v>146.6099932465139</v>
      </c>
      <c r="J104" s="843">
        <v>146.6099932465139</v>
      </c>
      <c r="K104" s="8"/>
      <c r="L104" s="726"/>
      <c r="M104" s="835">
        <f t="shared" si="35"/>
        <v>0.06662256567356942</v>
      </c>
      <c r="N104" s="844">
        <f t="shared" si="36"/>
        <v>2.85511420579842</v>
      </c>
      <c r="O104" s="586">
        <f t="shared" si="36"/>
        <v>2.85511420579842</v>
      </c>
      <c r="P104" s="586">
        <f t="shared" si="36"/>
        <v>2.85511420579842</v>
      </c>
      <c r="Q104" s="586">
        <f t="shared" si="36"/>
        <v>2.85511420579842</v>
      </c>
      <c r="R104" s="722">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6"/>
      <c r="E105" s="845">
        <f>+G88</f>
        <v>0.07162256567356942</v>
      </c>
      <c r="F105" s="846">
        <v>146.6099932465139</v>
      </c>
      <c r="G105" s="842">
        <v>146.6099932465139</v>
      </c>
      <c r="H105" s="842">
        <v>146.6099932465139</v>
      </c>
      <c r="I105" s="842">
        <v>146.6099932465139</v>
      </c>
      <c r="J105" s="843">
        <v>146.6099932465139</v>
      </c>
      <c r="K105" s="8"/>
      <c r="L105" s="726"/>
      <c r="M105" s="835">
        <f t="shared" si="35"/>
        <v>0.07162256567356942</v>
      </c>
      <c r="N105" s="844">
        <f t="shared" si="36"/>
        <v>2.85511420579842</v>
      </c>
      <c r="O105" s="586">
        <f t="shared" si="36"/>
        <v>2.85511420579842</v>
      </c>
      <c r="P105" s="586">
        <f t="shared" si="36"/>
        <v>2.85511420579842</v>
      </c>
      <c r="Q105" s="586">
        <f t="shared" si="36"/>
        <v>2.85511420579842</v>
      </c>
      <c r="R105" s="722">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6"/>
      <c r="E106" s="835">
        <f t="shared" ref="E106:E107" si="37">E105+$O$97</f>
        <v>0.07662256567356943</v>
      </c>
      <c r="F106" s="841">
        <v>146.6099932465139</v>
      </c>
      <c r="G106" s="842">
        <v>146.6099932465139</v>
      </c>
      <c r="H106" s="842">
        <v>146.6099932465139</v>
      </c>
      <c r="I106" s="842">
        <v>146.6099932465139</v>
      </c>
      <c r="J106" s="843">
        <v>146.6099932465139</v>
      </c>
      <c r="K106" s="8"/>
      <c r="L106" s="726"/>
      <c r="M106" s="835">
        <f t="shared" si="35"/>
        <v>0.07662256567356943</v>
      </c>
      <c r="N106" s="844">
        <f t="shared" si="36"/>
        <v>2.85511420579842</v>
      </c>
      <c r="O106" s="586">
        <f t="shared" si="36"/>
        <v>2.85511420579842</v>
      </c>
      <c r="P106" s="586">
        <f t="shared" si="36"/>
        <v>2.85511420579842</v>
      </c>
      <c r="Q106" s="586">
        <f t="shared" si="36"/>
        <v>2.85511420579842</v>
      </c>
      <c r="R106" s="722">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1"/>
      <c r="E107" s="835">
        <f t="shared" si="37"/>
        <v>0.08162256567356943</v>
      </c>
      <c r="F107" s="847">
        <v>146.6099932465139</v>
      </c>
      <c r="G107" s="848">
        <v>146.6099932465139</v>
      </c>
      <c r="H107" s="848">
        <v>146.6099932465139</v>
      </c>
      <c r="I107" s="848">
        <v>146.6099932465139</v>
      </c>
      <c r="J107" s="849">
        <v>146.6099932465139</v>
      </c>
      <c r="K107" s="8"/>
      <c r="L107" s="731"/>
      <c r="M107" s="835">
        <f t="shared" si="35"/>
        <v>0.08162256567356943</v>
      </c>
      <c r="N107" s="850">
        <f t="shared" si="36"/>
        <v>2.85511420579842</v>
      </c>
      <c r="O107" s="718">
        <f t="shared" si="36"/>
        <v>2.85511420579842</v>
      </c>
      <c r="P107" s="718">
        <f t="shared" si="36"/>
        <v>2.85511420579842</v>
      </c>
      <c r="Q107" s="718">
        <f t="shared" si="36"/>
        <v>2.85511420579842</v>
      </c>
      <c r="R107" s="851">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2"/>
      <c r="E109" s="624"/>
      <c r="F109" s="624" t="s">
        <v>998</v>
      </c>
      <c r="G109" s="716"/>
      <c r="H109" s="716"/>
      <c r="I109" s="716"/>
      <c r="J109" s="716"/>
      <c r="K109" s="8"/>
      <c r="L109" s="622"/>
      <c r="M109" s="624"/>
      <c r="N109" s="624" t="s">
        <v>998</v>
      </c>
      <c r="O109" s="716"/>
      <c r="P109" s="716"/>
      <c r="Q109" s="716"/>
      <c r="R109" s="716"/>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1">
        <f>$R$80</f>
        <v>65.73065947484882</v>
      </c>
      <c r="F110" s="718">
        <f t="shared" ref="F110:G110" si="38">G110-$J$97</f>
        <v>0.009999999999999998</v>
      </c>
      <c r="G110" s="718">
        <f t="shared" si="38"/>
        <v>0.015</v>
      </c>
      <c r="H110" s="852">
        <v>0.02</v>
      </c>
      <c r="I110" s="718">
        <f t="shared" ref="I110:J110" si="39">H110+$J$97</f>
        <v>0.025</v>
      </c>
      <c r="J110" s="718">
        <f t="shared" si="39"/>
        <v>0.030000000000000002</v>
      </c>
      <c r="K110" s="8"/>
      <c r="L110" s="8"/>
      <c r="M110" s="834">
        <f>$O$77</f>
        <v>0</v>
      </c>
      <c r="N110" s="718">
        <f t="shared" ref="N110:R110" si="40">F110</f>
        <v>0.009999999999999998</v>
      </c>
      <c r="O110" s="718">
        <f t="shared" si="40"/>
        <v>0.015</v>
      </c>
      <c r="P110" s="718">
        <f t="shared" si="40"/>
        <v>0.02</v>
      </c>
      <c r="Q110" s="718">
        <f t="shared" si="40"/>
        <v>0.025</v>
      </c>
      <c r="R110" s="718">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1" t="s">
        <v>44</v>
      </c>
      <c r="E111" s="835">
        <f t="shared" ref="E111:E112" si="41">E103</f>
        <v>0.06162256567356942</v>
      </c>
      <c r="F111" s="836">
        <v>39.287570414775445</v>
      </c>
      <c r="G111" s="837">
        <v>41.8528356935007</v>
      </c>
      <c r="H111" s="846">
        <v>44.871513150043214</v>
      </c>
      <c r="I111" s="837">
        <v>48.475467697564994</v>
      </c>
      <c r="J111" s="838">
        <v>52.85318670789136</v>
      </c>
      <c r="K111" s="8"/>
      <c r="L111" s="721" t="s">
        <v>44</v>
      </c>
      <c r="M111" s="835">
        <f t="shared" ref="M111:M115" si="42">E111</f>
        <v>0.06162256567356942</v>
      </c>
      <c r="N111" s="839">
        <f t="shared" ref="N111:R115" si="43">F111/Share_Price-1</f>
        <v>0.03306785208455021</v>
      </c>
      <c r="O111" s="709">
        <f t="shared" si="43"/>
        <v>0.10052158016041801</v>
      </c>
      <c r="P111" s="709">
        <f t="shared" si="43"/>
        <v>0.17989779516285065</v>
      </c>
      <c r="Q111" s="709">
        <f t="shared" si="43"/>
        <v>0.27466388897094385</v>
      </c>
      <c r="R111" s="840">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6"/>
      <c r="E112" s="835">
        <f t="shared" si="41"/>
        <v>0.06662256567356942</v>
      </c>
      <c r="F112" s="841">
        <v>38.72212619379026</v>
      </c>
      <c r="G112" s="842">
        <v>41.24495498386613</v>
      </c>
      <c r="H112" s="842">
        <v>44.213695276917925</v>
      </c>
      <c r="I112" s="842">
        <v>47.758030580567656</v>
      </c>
      <c r="J112" s="843">
        <v>52.063330171104326</v>
      </c>
      <c r="K112" s="8"/>
      <c r="L112" s="726"/>
      <c r="M112" s="835">
        <f t="shared" si="42"/>
        <v>0.06662256567356942</v>
      </c>
      <c r="N112" s="844">
        <f t="shared" si="43"/>
        <v>0.018199479195115886</v>
      </c>
      <c r="O112" s="586">
        <f t="shared" si="43"/>
        <v>0.08453733851869916</v>
      </c>
      <c r="P112" s="586">
        <f t="shared" si="43"/>
        <v>0.16260045429707914</v>
      </c>
      <c r="Q112" s="586">
        <f t="shared" si="43"/>
        <v>0.2557988582847135</v>
      </c>
      <c r="R112" s="722">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6"/>
      <c r="E113" s="853">
        <f>+E105</f>
        <v>0.07162256567356942</v>
      </c>
      <c r="F113" s="841">
        <v>36.853414514023115</v>
      </c>
      <c r="G113" s="842">
        <v>39.236171901998745</v>
      </c>
      <c r="H113" s="842">
        <v>42.04008308855112</v>
      </c>
      <c r="I113" s="842">
        <v>45.387631350032734</v>
      </c>
      <c r="J113" s="843">
        <v>49.453893970450665</v>
      </c>
      <c r="K113" s="8"/>
      <c r="L113" s="726"/>
      <c r="M113" s="835">
        <f t="shared" si="42"/>
        <v>0.07162256567356942</v>
      </c>
      <c r="N113" s="844">
        <f t="shared" si="43"/>
        <v>-0.030938350932865788</v>
      </c>
      <c r="O113" s="586">
        <f t="shared" si="43"/>
        <v>0.03171632663683255</v>
      </c>
      <c r="P113" s="586">
        <f t="shared" si="43"/>
        <v>0.10544525607549615</v>
      </c>
      <c r="Q113" s="586">
        <f t="shared" si="43"/>
        <v>0.19346913883862027</v>
      </c>
      <c r="R113" s="722">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6"/>
      <c r="E114" s="835">
        <f t="shared" ref="E114:E115" si="44">E106</f>
        <v>0.07662256567356943</v>
      </c>
      <c r="F114" s="841">
        <v>37.62577269915506</v>
      </c>
      <c r="G114" s="842">
        <v>40.066389689290126</v>
      </c>
      <c r="H114" s="842">
        <v>42.938387197413896</v>
      </c>
      <c r="I114" s="842">
        <v>46.36722271524662</v>
      </c>
      <c r="J114" s="843">
        <v>50.532224862684984</v>
      </c>
      <c r="K114" s="8"/>
      <c r="L114" s="726"/>
      <c r="M114" s="835">
        <f t="shared" si="42"/>
        <v>0.07662256567356943</v>
      </c>
      <c r="N114" s="844">
        <f t="shared" si="43"/>
        <v>-0.010629169099262259</v>
      </c>
      <c r="O114" s="586">
        <f t="shared" si="43"/>
        <v>0.05354692845885167</v>
      </c>
      <c r="P114" s="586">
        <f t="shared" si="43"/>
        <v>0.1290661897821166</v>
      </c>
      <c r="Q114" s="586">
        <f t="shared" si="43"/>
        <v>0.2192275234090617</v>
      </c>
      <c r="R114" s="722">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1"/>
      <c r="E115" s="835">
        <f t="shared" si="44"/>
        <v>0.08162256567356943</v>
      </c>
      <c r="F115" s="847">
        <v>37.09428582507126</v>
      </c>
      <c r="G115" s="848">
        <v>39.4950824165073</v>
      </c>
      <c r="H115" s="848">
        <v>42.32022124655978</v>
      </c>
      <c r="I115" s="848">
        <v>45.69311287891381</v>
      </c>
      <c r="J115" s="849">
        <v>49.79016005973365</v>
      </c>
      <c r="K115" s="8"/>
      <c r="L115" s="731"/>
      <c r="M115" s="835">
        <f t="shared" si="42"/>
        <v>0.08162256567356943</v>
      </c>
      <c r="N115" s="850">
        <f t="shared" si="43"/>
        <v>-0.024604632525078607</v>
      </c>
      <c r="O115" s="718">
        <f t="shared" si="43"/>
        <v>0.03852438644510392</v>
      </c>
      <c r="P115" s="718">
        <f t="shared" si="43"/>
        <v>0.11281149741151153</v>
      </c>
      <c r="Q115" s="718">
        <f t="shared" si="43"/>
        <v>0.20150178487809112</v>
      </c>
      <c r="R115" s="851">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4">
        <f>$D$11</f>
        <v>8.3</v>
      </c>
      <c r="G122" s="8"/>
      <c r="H122" s="186" t="s">
        <v>1004</v>
      </c>
      <c r="I122" s="8"/>
      <c r="J122" s="854">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4">
        <f>$D$12</f>
        <v>10.8796</v>
      </c>
      <c r="O122" s="187"/>
      <c r="P122" s="186" t="s">
        <v>1004</v>
      </c>
      <c r="Q122" s="8"/>
      <c r="R122" s="854">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4">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4">
        <f>IF(G147="1 Year",J148,IF(G147="2 Year",J149,IF(G147="3 Year",J150,IF(G147="5 Year",J151,"N/A"))))</f>
        <v>13.59608394778371</v>
      </c>
      <c r="K123" s="8"/>
      <c r="L123" s="186" t="s">
        <v>1005</v>
      </c>
      <c r="M123" s="8"/>
      <c r="N123" s="854">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4">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5">
        <f>F122/F123-1</f>
        <v>-0.4147447512514091</v>
      </c>
      <c r="G124" s="8"/>
      <c r="H124" s="302" t="s">
        <v>1008</v>
      </c>
      <c r="I124" s="300"/>
      <c r="J124" s="856">
        <f>J122/J123-1</f>
        <v>-0.04316116690353289</v>
      </c>
      <c r="K124" s="8"/>
      <c r="L124" s="302" t="s">
        <v>1007</v>
      </c>
      <c r="M124" s="300"/>
      <c r="N124" s="855">
        <f>N122/N123-1</f>
        <v>-0.06724006076880096</v>
      </c>
      <c r="O124" s="187"/>
      <c r="P124" s="186" t="s">
        <v>1008</v>
      </c>
      <c r="Q124" s="8"/>
      <c r="R124" s="856">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7">
        <v>0</v>
      </c>
      <c r="G125" s="8"/>
      <c r="H125" s="186" t="s">
        <v>1010</v>
      </c>
      <c r="I125" s="8"/>
      <c r="J125" s="854">
        <f>IF($G$149=$K$224,$E$11,IF($G$149=$M$224,$E$16,IF($G$149=$O$224,$E$21,"N/A")))</f>
        <v>12.44131492677972</v>
      </c>
      <c r="K125" s="8"/>
      <c r="L125" s="302" t="s">
        <v>1009</v>
      </c>
      <c r="M125" s="300"/>
      <c r="N125" s="857">
        <v>0</v>
      </c>
      <c r="O125" s="187"/>
      <c r="P125" s="186" t="s">
        <v>1010</v>
      </c>
      <c r="Q125" s="8"/>
      <c r="R125" s="854">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4">
        <f>F123*(1+F125)</f>
        <v>14.181846327302988</v>
      </c>
      <c r="G127" s="8"/>
      <c r="H127" s="186" t="s">
        <v>1011</v>
      </c>
      <c r="I127" s="8"/>
      <c r="J127" s="854">
        <f>J125*(1+J124)</f>
        <v>11.904333256725565</v>
      </c>
      <c r="K127" s="8"/>
      <c r="L127" s="186" t="s">
        <v>1011</v>
      </c>
      <c r="M127" s="8"/>
      <c r="N127" s="854">
        <f>N123*(1+N125)</f>
        <v>11.663880000000002</v>
      </c>
      <c r="O127" s="187"/>
      <c r="P127" s="186" t="s">
        <v>1011</v>
      </c>
      <c r="Q127" s="8"/>
      <c r="R127" s="854">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8">
        <f>NTM_EPS</f>
        <v>3.946986368290967</v>
      </c>
      <c r="G128" s="8"/>
      <c r="H128" s="186" t="s">
        <v>1012</v>
      </c>
      <c r="I128" s="8"/>
      <c r="J128" s="858">
        <f>F128</f>
        <v>3.946986368290967</v>
      </c>
      <c r="K128" s="8"/>
      <c r="L128" s="859" t="s">
        <v>1013</v>
      </c>
      <c r="M128" s="8"/>
      <c r="N128" s="860">
        <f>NTM_EBITDA</f>
        <v>1396.9103816687498</v>
      </c>
      <c r="O128" s="187"/>
      <c r="P128" s="186" t="s">
        <v>1013</v>
      </c>
      <c r="Q128" s="8"/>
      <c r="R128" s="860">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1"/>
      <c r="G129" s="8"/>
      <c r="H129" s="186"/>
      <c r="I129" s="8"/>
      <c r="J129" s="861"/>
      <c r="K129" s="8"/>
      <c r="L129" s="186" t="s">
        <v>1014</v>
      </c>
      <c r="M129" s="8"/>
      <c r="N129" s="860">
        <f>N127*N128</f>
        <v>16293.3950625385</v>
      </c>
      <c r="O129" s="187"/>
      <c r="P129" s="186" t="s">
        <v>1014</v>
      </c>
      <c r="Q129" s="8"/>
      <c r="R129" s="860">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60">
        <f>F127*F128</f>
        <v>55.97555413106221</v>
      </c>
      <c r="G130" s="8"/>
      <c r="H130" s="186" t="s">
        <v>1015</v>
      </c>
      <c r="I130" s="8"/>
      <c r="J130" s="860">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9">
        <f>F130/Share_Price-1</f>
        <v>0.47187888853700266</v>
      </c>
      <c r="G131" s="8"/>
      <c r="H131" s="305" t="s">
        <v>1016</v>
      </c>
      <c r="I131" s="122"/>
      <c r="J131" s="819">
        <f>J130/Share_Price-1</f>
        <v>0.23550463023635593</v>
      </c>
      <c r="K131" s="8"/>
      <c r="L131" s="186" t="s">
        <v>1017</v>
      </c>
      <c r="M131" s="8"/>
      <c r="N131" s="862">
        <f t="shared" ref="N131:N136" si="45">K70</f>
        <v>9605.263504524113</v>
      </c>
      <c r="O131" s="187"/>
      <c r="P131" s="186" t="s">
        <v>1017</v>
      </c>
      <c r="Q131" s="8"/>
      <c r="R131" s="811">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2">
        <f t="shared" si="45"/>
        <v>0.1</v>
      </c>
      <c r="O132" s="187"/>
      <c r="P132" s="186" t="s">
        <v>1018</v>
      </c>
      <c r="Q132" s="8"/>
      <c r="R132" s="811">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2">
        <f t="shared" si="45"/>
        <v>-16895.891</v>
      </c>
      <c r="O133" s="187"/>
      <c r="P133" s="186" t="s">
        <v>1019</v>
      </c>
      <c r="Q133" s="8"/>
      <c r="R133" s="811">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2">
        <f t="shared" si="45"/>
        <v>0</v>
      </c>
      <c r="O134" s="187"/>
      <c r="P134" s="186" t="s">
        <v>1020</v>
      </c>
      <c r="Q134" s="8"/>
      <c r="R134" s="811">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3">
        <f>IF(Last_FQR="3Q",SUM(Model!X57,Model!Z57:AB57),IF(Last_FQR="2Q",SUM(Model!W57:X57,Model!Z57:AA57),IF(Last_FQR="1Q",SUM(Model!V57:X57,Model!Z57),IF(Last_FQR="4Q",SUM(Model!U57:X57),"Error"))))</f>
        <v>3.946986368290967</v>
      </c>
      <c r="G135" s="8"/>
      <c r="H135" s="8"/>
      <c r="I135" s="8"/>
      <c r="J135" s="8"/>
      <c r="K135" s="8"/>
      <c r="L135" s="186" t="s">
        <v>1021</v>
      </c>
      <c r="M135" s="8"/>
      <c r="N135" s="862">
        <f t="shared" si="45"/>
        <v>0</v>
      </c>
      <c r="O135" s="187"/>
      <c r="P135" s="186" t="s">
        <v>1021</v>
      </c>
      <c r="Q135" s="8"/>
      <c r="R135" s="811">
        <f t="shared" si="46"/>
        <v>0</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4">
        <f>IF(Last_FQR="3Q",SUM(Model!X61,Model!Z61:AB61),IF(Last_FQR="2Q",SUM(Model!W61:X61,Model!Z61:AA61),IF(Last_FQR="1Q",SUM(Model!V61:X61,Model!Z61),IF(Last_FQR="4Q",SUM(Model!U61:X61),"Error"))))</f>
        <v>1396.9103816687498</v>
      </c>
      <c r="G136" s="8"/>
      <c r="H136" s="8"/>
      <c r="I136" s="8"/>
      <c r="J136" s="8"/>
      <c r="K136" s="8"/>
      <c r="L136" s="186" t="s">
        <v>1022</v>
      </c>
      <c r="M136" s="122"/>
      <c r="N136" s="865">
        <f t="shared" si="45"/>
        <v>0</v>
      </c>
      <c r="O136" s="187"/>
      <c r="P136" s="190" t="s">
        <v>1022</v>
      </c>
      <c r="Q136" s="122"/>
      <c r="R136" s="865">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60">
        <f>SUM(N129:N136)</f>
        <v>8935.360567062615</v>
      </c>
      <c r="O138" s="187"/>
      <c r="P138" s="186" t="s">
        <v>1023</v>
      </c>
      <c r="Q138" s="8"/>
      <c r="R138" s="860">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60">
        <f>Diluted_Shares</f>
        <v>222.746</v>
      </c>
      <c r="O139" s="187"/>
      <c r="P139" s="186" t="s">
        <v>405</v>
      </c>
      <c r="Q139" s="8"/>
      <c r="R139" s="860">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60">
        <f>N138/N139</f>
        <v>40.11457250438892</v>
      </c>
      <c r="O141" s="187"/>
      <c r="P141" s="186" t="s">
        <v>1015</v>
      </c>
      <c r="Q141" s="8"/>
      <c r="R141" s="860">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9">
        <f>N141/Share_Price-1</f>
        <v>0.05481389703888806</v>
      </c>
      <c r="O142" s="187"/>
      <c r="P142" s="305" t="s">
        <v>1016</v>
      </c>
      <c r="Q142" s="122"/>
      <c r="R142" s="819">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8"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4">
        <f>IF($G$149=$C$9,IF($G$148="LTM",'Multiples Data'!E31,IF($G$148="NTM",'Multiples Data'!F31,"N/A")),IF($G$149=Valuation!$C$14,IF(Valuation!$G$148="LTM",'Multiples Data'!E53,IF(Valuation!$G$148="NTM",'Multiples Data'!F53,"N/A")),IF($G$149=Valuation!$C$19,IF(Valuation!$G$148="LTM",'Multiples Data'!E75,IF($G$148="NTM",'Multiples Data'!F75,"N/A")))))</f>
        <v>16.380966109863202</v>
      </c>
      <c r="K148" s="774">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4">
        <f>IF($G$149=$C$9,IF($G$148="LTM",'Multiples Data'!E32,IF($G$148="NTM",'Multiples Data'!F32,"N/A")),IF($G$149=Valuation!$C$14,IF(Valuation!$G$148="LTM",'Multiples Data'!E54,IF(Valuation!$G$148="NTM",'Multiples Data'!F54,"N/A")),IF($G$149=Valuation!$C$19,IF(Valuation!$G$148="LTM",'Multiples Data'!E76,IF($G$148="NTM",'Multiples Data'!F76,"N/A")))))</f>
        <v>14.648556818578749</v>
      </c>
      <c r="K149" s="774">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4">
        <f>IF($G$149=$C$9,IF($G$148="LTM",'Multiples Data'!E33,IF($G$148="NTM",'Multiples Data'!F33,"N/A")),IF($G$149=Valuation!$C$14,IF(Valuation!$G$148="LTM",'Multiples Data'!E55,IF(Valuation!$G$148="NTM",'Multiples Data'!F55,"N/A")),IF($G$149=Valuation!$C$19,IF(Valuation!$G$148="LTM",'Multiples Data'!E77,IF($G$148="NTM",'Multiples Data'!F77,"N/A")))))</f>
        <v>13.59608394778371</v>
      </c>
      <c r="K150" s="77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4">
        <f>IF($G$149=$C$9,IF($G$148="LTM",'Multiples Data'!E34,IF($G$148="NTM",'Multiples Data'!F34,"N/A")),IF($G$149=Valuation!$C$14,IF(Valuation!$G$148="LTM",'Multiples Data'!E56,IF(Valuation!$G$148="NTM",'Multiples Data'!F56,"N/A")),IF($G$149=Valuation!$C$19,IF(Valuation!$G$148="LTM",'Multiples Data'!E78,IF($G$148="NTM",'Multiples Data'!F78,"N/A")))))</f>
        <v>13.452504978876982</v>
      </c>
      <c r="K151" s="77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8"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20">
        <v>14.181846327302988</v>
      </c>
      <c r="F155" s="715">
        <f>E155-H165</f>
        <v>0</v>
      </c>
      <c r="G155" s="8"/>
      <c r="H155" s="8" t="s">
        <v>1033</v>
      </c>
      <c r="I155" s="8"/>
      <c r="J155" s="8"/>
      <c r="K155" s="820">
        <f>N127</f>
        <v>11.663880000000002</v>
      </c>
      <c r="L155" s="715">
        <f>K155-H181</f>
        <v>0</v>
      </c>
      <c r="M155" s="8"/>
      <c r="N155" s="7" t="s">
        <v>1012</v>
      </c>
      <c r="O155" s="8"/>
      <c r="P155" s="8"/>
      <c r="Q155" s="866">
        <f>F128</f>
        <v>3.946986368290967</v>
      </c>
      <c r="R155" s="867">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8">
        <v>1</v>
      </c>
      <c r="F156" s="8"/>
      <c r="G156" s="8"/>
      <c r="H156" s="8" t="s">
        <v>993</v>
      </c>
      <c r="I156" s="8"/>
      <c r="J156" s="8"/>
      <c r="K156" s="828">
        <v>1</v>
      </c>
      <c r="L156" s="868"/>
      <c r="M156" s="8"/>
      <c r="N156" s="515" t="s">
        <v>1034</v>
      </c>
      <c r="O156" s="8"/>
      <c r="P156" s="8"/>
      <c r="Q156" s="8"/>
      <c r="R156" s="867">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9">
        <v>0.1</v>
      </c>
      <c r="F157" s="8"/>
      <c r="G157" s="8"/>
      <c r="H157" s="8" t="s">
        <v>1036</v>
      </c>
      <c r="I157" s="8"/>
      <c r="J157" s="8"/>
      <c r="K157" s="829">
        <v>0.1</v>
      </c>
      <c r="L157" s="868"/>
      <c r="M157" s="8"/>
      <c r="N157" s="7" t="s">
        <v>1013</v>
      </c>
      <c r="O157" s="8"/>
      <c r="P157" s="8"/>
      <c r="Q157" s="869">
        <f>N128</f>
        <v>1396.9103816687498</v>
      </c>
      <c r="R157" s="867">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20">
        <f>$J$127</f>
        <v>11.904333256725565</v>
      </c>
      <c r="F158" s="715">
        <f>E158-H173</f>
        <v>0</v>
      </c>
      <c r="G158" s="8"/>
      <c r="H158" s="8" t="s">
        <v>1038</v>
      </c>
      <c r="I158" s="8"/>
      <c r="J158" s="8"/>
      <c r="K158" s="820">
        <f>R127</f>
        <v>8.748569135827832</v>
      </c>
      <c r="L158" s="715">
        <f>K158-H189</f>
        <v>0</v>
      </c>
      <c r="M158" s="870"/>
      <c r="N158" s="515" t="s">
        <v>1034</v>
      </c>
      <c r="O158" s="871"/>
      <c r="P158" s="8"/>
      <c r="Q158" s="8"/>
      <c r="R158" s="867">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8">
        <v>1</v>
      </c>
      <c r="F159" s="8"/>
      <c r="G159" s="8"/>
      <c r="H159" s="8" t="s">
        <v>993</v>
      </c>
      <c r="I159" s="8"/>
      <c r="J159" s="8"/>
      <c r="K159" s="828">
        <v>1</v>
      </c>
      <c r="L159" s="868"/>
      <c r="M159" s="8"/>
      <c r="N159" s="8"/>
      <c r="O159" s="871"/>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30"/>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30"/>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2"/>
      <c r="E164" s="624"/>
      <c r="F164" s="624" t="str">
        <f>G148&amp;" P/E"</f>
        <v>NTM P/E</v>
      </c>
      <c r="G164" s="716"/>
      <c r="H164" s="716"/>
      <c r="I164" s="716"/>
      <c r="J164" s="716"/>
      <c r="K164" s="8"/>
      <c r="L164" s="622"/>
      <c r="M164" s="624"/>
      <c r="N164" s="624" t="str">
        <f t="shared" ref="N164:N165" si="47">F164</f>
        <v>NTM P/E</v>
      </c>
      <c r="O164" s="716"/>
      <c r="P164" s="716"/>
      <c r="Q164" s="716"/>
      <c r="R164" s="716"/>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1">
        <f>$F$130</f>
        <v>55.97555413106221</v>
      </c>
      <c r="F165" s="832">
        <f t="shared" ref="F165:G165" si="48">G165-$E$97</f>
        <v>12.181846327302988</v>
      </c>
      <c r="G165" s="832">
        <f t="shared" si="48"/>
        <v>13.181846327302988</v>
      </c>
      <c r="H165" s="833">
        <f>+E155</f>
        <v>14.181846327302988</v>
      </c>
      <c r="I165" s="832">
        <f t="shared" ref="I165:J165" si="49">H165+$E$97</f>
        <v>15.181846327302988</v>
      </c>
      <c r="J165" s="832">
        <f t="shared" si="49"/>
        <v>16.18184632730299</v>
      </c>
      <c r="K165" s="8"/>
      <c r="L165" s="8"/>
      <c r="M165" s="834">
        <f>$H$77</f>
        <v>0</v>
      </c>
      <c r="N165" s="832">
        <f t="shared" si="47"/>
        <v>12.181846327302988</v>
      </c>
      <c r="O165" s="832">
        <f t="shared" ref="O165:R165" si="50">G165</f>
        <v>13.181846327302988</v>
      </c>
      <c r="P165" s="832">
        <v>14.6</v>
      </c>
      <c r="Q165" s="832">
        <f t="shared" si="50"/>
        <v>15.181846327302988</v>
      </c>
      <c r="R165" s="832">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1" t="s">
        <v>388</v>
      </c>
      <c r="E166" s="872">
        <f>$E$168*(1-(2*$E$157))</f>
        <v>3.157589094632774</v>
      </c>
      <c r="F166" s="836">
        <f>$E$166*F165</f>
        <v>38.465265115584224</v>
      </c>
      <c r="G166" s="837">
        <f>$E$166*G165</f>
        <v>41.622854210217</v>
      </c>
      <c r="H166" s="837">
        <f t="shared" ref="H166:J166" si="51">$E$166*H165</f>
        <v>44.78044330484977</v>
      </c>
      <c r="I166" s="837">
        <f t="shared" si="51"/>
        <v>47.938032399482545</v>
      </c>
      <c r="J166" s="838">
        <f t="shared" si="51"/>
        <v>51.09562149411532</v>
      </c>
      <c r="K166" s="8"/>
      <c r="L166" s="721" t="s">
        <v>388</v>
      </c>
      <c r="M166" s="872">
        <f t="shared" ref="M166:M170" si="52">E166</f>
        <v>3.157589094632774</v>
      </c>
      <c r="N166" s="839">
        <f t="shared" ref="N166:R170" si="53">+F166/Share_Price-1</f>
        <v>0.011445309376392876</v>
      </c>
      <c r="O166" s="709">
        <f t="shared" si="53"/>
        <v>0.09447421010299761</v>
      </c>
      <c r="P166" s="709">
        <f t="shared" si="53"/>
        <v>0.17750311082960213</v>
      </c>
      <c r="Q166" s="709">
        <f t="shared" si="53"/>
        <v>0.26053201155620687</v>
      </c>
      <c r="R166" s="840">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6"/>
      <c r="E167" s="872">
        <f>$E$168*(1-$E$157)</f>
        <v>3.5522877314618704</v>
      </c>
      <c r="F167" s="841">
        <f>$E$167*F165</f>
        <v>43.27342325503225</v>
      </c>
      <c r="G167" s="842">
        <f>$E$167*G165</f>
        <v>46.82571098649412</v>
      </c>
      <c r="H167" s="842">
        <f t="shared" ref="H167:J167" si="54">$E$167*H165</f>
        <v>50.37799871795599</v>
      </c>
      <c r="I167" s="842">
        <f t="shared" si="54"/>
        <v>53.93028644941786</v>
      </c>
      <c r="J167" s="843">
        <f t="shared" si="54"/>
        <v>57.48257418087973</v>
      </c>
      <c r="K167" s="8"/>
      <c r="L167" s="726"/>
      <c r="M167" s="872">
        <f t="shared" si="52"/>
        <v>3.5522877314618704</v>
      </c>
      <c r="N167" s="844">
        <f t="shared" si="53"/>
        <v>0.137875973048442</v>
      </c>
      <c r="O167" s="586">
        <f t="shared" si="53"/>
        <v>0.23128348636587215</v>
      </c>
      <c r="P167" s="586">
        <f t="shared" si="53"/>
        <v>0.3246909996833023</v>
      </c>
      <c r="Q167" s="586">
        <f t="shared" si="53"/>
        <v>0.41809851300073264</v>
      </c>
      <c r="R167" s="722">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6"/>
      <c r="E168" s="873">
        <f>+Q155</f>
        <v>3.946986368290967</v>
      </c>
      <c r="F168" s="841">
        <f>$E$168*F165</f>
        <v>48.081581394480274</v>
      </c>
      <c r="G168" s="842">
        <f>$E$168*G165</f>
        <v>52.028567762771246</v>
      </c>
      <c r="H168" s="842">
        <f t="shared" ref="H168:J168" si="55">$E$168*H165</f>
        <v>55.97555413106221</v>
      </c>
      <c r="I168" s="842">
        <f t="shared" si="55"/>
        <v>59.922540499353175</v>
      </c>
      <c r="J168" s="843">
        <f t="shared" si="55"/>
        <v>63.86952686764415</v>
      </c>
      <c r="K168" s="8"/>
      <c r="L168" s="726"/>
      <c r="M168" s="872">
        <f>+E168</f>
        <v>3.946986368290967</v>
      </c>
      <c r="N168" s="844">
        <f t="shared" si="53"/>
        <v>0.26430663672049093</v>
      </c>
      <c r="O168" s="586">
        <f t="shared" si="53"/>
        <v>0.3680927626287469</v>
      </c>
      <c r="P168" s="586">
        <f t="shared" si="53"/>
        <v>0.47187888853700266</v>
      </c>
      <c r="Q168" s="586">
        <f t="shared" si="53"/>
        <v>0.5756650144452584</v>
      </c>
      <c r="R168" s="722">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6"/>
      <c r="E169" s="872">
        <f>$E$168*(1+$E$157)</f>
        <v>4.341685005120064</v>
      </c>
      <c r="F169" s="841">
        <f>$E$169*F165</f>
        <v>52.889739533928314</v>
      </c>
      <c r="G169" s="842">
        <f>$E$169*G165</f>
        <v>57.231424539048376</v>
      </c>
      <c r="H169" s="842">
        <f t="shared" ref="H169:J169" si="56">$E$169*H165</f>
        <v>61.57310954416844</v>
      </c>
      <c r="I169" s="842">
        <f t="shared" si="56"/>
        <v>65.9147945492885</v>
      </c>
      <c r="J169" s="843">
        <f t="shared" si="56"/>
        <v>70.25647955440857</v>
      </c>
      <c r="K169" s="8"/>
      <c r="L169" s="726"/>
      <c r="M169" s="872">
        <f t="shared" si="52"/>
        <v>4.341685005120064</v>
      </c>
      <c r="N169" s="844">
        <f t="shared" si="53"/>
        <v>0.3907373003925405</v>
      </c>
      <c r="O169" s="586">
        <f t="shared" si="53"/>
        <v>0.5049020388916217</v>
      </c>
      <c r="P169" s="586">
        <f t="shared" si="53"/>
        <v>0.619066777390703</v>
      </c>
      <c r="Q169" s="586">
        <f t="shared" si="53"/>
        <v>0.7332315158897844</v>
      </c>
      <c r="R169" s="722">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1"/>
      <c r="E170" s="872">
        <f>$E$168*(1+(2*$E$157))</f>
        <v>4.7363836419491605</v>
      </c>
      <c r="F170" s="847">
        <f>$E$170*F165</f>
        <v>57.69789767337633</v>
      </c>
      <c r="G170" s="848">
        <f>$E$170*G165</f>
        <v>62.43428131532549</v>
      </c>
      <c r="H170" s="848">
        <f t="shared" ref="H170:J170" si="57">$E$170*H165</f>
        <v>67.17066495727465</v>
      </c>
      <c r="I170" s="848">
        <f t="shared" si="57"/>
        <v>71.90704859922381</v>
      </c>
      <c r="J170" s="849">
        <f t="shared" si="57"/>
        <v>76.64343224117297</v>
      </c>
      <c r="K170" s="8"/>
      <c r="L170" s="731"/>
      <c r="M170" s="872">
        <f t="shared" si="52"/>
        <v>4.7363836419491605</v>
      </c>
      <c r="N170" s="850">
        <f t="shared" si="53"/>
        <v>0.5171679640645892</v>
      </c>
      <c r="O170" s="718">
        <f t="shared" si="53"/>
        <v>0.6417113151544962</v>
      </c>
      <c r="P170" s="718">
        <f t="shared" si="53"/>
        <v>0.7662546662444032</v>
      </c>
      <c r="Q170" s="718">
        <f t="shared" si="53"/>
        <v>0.89079801733431</v>
      </c>
      <c r="R170" s="851">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2"/>
      <c r="E172" s="624"/>
      <c r="F172" s="624" t="str">
        <f>G148&amp;" P/E Spread to Comps"</f>
        <v>NTM P/E Spread to Comps</v>
      </c>
      <c r="G172" s="716"/>
      <c r="H172" s="716"/>
      <c r="I172" s="716"/>
      <c r="J172" s="716"/>
      <c r="K172" s="8"/>
      <c r="L172" s="622"/>
      <c r="M172" s="624"/>
      <c r="N172" s="624" t="str">
        <f t="shared" ref="N172:N173" si="58">F172</f>
        <v>NTM P/E Spread to Comps</v>
      </c>
      <c r="O172" s="716"/>
      <c r="P172" s="716"/>
      <c r="Q172" s="716"/>
      <c r="R172" s="716"/>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1">
        <f>$J$130</f>
        <v>46.986241087888615</v>
      </c>
      <c r="F173" s="832">
        <f t="shared" ref="F173:G173" si="59">G173-$E$97</f>
        <v>9.904333256725565</v>
      </c>
      <c r="G173" s="832">
        <f t="shared" si="59"/>
        <v>10.904333256725565</v>
      </c>
      <c r="H173" s="833">
        <f>+E158</f>
        <v>11.904333256725565</v>
      </c>
      <c r="I173" s="832">
        <f t="shared" ref="I173:J173" si="60">H173+$E$97</f>
        <v>12.904333256725565</v>
      </c>
      <c r="J173" s="832">
        <f t="shared" si="60"/>
        <v>13.904333256725565</v>
      </c>
      <c r="K173" s="8"/>
      <c r="L173" s="8"/>
      <c r="M173" s="831">
        <f>$H$77</f>
        <v>0</v>
      </c>
      <c r="N173" s="832">
        <f t="shared" si="58"/>
        <v>9.904333256725565</v>
      </c>
      <c r="O173" s="832">
        <f t="shared" ref="O173:R173" si="61">G173</f>
        <v>10.904333256725565</v>
      </c>
      <c r="P173" s="832">
        <f t="shared" si="61"/>
        <v>11.904333256725565</v>
      </c>
      <c r="Q173" s="832">
        <f t="shared" si="61"/>
        <v>12.904333256725565</v>
      </c>
      <c r="R173" s="832">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1" t="s">
        <v>388</v>
      </c>
      <c r="E174" s="872">
        <f>$E$176*(1-(2*$E$157))</f>
        <v>3.157589094632774</v>
      </c>
      <c r="F174" s="836">
        <v>77.04538967980808</v>
      </c>
      <c r="G174" s="837">
        <v>86.50827683777938</v>
      </c>
      <c r="H174" s="837">
        <v>95.97116399575066</v>
      </c>
      <c r="I174" s="837">
        <v>105.43405115372195</v>
      </c>
      <c r="J174" s="838">
        <v>114.89693831169325</v>
      </c>
      <c r="K174" s="8"/>
      <c r="L174" s="721" t="s">
        <v>388</v>
      </c>
      <c r="M174" s="872">
        <f t="shared" ref="M174:M178" si="62">E174</f>
        <v>3.157589094632774</v>
      </c>
      <c r="N174" s="839">
        <f t="shared" ref="N174:R178" si="63">F174/Share_Price-1</f>
        <v>1.0259108514280326</v>
      </c>
      <c r="O174" s="709">
        <f t="shared" si="63"/>
        <v>1.2747377553978274</v>
      </c>
      <c r="P174" s="709">
        <f t="shared" si="63"/>
        <v>1.5235646593676218</v>
      </c>
      <c r="Q174" s="709">
        <f t="shared" si="63"/>
        <v>1.7723915633374165</v>
      </c>
      <c r="R174" s="840">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6"/>
      <c r="E175" s="872">
        <f>$E$176*(1-$E$157)</f>
        <v>3.5522877314618704</v>
      </c>
      <c r="F175" s="841">
        <v>86.67606338978408</v>
      </c>
      <c r="G175" s="842">
        <v>97.32181144250178</v>
      </c>
      <c r="H175" s="842">
        <v>107.96755949521948</v>
      </c>
      <c r="I175" s="842">
        <v>118.61330754793718</v>
      </c>
      <c r="J175" s="843">
        <v>129.25905560065488</v>
      </c>
      <c r="K175" s="8"/>
      <c r="L175" s="726"/>
      <c r="M175" s="872">
        <f t="shared" si="62"/>
        <v>3.5522877314618704</v>
      </c>
      <c r="N175" s="844">
        <f t="shared" si="63"/>
        <v>1.2791497078565364</v>
      </c>
      <c r="O175" s="586">
        <f t="shared" si="63"/>
        <v>1.5590799748225552</v>
      </c>
      <c r="P175" s="586">
        <f t="shared" si="63"/>
        <v>1.839010241788574</v>
      </c>
      <c r="Q175" s="586">
        <f t="shared" si="63"/>
        <v>2.1189405087545934</v>
      </c>
      <c r="R175" s="722">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6"/>
      <c r="E176" s="873">
        <f>+E168</f>
        <v>3.946986368290967</v>
      </c>
      <c r="F176" s="841">
        <v>96.3067370997601</v>
      </c>
      <c r="G176" s="842">
        <v>108.1353460472242</v>
      </c>
      <c r="H176" s="842">
        <v>119.96395499468832</v>
      </c>
      <c r="I176" s="842">
        <v>131.79256394215244</v>
      </c>
      <c r="J176" s="843">
        <v>143.62117288961656</v>
      </c>
      <c r="K176" s="8"/>
      <c r="L176" s="726"/>
      <c r="M176" s="872">
        <f t="shared" si="62"/>
        <v>3.946986368290967</v>
      </c>
      <c r="N176" s="844">
        <f t="shared" si="63"/>
        <v>1.5323885642850406</v>
      </c>
      <c r="O176" s="586">
        <f t="shared" si="63"/>
        <v>1.843422194247284</v>
      </c>
      <c r="P176" s="586">
        <f t="shared" si="63"/>
        <v>2.1544558242095273</v>
      </c>
      <c r="Q176" s="586">
        <f t="shared" si="63"/>
        <v>2.4654894541717707</v>
      </c>
      <c r="R176" s="722">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6"/>
      <c r="E177" s="872">
        <f>$E$176*(1+$E$157)</f>
        <v>4.341685005120064</v>
      </c>
      <c r="F177" s="841">
        <v>105.93741080973611</v>
      </c>
      <c r="G177" s="842">
        <v>118.94888065194664</v>
      </c>
      <c r="H177" s="842">
        <v>131.96035049415715</v>
      </c>
      <c r="I177" s="842">
        <v>144.97182033636767</v>
      </c>
      <c r="J177" s="843">
        <v>157.98329017857822</v>
      </c>
      <c r="K177" s="8"/>
      <c r="L177" s="726"/>
      <c r="M177" s="872">
        <f t="shared" si="62"/>
        <v>4.341685005120064</v>
      </c>
      <c r="N177" s="844">
        <f t="shared" si="63"/>
        <v>1.7856274207135447</v>
      </c>
      <c r="O177" s="586">
        <f t="shared" si="63"/>
        <v>2.1277644136720126</v>
      </c>
      <c r="P177" s="586">
        <f t="shared" si="63"/>
        <v>2.46990140663048</v>
      </c>
      <c r="Q177" s="586">
        <f t="shared" si="63"/>
        <v>2.8120383995889475</v>
      </c>
      <c r="R177" s="722">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1"/>
      <c r="E178" s="872">
        <f>$E$176*(1+(2*$E$157))</f>
        <v>4.7363836419491605</v>
      </c>
      <c r="F178" s="847">
        <v>115.5680845197121</v>
      </c>
      <c r="G178" s="848">
        <v>129.76241525666904</v>
      </c>
      <c r="H178" s="848">
        <v>143.956745993626</v>
      </c>
      <c r="I178" s="848">
        <v>158.1510767305829</v>
      </c>
      <c r="J178" s="849">
        <v>172.34540746753984</v>
      </c>
      <c r="K178" s="8"/>
      <c r="L178" s="731"/>
      <c r="M178" s="872">
        <f t="shared" si="62"/>
        <v>4.7363836419491605</v>
      </c>
      <c r="N178" s="850">
        <f t="shared" si="63"/>
        <v>2.0388662771420485</v>
      </c>
      <c r="O178" s="718">
        <f t="shared" si="63"/>
        <v>2.4121066330967404</v>
      </c>
      <c r="P178" s="718">
        <f t="shared" si="63"/>
        <v>2.7853469890514324</v>
      </c>
      <c r="Q178" s="718">
        <f t="shared" si="63"/>
        <v>3.158587345006124</v>
      </c>
      <c r="R178" s="851">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2"/>
      <c r="E180" s="624"/>
      <c r="F180" s="624" t="str">
        <f>G148&amp;" EV/EBITDA"</f>
        <v>NTM EV/EBITDA</v>
      </c>
      <c r="G180" s="716"/>
      <c r="H180" s="716"/>
      <c r="I180" s="716"/>
      <c r="J180" s="716"/>
      <c r="K180" s="8"/>
      <c r="L180" s="622"/>
      <c r="M180" s="624"/>
      <c r="N180" s="624" t="str">
        <f t="shared" ref="N180:N181" si="64">F180</f>
        <v>NTM EV/EBITDA</v>
      </c>
      <c r="O180" s="716"/>
      <c r="P180" s="716"/>
      <c r="Q180" s="716"/>
      <c r="R180" s="716"/>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1">
        <f>$N$141</f>
        <v>40.11457250438892</v>
      </c>
      <c r="F181" s="832">
        <f t="shared" ref="F181:G181" si="65">G181-$E$97</f>
        <v>9.663880000000002</v>
      </c>
      <c r="G181" s="832">
        <f t="shared" si="65"/>
        <v>10.663880000000002</v>
      </c>
      <c r="H181" s="833">
        <v>11.663880000000002</v>
      </c>
      <c r="I181" s="832">
        <f t="shared" ref="I181:J181" si="66">H181+$E$97</f>
        <v>12.663880000000002</v>
      </c>
      <c r="J181" s="832">
        <f t="shared" si="66"/>
        <v>13.663880000000002</v>
      </c>
      <c r="K181" s="8"/>
      <c r="L181" s="8"/>
      <c r="M181" s="831">
        <f>$H$77</f>
        <v>0</v>
      </c>
      <c r="N181" s="832">
        <f t="shared" si="64"/>
        <v>9.663880000000002</v>
      </c>
      <c r="O181" s="832">
        <f t="shared" ref="O181:R181" si="67">G181</f>
        <v>10.663880000000002</v>
      </c>
      <c r="P181" s="832">
        <f t="shared" si="67"/>
        <v>11.663880000000002</v>
      </c>
      <c r="Q181" s="832">
        <f t="shared" si="67"/>
        <v>12.663880000000002</v>
      </c>
      <c r="R181" s="832">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1" t="s">
        <v>279</v>
      </c>
      <c r="E182" s="808">
        <f>$E$184*(1-(2*$K$157))</f>
        <v>1117.528305335</v>
      </c>
      <c r="F182" s="836">
        <v>143.88921300864504</v>
      </c>
      <c r="G182" s="837">
        <v>155.75084055753226</v>
      </c>
      <c r="H182" s="837">
        <v>167.61246810641944</v>
      </c>
      <c r="I182" s="837">
        <v>179.4740956553066</v>
      </c>
      <c r="J182" s="838">
        <v>191.3357232041938</v>
      </c>
      <c r="K182" s="8"/>
      <c r="L182" s="721" t="s">
        <v>279</v>
      </c>
      <c r="M182" s="808">
        <f t="shared" ref="M182:M186" si="68">E182</f>
        <v>1117.528305335</v>
      </c>
      <c r="N182" s="839">
        <f t="shared" ref="N182:R186" si="69">F182/Share_Price-1</f>
        <v>2.7835712071692096</v>
      </c>
      <c r="O182" s="709">
        <f t="shared" si="69"/>
        <v>3.0954730622543325</v>
      </c>
      <c r="P182" s="709">
        <f t="shared" si="69"/>
        <v>3.407374917339454</v>
      </c>
      <c r="Q182" s="709">
        <f t="shared" si="69"/>
        <v>3.7192767724245748</v>
      </c>
      <c r="R182" s="840">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6"/>
      <c r="E183" s="808">
        <f>$E$184*(1-$K$157)</f>
        <v>1257.2193435018748</v>
      </c>
      <c r="F183" s="841">
        <v>149.6732920958656</v>
      </c>
      <c r="G183" s="842">
        <v>163.01762308836368</v>
      </c>
      <c r="H183" s="842">
        <v>176.36195408086175</v>
      </c>
      <c r="I183" s="842">
        <v>189.70628507335982</v>
      </c>
      <c r="J183" s="843">
        <v>203.05061606585792</v>
      </c>
      <c r="K183" s="8"/>
      <c r="L183" s="726"/>
      <c r="M183" s="808">
        <f t="shared" si="68"/>
        <v>1257.2193435018748</v>
      </c>
      <c r="N183" s="844">
        <f t="shared" si="69"/>
        <v>2.9356637416740887</v>
      </c>
      <c r="O183" s="586">
        <f t="shared" si="69"/>
        <v>3.2865533286448505</v>
      </c>
      <c r="P183" s="586">
        <f t="shared" si="69"/>
        <v>3.6374429156156127</v>
      </c>
      <c r="Q183" s="586">
        <f t="shared" si="69"/>
        <v>3.988332502586374</v>
      </c>
      <c r="R183" s="722">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6"/>
      <c r="E184" s="874">
        <f>+Q157</f>
        <v>1396.9103816687498</v>
      </c>
      <c r="F184" s="841">
        <v>155.4573711830861</v>
      </c>
      <c r="G184" s="842">
        <v>170.2844056191951</v>
      </c>
      <c r="H184" s="842">
        <v>185.1114400553041</v>
      </c>
      <c r="I184" s="842">
        <v>199.93847449141305</v>
      </c>
      <c r="J184" s="843">
        <v>214.76550892752203</v>
      </c>
      <c r="K184" s="8"/>
      <c r="L184" s="726"/>
      <c r="M184" s="808">
        <f t="shared" si="68"/>
        <v>1396.9103816687498</v>
      </c>
      <c r="N184" s="844">
        <f t="shared" si="69"/>
        <v>3.0877562761789665</v>
      </c>
      <c r="O184" s="586">
        <f t="shared" si="69"/>
        <v>3.4776335950353694</v>
      </c>
      <c r="P184" s="586">
        <f t="shared" si="69"/>
        <v>3.8675109138917714</v>
      </c>
      <c r="Q184" s="586">
        <f t="shared" si="69"/>
        <v>4.257388232748173</v>
      </c>
      <c r="R184" s="722">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6"/>
      <c r="E185" s="808">
        <f>$E$184*(1+$K$157)</f>
        <v>1536.601419835625</v>
      </c>
      <c r="F185" s="841">
        <v>161.24145027030664</v>
      </c>
      <c r="G185" s="842">
        <v>177.55118815002655</v>
      </c>
      <c r="H185" s="842">
        <v>193.8609260297464</v>
      </c>
      <c r="I185" s="842">
        <v>210.1706639094663</v>
      </c>
      <c r="J185" s="843">
        <v>226.48040178918617</v>
      </c>
      <c r="K185" s="8"/>
      <c r="L185" s="726"/>
      <c r="M185" s="808">
        <f t="shared" si="68"/>
        <v>1536.601419835625</v>
      </c>
      <c r="N185" s="844">
        <f t="shared" si="69"/>
        <v>3.2398488106838457</v>
      </c>
      <c r="O185" s="586">
        <f t="shared" si="69"/>
        <v>3.6687138614258883</v>
      </c>
      <c r="P185" s="586">
        <f t="shared" si="69"/>
        <v>4.09757891216793</v>
      </c>
      <c r="Q185" s="586">
        <f t="shared" si="69"/>
        <v>4.5264439629099735</v>
      </c>
      <c r="R185" s="722">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1"/>
      <c r="E186" s="808">
        <f>$E$184*(1+(2*$K$157))</f>
        <v>1676.2924580024996</v>
      </c>
      <c r="F186" s="847">
        <v>167.02552935752715</v>
      </c>
      <c r="G186" s="848">
        <v>184.81797068085794</v>
      </c>
      <c r="H186" s="848">
        <v>202.6104120041887</v>
      </c>
      <c r="I186" s="848">
        <v>220.4028533275195</v>
      </c>
      <c r="J186" s="849">
        <v>238.1952946508503</v>
      </c>
      <c r="K186" s="8"/>
      <c r="L186" s="731"/>
      <c r="M186" s="808">
        <f t="shared" si="68"/>
        <v>1676.2924580024996</v>
      </c>
      <c r="N186" s="850">
        <f t="shared" si="69"/>
        <v>3.391941345188723</v>
      </c>
      <c r="O186" s="718">
        <f t="shared" si="69"/>
        <v>3.8597941278164063</v>
      </c>
      <c r="P186" s="718">
        <f t="shared" si="69"/>
        <v>4.327646910444089</v>
      </c>
      <c r="Q186" s="718">
        <f t="shared" si="69"/>
        <v>4.795499693071772</v>
      </c>
      <c r="R186" s="851">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2"/>
      <c r="E188" s="624"/>
      <c r="F188" s="624" t="str">
        <f>G148&amp;" EV/EBITDA Spread to Comps"</f>
        <v>NTM EV/EBITDA Spread to Comps</v>
      </c>
      <c r="G188" s="716"/>
      <c r="H188" s="716"/>
      <c r="I188" s="716"/>
      <c r="J188" s="716"/>
      <c r="K188" s="8"/>
      <c r="L188" s="622"/>
      <c r="M188" s="624"/>
      <c r="N188" s="624" t="str">
        <f t="shared" ref="N188:N189" si="70">F188</f>
        <v>NTM EV/EBITDA Spread to Comps</v>
      </c>
      <c r="O188" s="716"/>
      <c r="P188" s="716"/>
      <c r="Q188" s="716"/>
      <c r="R188" s="716"/>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1">
        <f>$R$141</f>
        <v>21.831739088956986</v>
      </c>
      <c r="F189" s="832">
        <f t="shared" ref="F189:G189" si="71">G189-$E$97</f>
        <v>6.748569135827832</v>
      </c>
      <c r="G189" s="832">
        <f t="shared" si="71"/>
        <v>7.748569135827832</v>
      </c>
      <c r="H189" s="833">
        <v>8.748569135827832</v>
      </c>
      <c r="I189" s="832">
        <f t="shared" ref="I189:J189" si="72">H189+$E$97</f>
        <v>9.748569135827832</v>
      </c>
      <c r="J189" s="832">
        <f t="shared" si="72"/>
        <v>10.748569135827832</v>
      </c>
      <c r="K189" s="8"/>
      <c r="L189" s="8"/>
      <c r="M189" s="831">
        <f>$H$77</f>
        <v>0</v>
      </c>
      <c r="N189" s="832">
        <f t="shared" si="70"/>
        <v>6.748569135827832</v>
      </c>
      <c r="O189" s="832">
        <f t="shared" ref="O189:R189" si="73">G189</f>
        <v>7.748569135827832</v>
      </c>
      <c r="P189" s="832">
        <f t="shared" si="73"/>
        <v>8.748569135827832</v>
      </c>
      <c r="Q189" s="832">
        <f t="shared" si="73"/>
        <v>9.748569135827832</v>
      </c>
      <c r="R189" s="832">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1" t="s">
        <v>279</v>
      </c>
      <c r="E190" s="808">
        <f>$E$192*(1-(2*$K$157))</f>
        <v>1117.528305335</v>
      </c>
      <c r="F190" s="836">
        <v>184.53463986686378</v>
      </c>
      <c r="G190" s="837">
        <v>196.39626741575094</v>
      </c>
      <c r="H190" s="837">
        <v>208.25789496463815</v>
      </c>
      <c r="I190" s="837">
        <v>220.11952251352534</v>
      </c>
      <c r="J190" s="838">
        <v>231.98115006241252</v>
      </c>
      <c r="K190" s="8"/>
      <c r="L190" s="721" t="s">
        <v>279</v>
      </c>
      <c r="M190" s="808">
        <f t="shared" ref="M190:M194" si="74">E190</f>
        <v>1117.528305335</v>
      </c>
      <c r="N190" s="839">
        <f t="shared" ref="N190:R194" si="75">F190/Share_Price-1</f>
        <v>3.8523439354947087</v>
      </c>
      <c r="O190" s="709">
        <f t="shared" si="75"/>
        <v>4.16424579057983</v>
      </c>
      <c r="P190" s="709">
        <f t="shared" si="75"/>
        <v>4.476147645664953</v>
      </c>
      <c r="Q190" s="709">
        <f t="shared" si="75"/>
        <v>4.788049500750074</v>
      </c>
      <c r="R190" s="840">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6"/>
      <c r="E191" s="808">
        <f>$E$192*(1-$K$157)</f>
        <v>1257.2193435018748</v>
      </c>
      <c r="F191" s="841">
        <v>195.39939731136164</v>
      </c>
      <c r="G191" s="842">
        <v>208.7437283038597</v>
      </c>
      <c r="H191" s="842">
        <v>222.08805929635778</v>
      </c>
      <c r="I191" s="842">
        <v>235.4323902888559</v>
      </c>
      <c r="J191" s="843">
        <v>248.77672128135396</v>
      </c>
      <c r="K191" s="8"/>
      <c r="L191" s="726"/>
      <c r="M191" s="808">
        <f t="shared" si="74"/>
        <v>1257.2193435018748</v>
      </c>
      <c r="N191" s="844">
        <f t="shared" si="75"/>
        <v>4.138033061040274</v>
      </c>
      <c r="O191" s="586">
        <f t="shared" si="75"/>
        <v>4.4889226480110365</v>
      </c>
      <c r="P191" s="586">
        <f t="shared" si="75"/>
        <v>4.839812234981798</v>
      </c>
      <c r="Q191" s="586">
        <f t="shared" si="75"/>
        <v>5.190701821952561</v>
      </c>
      <c r="R191" s="722">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6"/>
      <c r="E192" s="874">
        <f>+E184</f>
        <v>1396.9103816687498</v>
      </c>
      <c r="F192" s="841">
        <v>206.2641547558595</v>
      </c>
      <c r="G192" s="842">
        <v>221.09118919196848</v>
      </c>
      <c r="H192" s="842">
        <v>235.91822362807747</v>
      </c>
      <c r="I192" s="842">
        <v>250.74525806418646</v>
      </c>
      <c r="J192" s="843">
        <v>265.5722925002954</v>
      </c>
      <c r="K192" s="8"/>
      <c r="L192" s="726"/>
      <c r="M192" s="808">
        <f t="shared" si="74"/>
        <v>1396.9103816687498</v>
      </c>
      <c r="N192" s="844">
        <f t="shared" si="75"/>
        <v>4.42372218658584</v>
      </c>
      <c r="O192" s="586">
        <f t="shared" si="75"/>
        <v>4.813599505442243</v>
      </c>
      <c r="P192" s="586">
        <f t="shared" si="75"/>
        <v>5.203476824298645</v>
      </c>
      <c r="Q192" s="586">
        <f t="shared" si="75"/>
        <v>5.5933541431550475</v>
      </c>
      <c r="R192" s="722">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6"/>
      <c r="E193" s="808">
        <f>$E$192*(1+$K$157)</f>
        <v>1536.601419835625</v>
      </c>
      <c r="F193" s="841">
        <v>217.12891220035735</v>
      </c>
      <c r="G193" s="842">
        <v>233.43865008007725</v>
      </c>
      <c r="H193" s="842">
        <v>249.74838795979713</v>
      </c>
      <c r="I193" s="842">
        <v>266.058125839517</v>
      </c>
      <c r="J193" s="843">
        <v>282.36786371923694</v>
      </c>
      <c r="K193" s="8"/>
      <c r="L193" s="726"/>
      <c r="M193" s="808">
        <f t="shared" si="74"/>
        <v>1536.601419835625</v>
      </c>
      <c r="N193" s="844">
        <f t="shared" si="75"/>
        <v>4.709411312131405</v>
      </c>
      <c r="O193" s="586">
        <f t="shared" si="75"/>
        <v>5.138276362873449</v>
      </c>
      <c r="P193" s="586">
        <f t="shared" si="75"/>
        <v>5.567141413615491</v>
      </c>
      <c r="Q193" s="586">
        <f t="shared" si="75"/>
        <v>5.996006464357533</v>
      </c>
      <c r="R193" s="722">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1"/>
      <c r="E194" s="808">
        <f>$E$192*(1+(2*$K$157))</f>
        <v>1676.2924580024996</v>
      </c>
      <c r="F194" s="847">
        <v>227.99366964485523</v>
      </c>
      <c r="G194" s="848">
        <v>245.78611096818602</v>
      </c>
      <c r="H194" s="848">
        <v>263.57855229151676</v>
      </c>
      <c r="I194" s="848">
        <v>281.3709936148476</v>
      </c>
      <c r="J194" s="849">
        <v>299.16343493817834</v>
      </c>
      <c r="K194" s="8"/>
      <c r="L194" s="731"/>
      <c r="M194" s="808">
        <f t="shared" si="74"/>
        <v>1676.2924580024996</v>
      </c>
      <c r="N194" s="850">
        <f t="shared" si="75"/>
        <v>4.995100437676972</v>
      </c>
      <c r="O194" s="718">
        <f t="shared" si="75"/>
        <v>5.462953220304654</v>
      </c>
      <c r="P194" s="718">
        <f t="shared" si="75"/>
        <v>5.930806002932337</v>
      </c>
      <c r="Q194" s="718">
        <f t="shared" si="75"/>
        <v>6.39865878556002</v>
      </c>
      <c r="R194" s="851">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4">
        <f>$D$11</f>
        <v>8.3</v>
      </c>
      <c r="G200" s="8"/>
      <c r="H200" s="859" t="s">
        <v>1040</v>
      </c>
      <c r="I200" s="8"/>
      <c r="J200" s="854">
        <f t="array" ref="J200">INDEX(Company_Cyclical_Multiples_Data,MATCH(CONCATENATE($G$224," ",$G$225),'Multiples Data'!$C$14:$C$26,0),MATCH(CONCATENATE(Valuation!$G$226," P/E"),'Multiples Data'!$C$14:$H$14,0))</f>
        <v>15.122041525404525</v>
      </c>
      <c r="K200" s="8"/>
      <c r="L200" s="186" t="s">
        <v>1003</v>
      </c>
      <c r="M200" s="8"/>
      <c r="N200" s="854">
        <f>$D$12</f>
        <v>10.8796</v>
      </c>
      <c r="O200" s="8"/>
      <c r="P200" s="859" t="s">
        <v>1040</v>
      </c>
      <c r="Q200" s="8"/>
      <c r="R200" s="854">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9" t="s">
        <v>1041</v>
      </c>
      <c r="E201" s="8"/>
      <c r="F201" s="854">
        <f t="array" ref="F201">INDEX(Company_Cyclical_Multiples_Data,MATCH(CONCATENATE($G$224," ",$G$225),'Multiples Data'!$C$14:$C$26,0),MATCH(CONCATENATE(Valuation!$G$226," P/E"),'Multiples Data'!$C$14:$H$14,0))</f>
        <v>15.122041525404525</v>
      </c>
      <c r="G201" s="8"/>
      <c r="H201" s="859" t="s">
        <v>1042</v>
      </c>
      <c r="I201" s="8"/>
      <c r="J201" s="854">
        <f t="array" ref="J201">INDEX($J$224:$O$226,2,MATCH($G$227,$J$224:$O$224,0))</f>
        <v>12.901904038556673</v>
      </c>
      <c r="K201" s="8"/>
      <c r="L201" s="186" t="s">
        <v>1041</v>
      </c>
      <c r="M201" s="8"/>
      <c r="N201" s="854">
        <f>INDEX(Company_Cyclical_Multiples_Data,MATCH(CONCATENATE($G$224," ",$G$225),'Multiples Data'!$C$14:$C$26,0),MATCH(CONCATENATE(Valuation!$G$226," EV/EBITDA"),'Multiples Data'!$C$14:$H$14,0))</f>
        <v>6.663017540427217</v>
      </c>
      <c r="O201" s="8"/>
      <c r="P201" s="859" t="s">
        <v>1042</v>
      </c>
      <c r="Q201" s="8"/>
      <c r="R201" s="854">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5">
        <f>F200/F201-1</f>
        <v>-0.4511323100087856</v>
      </c>
      <c r="G202" s="8"/>
      <c r="H202" s="302" t="s">
        <v>1008</v>
      </c>
      <c r="I202" s="8"/>
      <c r="J202" s="856">
        <f>J200/J201-1</f>
        <v>0.17207828241576495</v>
      </c>
      <c r="K202" s="8"/>
      <c r="L202" s="302" t="s">
        <v>1007</v>
      </c>
      <c r="M202" s="300"/>
      <c r="N202" s="855">
        <f>N200/N201-1</f>
        <v>0.6328337624790983</v>
      </c>
      <c r="O202" s="8"/>
      <c r="P202" s="302" t="s">
        <v>1008</v>
      </c>
      <c r="Q202" s="8"/>
      <c r="R202" s="855">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7">
        <v>0</v>
      </c>
      <c r="G203" s="8"/>
      <c r="H203" s="186" t="s">
        <v>1010</v>
      </c>
      <c r="I203" s="8"/>
      <c r="J203" s="854">
        <f>IF($G$227=$K$224,$E$11,IF($G$227=$M$224,$E$16,IF($G$227=$O$224,$E$21,"N/A")))</f>
        <v>12.44131492677972</v>
      </c>
      <c r="K203" s="8"/>
      <c r="L203" s="302" t="s">
        <v>1009</v>
      </c>
      <c r="M203" s="300"/>
      <c r="N203" s="857">
        <v>0</v>
      </c>
      <c r="O203" s="8"/>
      <c r="P203" s="186" t="s">
        <v>1010</v>
      </c>
      <c r="Q203" s="8"/>
      <c r="R203" s="854">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4">
        <f>F201*(1+F203)</f>
        <v>15.122041525404525</v>
      </c>
      <c r="G205" s="8"/>
      <c r="H205" s="186" t="s">
        <v>1011</v>
      </c>
      <c r="I205" s="8"/>
      <c r="J205" s="854">
        <f>J203*(1+J202)</f>
        <v>14.582195030373592</v>
      </c>
      <c r="K205" s="8"/>
      <c r="L205" s="186" t="s">
        <v>1011</v>
      </c>
      <c r="M205" s="8"/>
      <c r="N205" s="854">
        <f>N201*(1+N203)</f>
        <v>6.663017540427217</v>
      </c>
      <c r="O205" s="8"/>
      <c r="P205" s="186" t="s">
        <v>1011</v>
      </c>
      <c r="Q205" s="8"/>
      <c r="R205" s="854">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8">
        <f>SUM(NTM_EPS)</f>
        <v>3.946986368290967</v>
      </c>
      <c r="G206" s="8"/>
      <c r="H206" s="186" t="s">
        <v>1012</v>
      </c>
      <c r="I206" s="8"/>
      <c r="J206" s="858">
        <f>SUM(NTM_EPS)</f>
        <v>3.946986368290967</v>
      </c>
      <c r="K206" s="8"/>
      <c r="L206" s="859" t="s">
        <v>1013</v>
      </c>
      <c r="M206" s="8"/>
      <c r="N206" s="860">
        <f>SUM(NTM_EBITDA)</f>
        <v>1396.9103816687498</v>
      </c>
      <c r="O206" s="8"/>
      <c r="P206" s="186" t="s">
        <v>1013</v>
      </c>
      <c r="Q206" s="8"/>
      <c r="R206" s="860">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1"/>
      <c r="G207" s="8"/>
      <c r="H207" s="186"/>
      <c r="I207" s="8"/>
      <c r="J207" s="861"/>
      <c r="K207" s="8"/>
      <c r="L207" s="186" t="s">
        <v>1014</v>
      </c>
      <c r="M207" s="8"/>
      <c r="N207" s="860">
        <f>N205*N206</f>
        <v>9307.638375463757</v>
      </c>
      <c r="O207" s="8"/>
      <c r="P207" s="186" t="s">
        <v>1014</v>
      </c>
      <c r="Q207" s="8"/>
      <c r="R207" s="860">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8">
        <f>F205*F206</f>
        <v>59.6864917615016</v>
      </c>
      <c r="G208" s="8"/>
      <c r="H208" s="186" t="s">
        <v>1015</v>
      </c>
      <c r="I208" s="8"/>
      <c r="J208" s="858">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9">
        <f>F208/Share_Price-1</f>
        <v>0.5694581057455061</v>
      </c>
      <c r="G209" s="8"/>
      <c r="H209" s="305" t="s">
        <v>1016</v>
      </c>
      <c r="I209" s="122"/>
      <c r="J209" s="819">
        <f>J208/Share_Price-1</f>
        <v>0.5134295294410951</v>
      </c>
      <c r="K209" s="8"/>
      <c r="L209" s="186" t="s">
        <v>1017</v>
      </c>
      <c r="M209" s="8"/>
      <c r="N209" s="811">
        <f t="shared" ref="N209:N214" si="76">N131</f>
        <v>9605.263504524113</v>
      </c>
      <c r="O209" s="8"/>
      <c r="P209" s="186" t="s">
        <v>1017</v>
      </c>
      <c r="Q209" s="8"/>
      <c r="R209" s="811">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1">
        <f t="shared" si="76"/>
        <v>0.1</v>
      </c>
      <c r="O210" s="8"/>
      <c r="P210" s="186" t="s">
        <v>1018</v>
      </c>
      <c r="Q210" s="8"/>
      <c r="R210" s="811">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1">
        <f t="shared" si="76"/>
        <v>-16895.891</v>
      </c>
      <c r="O211" s="8"/>
      <c r="P211" s="186" t="s">
        <v>1019</v>
      </c>
      <c r="Q211" s="8"/>
      <c r="R211" s="811">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1">
        <f t="shared" si="76"/>
        <v>0</v>
      </c>
      <c r="O212" s="8"/>
      <c r="P212" s="186" t="s">
        <v>1020</v>
      </c>
      <c r="Q212" s="8"/>
      <c r="R212" s="811">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4"/>
      <c r="C213" s="695"/>
      <c r="D213" s="8"/>
      <c r="E213" s="8"/>
      <c r="F213" s="8"/>
      <c r="G213" s="8"/>
      <c r="H213" s="8"/>
      <c r="I213" s="8"/>
      <c r="J213" s="8"/>
      <c r="K213" s="8"/>
      <c r="L213" s="186" t="s">
        <v>1021</v>
      </c>
      <c r="M213" s="8"/>
      <c r="N213" s="811">
        <f t="shared" si="76"/>
        <v>0</v>
      </c>
      <c r="O213" s="8"/>
      <c r="P213" s="186" t="s">
        <v>1021</v>
      </c>
      <c r="Q213" s="8"/>
      <c r="R213" s="811">
        <f t="shared" si="77"/>
        <v>0</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4"/>
      <c r="C214" s="8"/>
      <c r="D214" s="75"/>
      <c r="E214" s="75"/>
      <c r="F214" s="341"/>
      <c r="G214" s="341"/>
      <c r="H214" s="341"/>
      <c r="I214" s="341"/>
      <c r="J214" s="341"/>
      <c r="K214" s="8"/>
      <c r="L214" s="186" t="s">
        <v>1022</v>
      </c>
      <c r="M214" s="122"/>
      <c r="N214" s="865">
        <f t="shared" si="76"/>
        <v>0</v>
      </c>
      <c r="O214" s="8"/>
      <c r="P214" s="190" t="s">
        <v>1022</v>
      </c>
      <c r="Q214" s="122"/>
      <c r="R214" s="865">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4"/>
      <c r="C215" s="75"/>
      <c r="D215" s="774"/>
      <c r="E215" s="774"/>
      <c r="F215" s="774"/>
      <c r="G215" s="774"/>
      <c r="H215" s="774"/>
      <c r="I215" s="774"/>
      <c r="J215" s="774"/>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4"/>
      <c r="E216" s="774"/>
      <c r="F216" s="774"/>
      <c r="G216" s="774"/>
      <c r="H216" s="774"/>
      <c r="I216" s="774"/>
      <c r="J216" s="774"/>
      <c r="K216" s="8"/>
      <c r="L216" s="186" t="s">
        <v>1023</v>
      </c>
      <c r="M216" s="8"/>
      <c r="N216" s="860">
        <f>SUM(N207:N214)</f>
        <v>1949.6038799878675</v>
      </c>
      <c r="O216" s="8"/>
      <c r="P216" s="186" t="s">
        <v>1023</v>
      </c>
      <c r="Q216" s="8"/>
      <c r="R216" s="860">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5">
        <f>Diluted_Shares</f>
        <v>222.746</v>
      </c>
      <c r="O217" s="8"/>
      <c r="P217" s="186" t="s">
        <v>405</v>
      </c>
      <c r="Q217" s="8"/>
      <c r="R217" s="876">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5"/>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60">
        <f>N216/N217</f>
        <v>8.752587610946403</v>
      </c>
      <c r="O219" s="8"/>
      <c r="P219" s="186" t="s">
        <v>1015</v>
      </c>
      <c r="Q219" s="8"/>
      <c r="R219" s="860">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4"/>
      <c r="E220" s="774"/>
      <c r="F220" s="774"/>
      <c r="G220" s="774"/>
      <c r="H220" s="774"/>
      <c r="I220" s="774"/>
      <c r="J220" s="774"/>
      <c r="K220" s="8"/>
      <c r="L220" s="305" t="s">
        <v>1016</v>
      </c>
      <c r="M220" s="122"/>
      <c r="N220" s="819">
        <f>N219/Share_Price-1</f>
        <v>-0.769850444098175</v>
      </c>
      <c r="O220" s="8"/>
      <c r="P220" s="305" t="s">
        <v>1016</v>
      </c>
      <c r="Q220" s="122"/>
      <c r="R220" s="819">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8"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4">
        <f t="array" ref="K225">INDEX(Primary_Peer_Cyclical_Valuation_Data,MATCH(CONCATENATE(Cycle_Toggle," ",Cycle_Period_Toggle),'Multiples Data'!$C$36:$C$48,0),MATCH(CONCATENATE(Cyclical_LTM_NTM_Toggle," P/E"),'Multiples Data'!$C$36:$H$36,0))</f>
        <v>12.901904038556673</v>
      </c>
      <c r="L225" s="57"/>
      <c r="M225" s="774">
        <f t="array" ref="M225">INDEX(PeerGroup2_Cyclical_Valuation_Data,MATCH(CONCATENATE(Cycle_Toggle," ",Cycle_Period_Toggle),'Multiples Data'!$C$58:$C$70,0),MATCH(CONCATENATE(Cyclical_LTM_NTM_Toggle," P/E"),'Multiples Data'!$C$58:$H$58,0))</f>
        <v>13.060402390627019</v>
      </c>
      <c r="N225" s="57"/>
      <c r="O225" s="774">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4">
        <f t="array" ref="K226">INDEX(Primary_Peer_Cyclical_Valuation_Data,MATCH(CONCATENATE(Cycle_Toggle," ",Cycle_Period_Toggle),'Multiples Data'!$C$36:$C$48,0),MATCH(CONCATENATE(Cyclical_LTM_NTM_Toggle," EV/EBITDA"),'Multiples Data'!$C$36:$H$36,0))</f>
        <v>8.871371060812614</v>
      </c>
      <c r="L226" s="57"/>
      <c r="M226" s="774">
        <f t="array" ref="M226">INDEX(PeerGroup2_Cyclical_Valuation_Data,MATCH(CONCATENATE(Cycle_Toggle," ",Cycle_Period_Toggle),'Multiples Data'!$C$58:$C$70,0),MATCH(CONCATENATE(Cyclical_LTM_NTM_Toggle," EV/EBITDA"),'Multiples Data'!$C$58:$H$58,0))</f>
        <v>7.678384205247906</v>
      </c>
      <c r="N226" s="57"/>
      <c r="O226" s="774">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8"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20">
        <f>$F$205</f>
        <v>15.122041525404525</v>
      </c>
      <c r="F231" s="715">
        <f>E231-H241</f>
        <v>0</v>
      </c>
      <c r="G231" s="8"/>
      <c r="H231" s="8" t="s">
        <v>1033</v>
      </c>
      <c r="I231" s="8"/>
      <c r="J231" s="8"/>
      <c r="K231" s="820">
        <f>$N$205</f>
        <v>6.663017540427217</v>
      </c>
      <c r="L231" s="715">
        <f>K231-H257</f>
        <v>0</v>
      </c>
      <c r="M231" s="8"/>
      <c r="N231" s="7" t="s">
        <v>1012</v>
      </c>
      <c r="O231" s="8"/>
      <c r="P231" s="8"/>
      <c r="Q231" s="866">
        <f>F206</f>
        <v>3.946986368290967</v>
      </c>
      <c r="R231" s="867">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8">
        <v>1</v>
      </c>
      <c r="F232" s="868"/>
      <c r="G232" s="8"/>
      <c r="H232" s="8" t="s">
        <v>993</v>
      </c>
      <c r="I232" s="8"/>
      <c r="J232" s="8"/>
      <c r="K232" s="828">
        <v>1</v>
      </c>
      <c r="L232" s="868"/>
      <c r="M232" s="8"/>
      <c r="N232" s="515" t="s">
        <v>1034</v>
      </c>
      <c r="O232" s="8"/>
      <c r="P232" s="8"/>
      <c r="Q232" s="8"/>
      <c r="R232" s="867">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9">
        <v>0.1</v>
      </c>
      <c r="F233" s="868"/>
      <c r="G233" s="8"/>
      <c r="H233" s="8" t="s">
        <v>1036</v>
      </c>
      <c r="I233" s="8"/>
      <c r="J233" s="8"/>
      <c r="K233" s="829">
        <v>0.1</v>
      </c>
      <c r="L233" s="868"/>
      <c r="M233" s="8"/>
      <c r="N233" s="7" t="s">
        <v>1013</v>
      </c>
      <c r="O233" s="8"/>
      <c r="P233" s="8"/>
      <c r="Q233" s="869">
        <f>N206</f>
        <v>1396.9103816687498</v>
      </c>
      <c r="R233" s="867">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20">
        <f>$J$205</f>
        <v>14.582195030373592</v>
      </c>
      <c r="F234" s="715">
        <f>E234-H249</f>
        <v>0</v>
      </c>
      <c r="G234" s="8"/>
      <c r="H234" s="8" t="s">
        <v>1038</v>
      </c>
      <c r="I234" s="8"/>
      <c r="J234" s="8"/>
      <c r="K234" s="820">
        <f>$R$205</f>
        <v>5.736153863821548</v>
      </c>
      <c r="L234" s="715">
        <f>K234-H265</f>
        <v>0</v>
      </c>
      <c r="M234" s="8"/>
      <c r="N234" s="515" t="s">
        <v>1034</v>
      </c>
      <c r="O234" s="871"/>
      <c r="P234" s="8"/>
      <c r="Q234" s="8"/>
      <c r="R234" s="867">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8">
        <v>1</v>
      </c>
      <c r="F235" s="868"/>
      <c r="G235" s="8"/>
      <c r="H235" s="8" t="s">
        <v>993</v>
      </c>
      <c r="I235" s="8"/>
      <c r="J235" s="8"/>
      <c r="K235" s="828">
        <v>1</v>
      </c>
      <c r="L235" s="868"/>
      <c r="M235" s="8"/>
      <c r="N235" s="8"/>
      <c r="O235" s="871"/>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30"/>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30"/>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2"/>
      <c r="E240" s="624"/>
      <c r="F240" s="624" t="str">
        <f>$G$224&amp;" "&amp;$G$225&amp;" P/E"</f>
        <v>2009-2018 Mid Cycle P/E</v>
      </c>
      <c r="G240" s="716"/>
      <c r="H240" s="716"/>
      <c r="I240" s="716"/>
      <c r="J240" s="716"/>
      <c r="K240" s="8"/>
      <c r="L240" s="622"/>
      <c r="M240" s="624"/>
      <c r="N240" s="624" t="str">
        <f t="shared" ref="N240:N241" si="78">F240</f>
        <v>2009-2018 Mid Cycle P/E</v>
      </c>
      <c r="O240" s="716"/>
      <c r="P240" s="716"/>
      <c r="Q240" s="716"/>
      <c r="R240" s="716"/>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1">
        <f>$F$208</f>
        <v>59.6864917615016</v>
      </c>
      <c r="F241" s="832">
        <f t="shared" ref="F241:G241" si="79">G241-$E$97</f>
        <v>13.122041525404525</v>
      </c>
      <c r="G241" s="832">
        <f t="shared" si="79"/>
        <v>14.122041525404525</v>
      </c>
      <c r="H241" s="833">
        <v>15.122041525404525</v>
      </c>
      <c r="I241" s="832">
        <f t="shared" ref="I241:J241" si="80">H241+$E$97</f>
        <v>16.122041525404526</v>
      </c>
      <c r="J241" s="832">
        <f t="shared" si="80"/>
        <v>17.122041525404526</v>
      </c>
      <c r="K241" s="8"/>
      <c r="L241" s="8"/>
      <c r="M241" s="834">
        <f>$H$77</f>
        <v>0</v>
      </c>
      <c r="N241" s="832">
        <f t="shared" si="78"/>
        <v>13.122041525404525</v>
      </c>
      <c r="O241" s="832">
        <f t="shared" ref="O241:R241" si="81">G241</f>
        <v>14.122041525404525</v>
      </c>
      <c r="P241" s="832">
        <f t="shared" si="81"/>
        <v>15.122041525404525</v>
      </c>
      <c r="Q241" s="832">
        <f t="shared" si="81"/>
        <v>16.122041525404526</v>
      </c>
      <c r="R241" s="832">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1" t="s">
        <v>388</v>
      </c>
      <c r="E242" s="872">
        <f>$E$168*(1-(2*$E$157))</f>
        <v>3.157589094632774</v>
      </c>
      <c r="F242" s="836">
        <v>100.5985339433191</v>
      </c>
      <c r="G242" s="837">
        <v>110.06142110129038</v>
      </c>
      <c r="H242" s="837">
        <v>119.52430825926167</v>
      </c>
      <c r="I242" s="837">
        <v>128.98719541723295</v>
      </c>
      <c r="J242" s="838">
        <v>138.45008257520425</v>
      </c>
      <c r="K242" s="8"/>
      <c r="L242" s="721" t="s">
        <v>388</v>
      </c>
      <c r="M242" s="872">
        <f t="shared" ref="M242:M246" si="82">E242</f>
        <v>3.157589094632774</v>
      </c>
      <c r="N242" s="839">
        <f t="shared" ref="N242:R246" si="83">F242/Share_Price-1</f>
        <v>1.6452414920672913</v>
      </c>
      <c r="O242" s="709">
        <f t="shared" si="83"/>
        <v>1.8940683960370857</v>
      </c>
      <c r="P242" s="709">
        <f t="shared" si="83"/>
        <v>2.1428953000068804</v>
      </c>
      <c r="Q242" s="709">
        <f t="shared" si="83"/>
        <v>2.391722203976675</v>
      </c>
      <c r="R242" s="840">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6"/>
      <c r="E243" s="872">
        <f>$E$168*(1-$E$157)</f>
        <v>3.5522877314618704</v>
      </c>
      <c r="F243" s="841">
        <v>113.17335068623396</v>
      </c>
      <c r="G243" s="842">
        <v>123.81909873895167</v>
      </c>
      <c r="H243" s="842">
        <v>134.46484679166937</v>
      </c>
      <c r="I243" s="842">
        <v>145.11059484438707</v>
      </c>
      <c r="J243" s="843">
        <v>155.75634289710476</v>
      </c>
      <c r="K243" s="8"/>
      <c r="L243" s="726"/>
      <c r="M243" s="872">
        <f t="shared" si="82"/>
        <v>3.5522877314618704</v>
      </c>
      <c r="N243" s="844">
        <f t="shared" si="83"/>
        <v>1.9758966785757024</v>
      </c>
      <c r="O243" s="586">
        <f t="shared" si="83"/>
        <v>2.2558269455417213</v>
      </c>
      <c r="P243" s="586">
        <f t="shared" si="83"/>
        <v>2.5357572125077406</v>
      </c>
      <c r="Q243" s="586">
        <f t="shared" si="83"/>
        <v>2.815687479473759</v>
      </c>
      <c r="R243" s="722">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6"/>
      <c r="E244" s="873">
        <f>Q231</f>
        <v>3.946986368290967</v>
      </c>
      <c r="F244" s="841">
        <v>125.63589812132741</v>
      </c>
      <c r="G244" s="842">
        <v>137.4539463603043</v>
      </c>
      <c r="H244" s="842">
        <v>149.2719945992812</v>
      </c>
      <c r="I244" s="842">
        <v>161.09004283825806</v>
      </c>
      <c r="J244" s="843">
        <v>172.90809107723496</v>
      </c>
      <c r="K244" s="8"/>
      <c r="L244" s="726"/>
      <c r="M244" s="872">
        <f t="shared" si="82"/>
        <v>3.946986368290967</v>
      </c>
      <c r="N244" s="844">
        <f t="shared" si="83"/>
        <v>2.3035997402400055</v>
      </c>
      <c r="O244" s="586">
        <f t="shared" si="83"/>
        <v>2.6143556760532287</v>
      </c>
      <c r="P244" s="586">
        <f t="shared" si="83"/>
        <v>2.9251116118664524</v>
      </c>
      <c r="Q244" s="586">
        <f t="shared" si="83"/>
        <v>3.2358675476796757</v>
      </c>
      <c r="R244" s="722">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6"/>
      <c r="E245" s="872">
        <f>$E$168*(1+$E$157)</f>
        <v>4.341685005120064</v>
      </c>
      <c r="F245" s="841">
        <v>138.32298417206374</v>
      </c>
      <c r="G245" s="842">
        <v>151.33445401427429</v>
      </c>
      <c r="H245" s="842">
        <v>164.3459238564848</v>
      </c>
      <c r="I245" s="842">
        <v>177.35739369869532</v>
      </c>
      <c r="J245" s="843">
        <v>190.36886354090583</v>
      </c>
      <c r="K245" s="8"/>
      <c r="L245" s="726"/>
      <c r="M245" s="872">
        <f t="shared" si="82"/>
        <v>4.341685005120064</v>
      </c>
      <c r="N245" s="844">
        <f t="shared" si="83"/>
        <v>2.6372070515925254</v>
      </c>
      <c r="O245" s="586">
        <f t="shared" si="83"/>
        <v>2.9793440445509933</v>
      </c>
      <c r="P245" s="586">
        <f t="shared" si="83"/>
        <v>3.3214810375094608</v>
      </c>
      <c r="Q245" s="586">
        <f t="shared" si="83"/>
        <v>3.663618030467928</v>
      </c>
      <c r="R245" s="722">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1"/>
      <c r="E246" s="872">
        <f>$E$168*(1+(2*$E$157))</f>
        <v>4.7363836419491605</v>
      </c>
      <c r="F246" s="847">
        <v>150.89780091497863</v>
      </c>
      <c r="G246" s="848">
        <v>165.09213165193555</v>
      </c>
      <c r="H246" s="848">
        <v>179.2864623888925</v>
      </c>
      <c r="I246" s="848">
        <v>193.48079312584943</v>
      </c>
      <c r="J246" s="849">
        <v>207.67512386280637</v>
      </c>
      <c r="K246" s="8"/>
      <c r="L246" s="731"/>
      <c r="M246" s="872">
        <f t="shared" si="82"/>
        <v>4.7363836419491605</v>
      </c>
      <c r="N246" s="850">
        <f t="shared" si="83"/>
        <v>2.967862238100937</v>
      </c>
      <c r="O246" s="718">
        <f t="shared" si="83"/>
        <v>3.341102594055628</v>
      </c>
      <c r="P246" s="718">
        <f t="shared" si="83"/>
        <v>3.7143429500103204</v>
      </c>
      <c r="Q246" s="718">
        <f t="shared" si="83"/>
        <v>4.087583305965013</v>
      </c>
      <c r="R246" s="851">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2"/>
      <c r="E248" s="624"/>
      <c r="F248" s="624" t="str">
        <f>$G$224&amp;" "&amp;$G$225&amp;" P/E Spread to Comps"</f>
        <v>2009-2018 Mid Cycle P/E Spread to Comps</v>
      </c>
      <c r="G248" s="716"/>
      <c r="H248" s="716"/>
      <c r="I248" s="716"/>
      <c r="J248" s="716"/>
      <c r="K248" s="8"/>
      <c r="L248" s="622"/>
      <c r="M248" s="624"/>
      <c r="N248" s="624" t="str">
        <f t="shared" ref="N248:N249" si="84">F248</f>
        <v>2009-2018 Mid Cycle P/E Spread to Comps</v>
      </c>
      <c r="O248" s="716"/>
      <c r="P248" s="716"/>
      <c r="Q248" s="716"/>
      <c r="R248" s="716"/>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1">
        <f>$J$208</f>
        <v>57.55572500464485</v>
      </c>
      <c r="F249" s="832">
        <f t="shared" ref="F249:G249" si="85">G249-$E$97</f>
        <v>12.582195030373592</v>
      </c>
      <c r="G249" s="832">
        <f t="shared" si="85"/>
        <v>13.582195030373592</v>
      </c>
      <c r="H249" s="833">
        <f>E234</f>
        <v>14.582195030373592</v>
      </c>
      <c r="I249" s="832">
        <f t="shared" ref="I249:J249" si="86">H249+$E$97</f>
        <v>15.582195030373592</v>
      </c>
      <c r="J249" s="832">
        <f t="shared" si="86"/>
        <v>16.58219503037359</v>
      </c>
      <c r="K249" s="8"/>
      <c r="L249" s="8"/>
      <c r="M249" s="831">
        <f>$H$77</f>
        <v>0</v>
      </c>
      <c r="N249" s="832">
        <f t="shared" si="84"/>
        <v>12.582195030373592</v>
      </c>
      <c r="O249" s="832">
        <f t="shared" ref="O249:R249" si="87">G249</f>
        <v>13.582195030373592</v>
      </c>
      <c r="P249" s="832">
        <f t="shared" si="87"/>
        <v>14.582195030373592</v>
      </c>
      <c r="Q249" s="832">
        <f t="shared" si="87"/>
        <v>15.582195030373592</v>
      </c>
      <c r="R249" s="832">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1" t="s">
        <v>388</v>
      </c>
      <c r="E250" s="872">
        <f>$E$176*(1-(2*$E$157))</f>
        <v>3.157589094632774</v>
      </c>
      <c r="F250" s="836">
        <v>79.93301956907555</v>
      </c>
      <c r="G250" s="837">
        <v>89.39590672704685</v>
      </c>
      <c r="H250" s="837">
        <v>98.85879388501814</v>
      </c>
      <c r="I250" s="837">
        <v>108.32168104298943</v>
      </c>
      <c r="J250" s="838">
        <v>117.78456820096072</v>
      </c>
      <c r="K250" s="8"/>
      <c r="L250" s="721" t="s">
        <v>388</v>
      </c>
      <c r="M250" s="872">
        <f t="shared" ref="M250:M254" si="88">E250</f>
        <v>3.157589094632774</v>
      </c>
      <c r="N250" s="839">
        <f t="shared" ref="N250:R254" si="89">F250/Share_Price-1</f>
        <v>1.1018411666861834</v>
      </c>
      <c r="O250" s="709">
        <f t="shared" si="89"/>
        <v>1.3506680706559782</v>
      </c>
      <c r="P250" s="709">
        <f t="shared" si="89"/>
        <v>1.599494974625773</v>
      </c>
      <c r="Q250" s="709">
        <f t="shared" si="89"/>
        <v>1.8483218785955673</v>
      </c>
      <c r="R250" s="840">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6"/>
      <c r="E251" s="872">
        <f>$E$176*(1-$E$157)</f>
        <v>3.5522877314618704</v>
      </c>
      <c r="F251" s="841">
        <v>89.92464701520998</v>
      </c>
      <c r="G251" s="842">
        <v>100.57039506792769</v>
      </c>
      <c r="H251" s="842">
        <v>111.2161431206454</v>
      </c>
      <c r="I251" s="842">
        <v>121.86189117336309</v>
      </c>
      <c r="J251" s="843">
        <v>132.50763922608078</v>
      </c>
      <c r="K251" s="8"/>
      <c r="L251" s="726"/>
      <c r="M251" s="872">
        <f t="shared" si="88"/>
        <v>3.5522877314618704</v>
      </c>
      <c r="N251" s="844">
        <f t="shared" si="89"/>
        <v>1.364571312521956</v>
      </c>
      <c r="O251" s="586">
        <f t="shared" si="89"/>
        <v>1.644501579487975</v>
      </c>
      <c r="P251" s="586">
        <f t="shared" si="89"/>
        <v>1.9244318464539942</v>
      </c>
      <c r="Q251" s="586">
        <f t="shared" si="89"/>
        <v>2.2043621134200126</v>
      </c>
      <c r="R251" s="722">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6"/>
      <c r="E252" s="873">
        <f>E244</f>
        <v>3.946986368290967</v>
      </c>
      <c r="F252" s="841">
        <v>99.82706814364448</v>
      </c>
      <c r="G252" s="842">
        <v>111.64511638262137</v>
      </c>
      <c r="H252" s="842">
        <v>123.46316462159825</v>
      </c>
      <c r="I252" s="842">
        <v>135.28121286057512</v>
      </c>
      <c r="J252" s="843">
        <v>147.09926109955202</v>
      </c>
      <c r="K252" s="8"/>
      <c r="L252" s="726"/>
      <c r="M252" s="872">
        <f t="shared" si="88"/>
        <v>3.946986368290967</v>
      </c>
      <c r="N252" s="844">
        <f t="shared" si="89"/>
        <v>1.6249557755362734</v>
      </c>
      <c r="O252" s="586">
        <f t="shared" si="89"/>
        <v>1.9357117113494966</v>
      </c>
      <c r="P252" s="586">
        <f t="shared" si="89"/>
        <v>2.2464676471627203</v>
      </c>
      <c r="Q252" s="586">
        <f t="shared" si="89"/>
        <v>2.557223582975943</v>
      </c>
      <c r="R252" s="722">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6"/>
      <c r="E253" s="872">
        <f>$E$176*(1+$E$157)</f>
        <v>4.341685005120064</v>
      </c>
      <c r="F253" s="841">
        <v>109.90790190747889</v>
      </c>
      <c r="G253" s="842">
        <v>122.91937174968942</v>
      </c>
      <c r="H253" s="842">
        <v>135.93084159189993</v>
      </c>
      <c r="I253" s="842">
        <v>148.94231143411045</v>
      </c>
      <c r="J253" s="843">
        <v>161.953781276321</v>
      </c>
      <c r="K253" s="8"/>
      <c r="L253" s="726"/>
      <c r="M253" s="872">
        <f t="shared" si="88"/>
        <v>4.341685005120064</v>
      </c>
      <c r="N253" s="844">
        <f t="shared" si="89"/>
        <v>1.890031604193502</v>
      </c>
      <c r="O253" s="586">
        <f t="shared" si="89"/>
        <v>2.23216859715197</v>
      </c>
      <c r="P253" s="586">
        <f t="shared" si="89"/>
        <v>2.5743055901104372</v>
      </c>
      <c r="Q253" s="586">
        <f t="shared" si="89"/>
        <v>2.9164425830689047</v>
      </c>
      <c r="R253" s="722">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1"/>
      <c r="E254" s="872">
        <f>$E$176*(1+(2*$E$157))</f>
        <v>4.7363836419491605</v>
      </c>
      <c r="F254" s="847">
        <v>119.89952935361332</v>
      </c>
      <c r="G254" s="848">
        <v>134.09386009057025</v>
      </c>
      <c r="H254" s="848">
        <v>148.2881908275272</v>
      </c>
      <c r="I254" s="848">
        <v>162.48252156448413</v>
      </c>
      <c r="J254" s="849">
        <v>176.67685230144107</v>
      </c>
      <c r="K254" s="8"/>
      <c r="L254" s="731"/>
      <c r="M254" s="872">
        <f t="shared" si="88"/>
        <v>4.7363836419491605</v>
      </c>
      <c r="N254" s="850">
        <f t="shared" si="89"/>
        <v>2.1527617500292746</v>
      </c>
      <c r="O254" s="718">
        <f t="shared" si="89"/>
        <v>2.5260021059839666</v>
      </c>
      <c r="P254" s="718">
        <f t="shared" si="89"/>
        <v>2.8992424619386585</v>
      </c>
      <c r="Q254" s="718">
        <f t="shared" si="89"/>
        <v>3.2724828178933505</v>
      </c>
      <c r="R254" s="851">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2"/>
      <c r="E256" s="624"/>
      <c r="F256" s="624" t="str">
        <f>$G$224&amp;" "&amp;$G$225&amp;" EV/EBITDA"</f>
        <v>2009-2018 Mid Cycle EV/EBITDA</v>
      </c>
      <c r="G256" s="716"/>
      <c r="H256" s="716"/>
      <c r="I256" s="716"/>
      <c r="J256" s="716"/>
      <c r="K256" s="8"/>
      <c r="L256" s="622"/>
      <c r="M256" s="624"/>
      <c r="N256" s="624" t="str">
        <f t="shared" ref="N256:N257" si="90">F256</f>
        <v>2009-2018 Mid Cycle EV/EBITDA</v>
      </c>
      <c r="O256" s="716"/>
      <c r="P256" s="716"/>
      <c r="Q256" s="716"/>
      <c r="R256" s="716"/>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1">
        <f>$N$219</f>
        <v>8.752587610946403</v>
      </c>
      <c r="F257" s="832">
        <f t="shared" ref="F257:G257" si="91">G257-$E$97</f>
        <v>4.663017540427217</v>
      </c>
      <c r="G257" s="832">
        <f t="shared" si="91"/>
        <v>5.663017540427217</v>
      </c>
      <c r="H257" s="833">
        <v>6.663017540427217</v>
      </c>
      <c r="I257" s="832">
        <f t="shared" ref="I257:J257" si="92">H257+$E$97</f>
        <v>7.663017540427217</v>
      </c>
      <c r="J257" s="832">
        <f t="shared" si="92"/>
        <v>8.663017540427216</v>
      </c>
      <c r="K257" s="8"/>
      <c r="L257" s="8"/>
      <c r="M257" s="831">
        <f>$H$77</f>
        <v>0</v>
      </c>
      <c r="N257" s="832">
        <f t="shared" si="90"/>
        <v>4.663017540427217</v>
      </c>
      <c r="O257" s="832">
        <f t="shared" ref="O257:R257" si="93">G257</f>
        <v>5.663017540427217</v>
      </c>
      <c r="P257" s="832">
        <f t="shared" si="93"/>
        <v>6.663017540427217</v>
      </c>
      <c r="Q257" s="832">
        <f t="shared" si="93"/>
        <v>7.663017540427217</v>
      </c>
      <c r="R257" s="832">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1" t="s">
        <v>279</v>
      </c>
      <c r="E258" s="808">
        <f>$E$184*(1-(2*$K$157))</f>
        <v>1117.528305335</v>
      </c>
      <c r="F258" s="836">
        <v>178.76903204120967</v>
      </c>
      <c r="G258" s="837">
        <v>190.63065959009683</v>
      </c>
      <c r="H258" s="837">
        <v>202.492287138984</v>
      </c>
      <c r="I258" s="837">
        <v>214.35391468787117</v>
      </c>
      <c r="J258" s="838">
        <v>226.21554223675838</v>
      </c>
      <c r="K258" s="8"/>
      <c r="L258" s="721" t="s">
        <v>279</v>
      </c>
      <c r="M258" s="808">
        <f t="shared" ref="M258:M262" si="94">E258</f>
        <v>1117.528305335</v>
      </c>
      <c r="N258" s="839">
        <f t="shared" ref="N258:R262" si="95">F258/Share_Price-1</f>
        <v>3.700737103371277</v>
      </c>
      <c r="O258" s="709">
        <f t="shared" si="95"/>
        <v>4.012638958456398</v>
      </c>
      <c r="P258" s="709">
        <f t="shared" si="95"/>
        <v>4.32454081354152</v>
      </c>
      <c r="Q258" s="709">
        <f t="shared" si="95"/>
        <v>4.636442668626641</v>
      </c>
      <c r="R258" s="840">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6"/>
      <c r="E259" s="808">
        <f>$E$184*(1-$K$157)</f>
        <v>1257.2193435018748</v>
      </c>
      <c r="F259" s="841">
        <v>188.91308850750073</v>
      </c>
      <c r="G259" s="842">
        <v>202.2574194999988</v>
      </c>
      <c r="H259" s="842">
        <v>215.6017504924969</v>
      </c>
      <c r="I259" s="842">
        <v>228.94608148499495</v>
      </c>
      <c r="J259" s="843">
        <v>242.29041247749308</v>
      </c>
      <c r="K259" s="8"/>
      <c r="L259" s="726"/>
      <c r="M259" s="808">
        <f t="shared" si="94"/>
        <v>1257.2193435018748</v>
      </c>
      <c r="N259" s="844">
        <f t="shared" si="95"/>
        <v>3.9674753749014124</v>
      </c>
      <c r="O259" s="586">
        <f t="shared" si="95"/>
        <v>4.318364961872175</v>
      </c>
      <c r="P259" s="586">
        <f t="shared" si="95"/>
        <v>4.669254548842937</v>
      </c>
      <c r="Q259" s="586">
        <f t="shared" si="95"/>
        <v>5.020144135813698</v>
      </c>
      <c r="R259" s="722">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6"/>
      <c r="E260" s="874">
        <f>Q233</f>
        <v>1396.9103816687498</v>
      </c>
      <c r="F260" s="841">
        <v>199.05714497379185</v>
      </c>
      <c r="G260" s="842">
        <v>213.88417940990084</v>
      </c>
      <c r="H260" s="842">
        <v>228.71121384600983</v>
      </c>
      <c r="I260" s="842">
        <v>243.5382482821188</v>
      </c>
      <c r="J260" s="843">
        <v>258.3652827182278</v>
      </c>
      <c r="K260" s="8"/>
      <c r="L260" s="726"/>
      <c r="M260" s="808">
        <f t="shared" si="94"/>
        <v>1396.9103816687498</v>
      </c>
      <c r="N260" s="844">
        <f t="shared" si="95"/>
        <v>4.23421364643155</v>
      </c>
      <c r="O260" s="586">
        <f t="shared" si="95"/>
        <v>4.6240909652879525</v>
      </c>
      <c r="P260" s="586">
        <f t="shared" si="95"/>
        <v>5.013968284144355</v>
      </c>
      <c r="Q260" s="586">
        <f t="shared" si="95"/>
        <v>5.4038456030007564</v>
      </c>
      <c r="R260" s="722">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6"/>
      <c r="E261" s="808">
        <f>$E$184*(1+$K$157)</f>
        <v>1536.601419835625</v>
      </c>
      <c r="F261" s="841">
        <v>209.20120144008294</v>
      </c>
      <c r="G261" s="842">
        <v>225.51093931980282</v>
      </c>
      <c r="H261" s="842">
        <v>241.82067719952272</v>
      </c>
      <c r="I261" s="842">
        <v>258.1304150792426</v>
      </c>
      <c r="J261" s="843">
        <v>274.44015295896247</v>
      </c>
      <c r="K261" s="8"/>
      <c r="L261" s="726"/>
      <c r="M261" s="808">
        <f t="shared" si="94"/>
        <v>1536.601419835625</v>
      </c>
      <c r="N261" s="844">
        <f t="shared" si="95"/>
        <v>4.500951917961687</v>
      </c>
      <c r="O261" s="586">
        <f t="shared" si="95"/>
        <v>4.9298169687037285</v>
      </c>
      <c r="P261" s="586">
        <f t="shared" si="95"/>
        <v>5.358682019445772</v>
      </c>
      <c r="Q261" s="586">
        <f t="shared" si="95"/>
        <v>5.787547070187815</v>
      </c>
      <c r="R261" s="722">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1"/>
      <c r="E262" s="808">
        <f>$E$184*(1+(2*$K$157))</f>
        <v>1676.2924580024996</v>
      </c>
      <c r="F262" s="847">
        <v>219.34525790637403</v>
      </c>
      <c r="G262" s="848">
        <v>237.1376992297048</v>
      </c>
      <c r="H262" s="848">
        <v>254.93014055303559</v>
      </c>
      <c r="I262" s="848">
        <v>272.72258187636635</v>
      </c>
      <c r="J262" s="849">
        <v>290.51502319969717</v>
      </c>
      <c r="K262" s="8"/>
      <c r="L262" s="731"/>
      <c r="M262" s="808">
        <f t="shared" si="94"/>
        <v>1676.2924580024996</v>
      </c>
      <c r="N262" s="850">
        <f t="shared" si="95"/>
        <v>4.767690189491823</v>
      </c>
      <c r="O262" s="718">
        <f t="shared" si="95"/>
        <v>5.2355429721195055</v>
      </c>
      <c r="P262" s="718">
        <f t="shared" si="95"/>
        <v>5.703395754747189</v>
      </c>
      <c r="Q262" s="718">
        <f t="shared" si="95"/>
        <v>6.171248537374871</v>
      </c>
      <c r="R262" s="851">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2"/>
      <c r="E264" s="624"/>
      <c r="F264" s="624" t="str">
        <f>$G$224&amp;" "&amp;$G$225&amp;" EV/EBITDA Spread to Comps"</f>
        <v>2009-2018 Mid Cycle EV/EBITDA Spread to Comps</v>
      </c>
      <c r="G264" s="716"/>
      <c r="H264" s="716"/>
      <c r="I264" s="716"/>
      <c r="J264" s="716"/>
      <c r="K264" s="8"/>
      <c r="L264" s="622"/>
      <c r="M264" s="624"/>
      <c r="N264" s="624" t="str">
        <f t="shared" ref="N264:N265" si="96">F264</f>
        <v>2009-2018 Mid Cycle EV/EBITDA Spread to Comps</v>
      </c>
      <c r="O264" s="716"/>
      <c r="P264" s="716"/>
      <c r="Q264" s="716"/>
      <c r="R264" s="716"/>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1">
        <f>$R$219</f>
        <v>2.9399333220158548</v>
      </c>
      <c r="F265" s="832">
        <f t="shared" ref="F265:G265" si="97">G265-$E$97</f>
        <v>3.7361538638215483</v>
      </c>
      <c r="G265" s="832">
        <f t="shared" si="97"/>
        <v>4.736153863821548</v>
      </c>
      <c r="H265" s="833">
        <v>5.736153863821548</v>
      </c>
      <c r="I265" s="832">
        <f t="shared" ref="I265:J265" si="98">H265+$E$97</f>
        <v>6.736153863821548</v>
      </c>
      <c r="J265" s="832">
        <f t="shared" si="98"/>
        <v>7.736153863821548</v>
      </c>
      <c r="K265" s="8"/>
      <c r="L265" s="8"/>
      <c r="M265" s="831">
        <f>$H$77</f>
        <v>0</v>
      </c>
      <c r="N265" s="832">
        <f t="shared" si="96"/>
        <v>3.7361538638215483</v>
      </c>
      <c r="O265" s="832">
        <f t="shared" ref="O265:R265" si="99">G265</f>
        <v>4.736153863821548</v>
      </c>
      <c r="P265" s="832">
        <f t="shared" si="99"/>
        <v>5.736153863821548</v>
      </c>
      <c r="Q265" s="832">
        <f t="shared" si="99"/>
        <v>6.736153863821548</v>
      </c>
      <c r="R265" s="832">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1" t="s">
        <v>279</v>
      </c>
      <c r="E266" s="808">
        <f>$E$192*(1-(2*$K$157))</f>
        <v>1117.528305335</v>
      </c>
      <c r="F266" s="836">
        <v>229.2054888016298</v>
      </c>
      <c r="G266" s="837">
        <v>241.06711635051695</v>
      </c>
      <c r="H266" s="837">
        <v>252.92874389940417</v>
      </c>
      <c r="I266" s="837">
        <v>264.79037144829135</v>
      </c>
      <c r="J266" s="838">
        <v>276.65199899717857</v>
      </c>
      <c r="K266" s="8"/>
      <c r="L266" s="721" t="s">
        <v>279</v>
      </c>
      <c r="M266" s="808">
        <f t="shared" ref="M266:M270" si="100">E266</f>
        <v>1117.528305335</v>
      </c>
      <c r="N266" s="839">
        <f t="shared" ref="N266:R270" si="101">F266/Share_Price-1</f>
        <v>5.026965259048903</v>
      </c>
      <c r="O266" s="709">
        <f t="shared" si="101"/>
        <v>5.3388671141340245</v>
      </c>
      <c r="P266" s="709">
        <f t="shared" si="101"/>
        <v>5.650768969219147</v>
      </c>
      <c r="Q266" s="709">
        <f t="shared" si="101"/>
        <v>5.9626708243042685</v>
      </c>
      <c r="R266" s="840">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6"/>
      <c r="E267" s="808">
        <f>$E$192*(1-$K$157)</f>
        <v>1257.2193435018748</v>
      </c>
      <c r="F267" s="841">
        <v>245.6541023629734</v>
      </c>
      <c r="G267" s="842">
        <v>258.9984333554715</v>
      </c>
      <c r="H267" s="842">
        <v>272.3427643479696</v>
      </c>
      <c r="I267" s="842">
        <v>285.68709534046764</v>
      </c>
      <c r="J267" s="843">
        <v>299.0314263329658</v>
      </c>
      <c r="K267" s="8"/>
      <c r="L267" s="726"/>
      <c r="M267" s="808">
        <f t="shared" si="100"/>
        <v>1257.2193435018748</v>
      </c>
      <c r="N267" s="844">
        <f t="shared" si="101"/>
        <v>5.459482050038742</v>
      </c>
      <c r="O267" s="586">
        <f t="shared" si="101"/>
        <v>5.8103716370095055</v>
      </c>
      <c r="P267" s="586">
        <f t="shared" si="101"/>
        <v>6.161261223980268</v>
      </c>
      <c r="Q267" s="586">
        <f t="shared" si="101"/>
        <v>6.512150810951029</v>
      </c>
      <c r="R267" s="722">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6"/>
      <c r="E268" s="874">
        <f>E260</f>
        <v>1396.9103816687498</v>
      </c>
      <c r="F268" s="841">
        <v>262.102715924317</v>
      </c>
      <c r="G268" s="842">
        <v>276.929750360426</v>
      </c>
      <c r="H268" s="842">
        <v>291.756784796535</v>
      </c>
      <c r="I268" s="842">
        <v>306.583819232644</v>
      </c>
      <c r="J268" s="843">
        <v>321.41085366875296</v>
      </c>
      <c r="K268" s="8"/>
      <c r="L268" s="726"/>
      <c r="M268" s="808">
        <f t="shared" si="100"/>
        <v>1396.9103816687498</v>
      </c>
      <c r="N268" s="844">
        <f t="shared" si="101"/>
        <v>5.891998841028583</v>
      </c>
      <c r="O268" s="586">
        <f t="shared" si="101"/>
        <v>6.281876159884986</v>
      </c>
      <c r="P268" s="586">
        <f t="shared" si="101"/>
        <v>6.671753478741388</v>
      </c>
      <c r="Q268" s="586">
        <f t="shared" si="101"/>
        <v>7.06163079759779</v>
      </c>
      <c r="R268" s="722">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6"/>
      <c r="E269" s="808">
        <f>$E$192*(1+$K$157)</f>
        <v>1536.601419835625</v>
      </c>
      <c r="F269" s="841">
        <v>278.55132948566063</v>
      </c>
      <c r="G269" s="842">
        <v>294.8610673653805</v>
      </c>
      <c r="H269" s="842">
        <v>311.17080524510044</v>
      </c>
      <c r="I269" s="842">
        <v>327.48054312482026</v>
      </c>
      <c r="J269" s="843">
        <v>343.7902810045402</v>
      </c>
      <c r="K269" s="8"/>
      <c r="L269" s="726"/>
      <c r="M269" s="808">
        <f t="shared" si="100"/>
        <v>1536.601419835625</v>
      </c>
      <c r="N269" s="844">
        <f t="shared" si="101"/>
        <v>6.324515632018423</v>
      </c>
      <c r="O269" s="586">
        <f t="shared" si="101"/>
        <v>6.753380682760465</v>
      </c>
      <c r="P269" s="586">
        <f t="shared" si="101"/>
        <v>7.1822457335025085</v>
      </c>
      <c r="Q269" s="586">
        <f t="shared" si="101"/>
        <v>7.61111078424455</v>
      </c>
      <c r="R269" s="722">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1"/>
      <c r="E270" s="808">
        <f>$E$192*(1+(2*$K$157))</f>
        <v>1676.2924580024996</v>
      </c>
      <c r="F270" s="847">
        <v>294.99994304700425</v>
      </c>
      <c r="G270" s="848">
        <v>312.792384370335</v>
      </c>
      <c r="H270" s="848">
        <v>330.58482569366583</v>
      </c>
      <c r="I270" s="848">
        <v>348.37726701699654</v>
      </c>
      <c r="J270" s="849">
        <v>366.16970834032736</v>
      </c>
      <c r="K270" s="8"/>
      <c r="L270" s="731"/>
      <c r="M270" s="808">
        <f t="shared" si="100"/>
        <v>1676.2924580024996</v>
      </c>
      <c r="N270" s="850">
        <f t="shared" si="101"/>
        <v>6.757032423008263</v>
      </c>
      <c r="O270" s="718">
        <f t="shared" si="101"/>
        <v>7.224885205635946</v>
      </c>
      <c r="P270" s="718">
        <f t="shared" si="101"/>
        <v>7.69273798826363</v>
      </c>
      <c r="Q270" s="718">
        <f t="shared" si="101"/>
        <v>8.16059077089131</v>
      </c>
      <c r="R270" s="851">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7"/>
      <c r="E271" s="107"/>
      <c r="F271" s="227"/>
      <c r="G271" s="227"/>
      <c r="H271" s="227"/>
      <c r="I271" s="227"/>
      <c r="J271" s="227"/>
      <c r="K271" s="8"/>
      <c r="L271" s="877"/>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8">
        <f>SUM('Segment Analysis'!W70:X70,'Segment Analysis'!Z70:AA70)</f>
        <v>0</v>
      </c>
      <c r="F276" s="8"/>
      <c r="G276" s="738" t="e">
        <f>IF($G293=#REF!,Valuation!$E$12,IF(Valuation!$G293=#REF!,Valuation!$E$17,IF(Valuation!$G293=#REF!,Valuation!$E$22,IF($G293=Company_Name,$D$12))))</f>
        <v>#REF!</v>
      </c>
      <c r="H276" s="583"/>
      <c r="I276" s="879">
        <v>0</v>
      </c>
      <c r="J276" s="583"/>
      <c r="K276" s="583" t="e">
        <f t="shared" ref="K276:K281" si="102">G276+I276</f>
        <v>#REF!</v>
      </c>
      <c r="L276" s="583"/>
      <c r="M276" s="107" t="e">
        <f t="shared" ref="M276:M281" si="103">E276*K276</f>
        <v>#REF!</v>
      </c>
      <c r="N276" s="8"/>
      <c r="O276" s="186" t="s">
        <v>1014</v>
      </c>
      <c r="P276" s="8"/>
      <c r="Q276" s="8"/>
      <c r="R276" s="808"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8">
        <f>SUM('Segment Analysis'!W71:X71,'Segment Analysis'!Z71:AA71)</f>
        <v>0</v>
      </c>
      <c r="F277" s="8"/>
      <c r="G277" s="738" t="e">
        <f>IF($G294=#REF!,Valuation!$E$12,IF(Valuation!$G294=#REF!,Valuation!$E$17,IF(Valuation!$G294=#REF!,Valuation!$E$22,IF($G294=Company_Name,$D$12))))</f>
        <v>#REF!</v>
      </c>
      <c r="H277" s="583"/>
      <c r="I277" s="879">
        <v>0</v>
      </c>
      <c r="J277" s="583"/>
      <c r="K277" s="583" t="e">
        <f t="shared" si="102"/>
        <v>#REF!</v>
      </c>
      <c r="L277" s="583"/>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8">
        <f>SUM('Segment Analysis'!W72:X72,'Segment Analysis'!Z72:AA72)</f>
        <v>0</v>
      </c>
      <c r="F278" s="8"/>
      <c r="G278" s="738" t="e">
        <f>IF($G295=#REF!,Valuation!$E$12,IF(Valuation!$G295=#REF!,Valuation!$E$17,IF(Valuation!$G295=#REF!,Valuation!$E$22,IF($G295=Company_Name,$D$12))))</f>
        <v>#REF!</v>
      </c>
      <c r="H278" s="583"/>
      <c r="I278" s="879">
        <v>0</v>
      </c>
      <c r="J278" s="583"/>
      <c r="K278" s="583" t="e">
        <f t="shared" si="102"/>
        <v>#REF!</v>
      </c>
      <c r="L278" s="583"/>
      <c r="M278" s="107" t="e">
        <f t="shared" si="103"/>
        <v>#REF!</v>
      </c>
      <c r="N278" s="8"/>
      <c r="O278" s="186" t="s">
        <v>1017</v>
      </c>
      <c r="P278" s="8"/>
      <c r="Q278" s="8"/>
      <c r="R278" s="862">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8">
        <f>SUM('Segment Analysis'!W73:X73,'Segment Analysis'!Z73:AA73)</f>
        <v>0</v>
      </c>
      <c r="F279" s="8"/>
      <c r="G279" s="738" t="e">
        <f>IF($G296=#REF!,Valuation!$E$12,IF(Valuation!$G296=#REF!,Valuation!$E$17,IF(Valuation!$G296=#REF!,Valuation!$E$22,IF($G296=Company_Name,$D$12))))</f>
        <v>#REF!</v>
      </c>
      <c r="H279" s="583"/>
      <c r="I279" s="879">
        <v>0</v>
      </c>
      <c r="J279" s="583"/>
      <c r="K279" s="583" t="e">
        <f t="shared" si="102"/>
        <v>#REF!</v>
      </c>
      <c r="L279" s="583"/>
      <c r="M279" s="107" t="e">
        <f t="shared" si="103"/>
        <v>#REF!</v>
      </c>
      <c r="N279" s="8"/>
      <c r="O279" s="186" t="s">
        <v>1018</v>
      </c>
      <c r="P279" s="8"/>
      <c r="Q279" s="8"/>
      <c r="R279" s="811">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8">
        <f>SUM('Segment Analysis'!W74:X74,'Segment Analysis'!Z74:AA74)</f>
        <v>0</v>
      </c>
      <c r="F280" s="8"/>
      <c r="G280" s="738" t="e">
        <f>IF($G297=#REF!,Valuation!$E$12,IF(Valuation!$G297=#REF!,Valuation!$E$17,IF(Valuation!$G297=#REF!,Valuation!$E$22,IF($G297=Company_Name,$D$12))))</f>
        <v>#REF!</v>
      </c>
      <c r="H280" s="583"/>
      <c r="I280" s="879">
        <v>0</v>
      </c>
      <c r="J280" s="583"/>
      <c r="K280" s="583" t="e">
        <f t="shared" si="102"/>
        <v>#REF!</v>
      </c>
      <c r="L280" s="583"/>
      <c r="M280" s="107" t="e">
        <f t="shared" si="103"/>
        <v>#REF!</v>
      </c>
      <c r="N280" s="8"/>
      <c r="O280" s="186" t="s">
        <v>1019</v>
      </c>
      <c r="P280" s="8"/>
      <c r="Q280" s="8"/>
      <c r="R280" s="811">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8">
        <f>SUM('Segment Analysis'!W75:X75,'Segment Analysis'!Z75:AA75)</f>
        <v>0</v>
      </c>
      <c r="F281" s="8"/>
      <c r="G281" s="738" t="e">
        <f>IF($G298=#REF!,Valuation!$E$12,IF(Valuation!$G298=#REF!,Valuation!$E$17,IF(Valuation!$G298=#REF!,Valuation!$E$22,IF($G298=Company_Name,$D$12))))</f>
        <v>#REF!</v>
      </c>
      <c r="H281" s="583"/>
      <c r="I281" s="879">
        <v>0</v>
      </c>
      <c r="J281" s="583"/>
      <c r="K281" s="583" t="e">
        <f t="shared" si="102"/>
        <v>#REF!</v>
      </c>
      <c r="L281" s="583"/>
      <c r="M281" s="107" t="e">
        <f t="shared" si="103"/>
        <v>#REF!</v>
      </c>
      <c r="N281" s="8"/>
      <c r="O281" s="186" t="s">
        <v>1020</v>
      </c>
      <c r="P281" s="8"/>
      <c r="Q281" s="8"/>
      <c r="R281" s="811">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1">
        <f t="shared" si="104"/>
        <v>0</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4"/>
      <c r="C283" s="695"/>
      <c r="D283" s="8"/>
      <c r="E283" s="8"/>
      <c r="F283" s="8"/>
      <c r="G283" s="8"/>
      <c r="H283" s="8"/>
      <c r="I283" s="8"/>
      <c r="J283" s="8"/>
      <c r="K283" s="8"/>
      <c r="L283" s="8"/>
      <c r="M283" s="8"/>
      <c r="N283" s="8"/>
      <c r="O283" s="186" t="s">
        <v>1022</v>
      </c>
      <c r="P283" s="122"/>
      <c r="Q283" s="8"/>
      <c r="R283" s="865">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4"/>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4"/>
      <c r="C285" s="75"/>
      <c r="D285" s="774"/>
      <c r="E285" s="774"/>
      <c r="F285" s="774"/>
      <c r="G285" s="774"/>
      <c r="H285" s="774"/>
      <c r="I285" s="774"/>
      <c r="J285" s="774"/>
      <c r="K285" s="8"/>
      <c r="L285" s="8"/>
      <c r="M285" s="8"/>
      <c r="N285" s="8"/>
      <c r="O285" s="186" t="s">
        <v>1023</v>
      </c>
      <c r="P285" s="8"/>
      <c r="Q285" s="8"/>
      <c r="R285" s="860"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4"/>
      <c r="E286" s="774"/>
      <c r="F286" s="774"/>
      <c r="G286" s="774"/>
      <c r="H286" s="774"/>
      <c r="I286" s="774"/>
      <c r="J286" s="774"/>
      <c r="K286" s="8"/>
      <c r="L286" s="8"/>
      <c r="M286" s="8"/>
      <c r="N286" s="8"/>
      <c r="O286" s="186" t="s">
        <v>405</v>
      </c>
      <c r="P286" s="8"/>
      <c r="Q286" s="8"/>
      <c r="R286" s="875">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5"/>
      <c r="D288" s="8"/>
      <c r="E288" s="8"/>
      <c r="F288" s="8"/>
      <c r="G288" s="8"/>
      <c r="H288" s="8"/>
      <c r="I288" s="8"/>
      <c r="J288" s="8"/>
      <c r="K288" s="8"/>
      <c r="L288" s="8"/>
      <c r="M288" s="8"/>
      <c r="N288" s="8"/>
      <c r="O288" s="186" t="s">
        <v>1015</v>
      </c>
      <c r="P288" s="8"/>
      <c r="Q288" s="8"/>
      <c r="R288" s="860"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9"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4"/>
      <c r="E290" s="774"/>
      <c r="F290" s="774"/>
      <c r="G290" s="774"/>
      <c r="H290" s="774"/>
      <c r="I290" s="774"/>
      <c r="J290" s="77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5" t="s">
        <v>43</v>
      </c>
      <c r="D291" s="536"/>
      <c r="E291" s="536"/>
      <c r="F291" s="536"/>
      <c r="G291" s="880"/>
      <c r="H291" s="880"/>
      <c r="I291" s="880"/>
      <c r="J291" s="880"/>
      <c r="K291" s="880"/>
      <c r="L291" s="880"/>
      <c r="M291" s="880"/>
      <c r="N291" s="880"/>
      <c r="O291" s="880"/>
      <c r="P291" s="880"/>
      <c r="Q291" s="880"/>
      <c r="R291" s="881"/>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2"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3"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4"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5"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5"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5"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2" t="s">
        <v>31</v>
      </c>
      <c r="D5" s="101"/>
      <c r="E5" s="101"/>
      <c r="F5" s="101"/>
      <c r="G5" s="101"/>
      <c r="H5" s="102"/>
      <c r="I5" s="197"/>
      <c r="J5" s="8"/>
      <c r="K5" s="261"/>
      <c r="L5" s="886" t="s">
        <v>1055</v>
      </c>
      <c r="M5" s="103"/>
      <c r="N5" s="103"/>
      <c r="O5" s="103"/>
      <c r="P5" s="103"/>
      <c r="Q5" s="103"/>
      <c r="R5" s="885" t="s">
        <v>1056</v>
      </c>
      <c r="S5" s="103"/>
      <c r="T5" s="103"/>
      <c r="U5" s="103"/>
      <c r="V5" s="103"/>
      <c r="W5" s="103"/>
      <c r="X5" s="885" t="s">
        <v>1057</v>
      </c>
      <c r="Y5" s="103"/>
      <c r="Z5" s="103"/>
      <c r="AA5" s="103"/>
      <c r="AB5" s="103"/>
      <c r="AC5" s="103"/>
      <c r="AD5" s="885" t="s">
        <v>1058</v>
      </c>
      <c r="AE5" s="103"/>
      <c r="AF5" s="103"/>
      <c r="AG5" s="103"/>
      <c r="AH5" s="103"/>
      <c r="AI5" s="103"/>
      <c r="AJ5" s="8"/>
      <c r="AK5" s="8"/>
      <c r="AL5" s="886" t="s">
        <v>1055</v>
      </c>
      <c r="AM5" s="103"/>
      <c r="AN5" s="103"/>
      <c r="AO5" s="103"/>
      <c r="AP5" s="103"/>
      <c r="AQ5" s="103"/>
      <c r="AR5" s="885" t="s">
        <v>1056</v>
      </c>
      <c r="AS5" s="103"/>
      <c r="AT5" s="103"/>
      <c r="AU5" s="103"/>
      <c r="AV5" s="103"/>
      <c r="AW5" s="103"/>
      <c r="AX5" s="885" t="s">
        <v>1057</v>
      </c>
      <c r="AY5" s="103"/>
      <c r="AZ5" s="103"/>
      <c r="BA5" s="103"/>
      <c r="BB5" s="103"/>
      <c r="BC5" s="103"/>
      <c r="BD5" s="885" t="s">
        <v>1058</v>
      </c>
      <c r="BE5" s="103"/>
      <c r="BF5" s="103"/>
      <c r="BG5" s="103"/>
      <c r="BH5" s="103"/>
      <c r="BI5" s="103"/>
      <c r="BJ5" s="8"/>
      <c r="BK5" s="8"/>
      <c r="BL5" s="886" t="s">
        <v>1055</v>
      </c>
      <c r="BM5" s="103"/>
      <c r="BN5" s="103"/>
      <c r="BO5" s="103"/>
      <c r="BP5" s="103"/>
      <c r="BQ5" s="103"/>
      <c r="BR5" s="885" t="s">
        <v>1056</v>
      </c>
      <c r="BS5" s="103"/>
      <c r="BT5" s="103"/>
      <c r="BU5" s="103"/>
      <c r="BV5" s="103"/>
      <c r="BW5" s="103"/>
      <c r="BX5" s="885" t="s">
        <v>1057</v>
      </c>
      <c r="BY5" s="103"/>
      <c r="BZ5" s="103"/>
      <c r="CA5" s="103"/>
      <c r="CB5" s="103"/>
      <c r="CC5" s="103"/>
      <c r="CD5" s="885" t="s">
        <v>1058</v>
      </c>
      <c r="CE5" s="103"/>
      <c r="CF5" s="103"/>
      <c r="CG5" s="103"/>
      <c r="CH5" s="103"/>
      <c r="CI5" s="103"/>
    </row>
    <row r="6" ht="14.25" customHeight="1" spans="1:87" x14ac:dyDescent="0.25">
      <c r="A6" s="8"/>
      <c r="B6" s="8"/>
      <c r="C6" s="882" t="str">
        <f>Company_Name</f>
        <v>Jefferies Financial Group Inc.</v>
      </c>
      <c r="D6" s="101"/>
      <c r="E6" s="101"/>
      <c r="F6" s="101"/>
      <c r="G6" s="101"/>
      <c r="H6" s="102"/>
      <c r="I6" s="887">
        <f>Last_FQR</f>
        <v>NaN</v>
      </c>
      <c r="J6" s="8"/>
      <c r="K6" s="261"/>
      <c r="L6" s="888" t="str">
        <f>'MM Banking Comparables'!D10</f>
        <v>Jefferies Financial Group Inc.</v>
      </c>
      <c r="M6" s="888" t="str">
        <f>'MM Banking Comparables'!D12</f>
        <v>Piper Sandler Companies</v>
      </c>
      <c r="N6" s="888" t="str">
        <f>'MM Banking Comparables'!D13</f>
        <v>Stifel Financial Corp.</v>
      </c>
      <c r="O6" s="888" t="str">
        <f>'MM Banking Comparables'!D14</f>
        <v>Raymond James Financial, Inc.</v>
      </c>
      <c r="P6" s="888" t="str">
        <f>'MM Banking Comparables'!D15</f>
        <v>Houlihan Lokey, Inc.</v>
      </c>
      <c r="Q6" s="889"/>
      <c r="R6" s="889" t="str">
        <f>$L$6</f>
        <v>Jefferies Financial Group Inc.</v>
      </c>
      <c r="S6" s="889" t="str">
        <f t="shared" ref="S6:V6" si="0">M6</f>
        <v>Piper Sandler Companies</v>
      </c>
      <c r="T6" s="889" t="str">
        <f t="shared" si="0"/>
        <v>Stifel Financial Corp.</v>
      </c>
      <c r="U6" s="889" t="str">
        <f t="shared" si="0"/>
        <v>Raymond James Financial, Inc.</v>
      </c>
      <c r="V6" s="889" t="str">
        <f t="shared" si="0"/>
        <v>Houlihan Lokey, Inc.</v>
      </c>
      <c r="W6" s="889"/>
      <c r="X6" s="889" t="str">
        <f t="shared" ref="X6:AB6" si="1">L6</f>
        <v>Jefferies Financial Group Inc.</v>
      </c>
      <c r="Y6" s="889" t="str">
        <f t="shared" si="1"/>
        <v>Piper Sandler Companies</v>
      </c>
      <c r="Z6" s="889" t="str">
        <f t="shared" si="1"/>
        <v>Stifel Financial Corp.</v>
      </c>
      <c r="AA6" s="889" t="str">
        <f t="shared" si="1"/>
        <v>Raymond James Financial, Inc.</v>
      </c>
      <c r="AB6" s="889" t="str">
        <f t="shared" si="1"/>
        <v>Houlihan Lokey, Inc.</v>
      </c>
      <c r="AC6" s="889"/>
      <c r="AD6" s="889" t="str">
        <f t="shared" ref="AD6:AH6" si="2">L6</f>
        <v>Jefferies Financial Group Inc.</v>
      </c>
      <c r="AE6" s="889" t="str">
        <f t="shared" si="2"/>
        <v>Piper Sandler Companies</v>
      </c>
      <c r="AF6" s="889" t="str">
        <f t="shared" si="2"/>
        <v>Stifel Financial Corp.</v>
      </c>
      <c r="AG6" s="889" t="str">
        <f t="shared" si="2"/>
        <v>Raymond James Financial, Inc.</v>
      </c>
      <c r="AH6" s="889" t="str">
        <f t="shared" si="2"/>
        <v>Houlihan Lokey, Inc.</v>
      </c>
      <c r="AI6" s="889"/>
      <c r="AJ6" s="8"/>
      <c r="AK6" s="8"/>
      <c r="AL6" s="888" t="str">
        <f>AD6</f>
        <v>Jefferies Financial Group Inc.</v>
      </c>
      <c r="AM6" s="889" t="e">
        <f>#REF!</f>
        <v>#REF!</v>
      </c>
      <c r="AN6" s="889" t="e">
        <f>#REF!</f>
        <v>#REF!</v>
      </c>
      <c r="AO6" s="889" t="e">
        <f>#REF!</f>
        <v>#REF!</v>
      </c>
      <c r="AP6" s="889" t="e">
        <f>#REF!</f>
        <v>#REF!</v>
      </c>
      <c r="AQ6" s="889" t="e">
        <f>#REF!</f>
        <v>#REF!</v>
      </c>
      <c r="AR6" s="889" t="str">
        <f>$AL$6</f>
        <v>Jefferies Financial Group Inc.</v>
      </c>
      <c r="AS6" s="889" t="e">
        <f t="shared" ref="AS6:AW6" si="3">AM6</f>
        <v>#REF!</v>
      </c>
      <c r="AT6" s="889" t="e">
        <f t="shared" si="3"/>
        <v>#REF!</v>
      </c>
      <c r="AU6" s="889" t="e">
        <f t="shared" si="3"/>
        <v>#REF!</v>
      </c>
      <c r="AV6" s="889" t="e">
        <f t="shared" si="3"/>
        <v>#REF!</v>
      </c>
      <c r="AW6" s="890" t="e">
        <f t="shared" si="3"/>
        <v>#REF!</v>
      </c>
      <c r="AX6" s="889" t="s">
        <v>1059</v>
      </c>
      <c r="AY6" s="889" t="e">
        <f t="shared" ref="AY6:BC6" si="4">AS6</f>
        <v>#REF!</v>
      </c>
      <c r="AZ6" s="889" t="e">
        <f t="shared" si="4"/>
        <v>#REF!</v>
      </c>
      <c r="BA6" s="889" t="e">
        <f t="shared" si="4"/>
        <v>#REF!</v>
      </c>
      <c r="BB6" s="889" t="e">
        <f t="shared" si="4"/>
        <v>#REF!</v>
      </c>
      <c r="BC6" s="890" t="e">
        <f t="shared" si="4"/>
        <v>#REF!</v>
      </c>
      <c r="BD6" s="889" t="s">
        <v>1059</v>
      </c>
      <c r="BE6" s="889" t="e">
        <f t="shared" ref="BE6:BI6" si="5">AY6</f>
        <v>#REF!</v>
      </c>
      <c r="BF6" s="889" t="e">
        <f t="shared" si="5"/>
        <v>#REF!</v>
      </c>
      <c r="BG6" s="889" t="e">
        <f t="shared" si="5"/>
        <v>#REF!</v>
      </c>
      <c r="BH6" s="889" t="e">
        <f t="shared" si="5"/>
        <v>#REF!</v>
      </c>
      <c r="BI6" s="890" t="e">
        <f t="shared" si="5"/>
        <v>#REF!</v>
      </c>
      <c r="BJ6" s="8"/>
      <c r="BK6" s="8"/>
      <c r="BL6" s="888" t="str">
        <f>BD6</f>
        <v>Lowe's Companies, Inc.</v>
      </c>
      <c r="BM6" s="889" t="e">
        <f>#REF!</f>
        <v>#REF!</v>
      </c>
      <c r="BN6" s="889" t="e">
        <f>#REF!</f>
        <v>#REF!</v>
      </c>
      <c r="BO6" s="889" t="e">
        <f>#REF!</f>
        <v>#REF!</v>
      </c>
      <c r="BP6" s="889" t="e">
        <f>#REF!</f>
        <v>#REF!</v>
      </c>
      <c r="BQ6" s="891" t="e">
        <f>#REF!</f>
        <v>#REF!</v>
      </c>
      <c r="BR6" s="889" t="s">
        <v>1059</v>
      </c>
      <c r="BS6" s="889" t="e">
        <f t="shared" ref="BS6:BW6" si="6">BM6</f>
        <v>#REF!</v>
      </c>
      <c r="BT6" s="889" t="e">
        <f t="shared" si="6"/>
        <v>#REF!</v>
      </c>
      <c r="BU6" s="889" t="e">
        <f t="shared" si="6"/>
        <v>#REF!</v>
      </c>
      <c r="BV6" s="889" t="e">
        <f t="shared" si="6"/>
        <v>#REF!</v>
      </c>
      <c r="BW6" s="890" t="e">
        <f t="shared" si="6"/>
        <v>#REF!</v>
      </c>
      <c r="BX6" s="889" t="str">
        <f>$BD$6</f>
        <v>Lowe's Companies, Inc.</v>
      </c>
      <c r="BY6" s="889" t="e">
        <f t="shared" ref="BY6:CC6" si="7">BS6</f>
        <v>#REF!</v>
      </c>
      <c r="BZ6" s="889" t="e">
        <f t="shared" si="7"/>
        <v>#REF!</v>
      </c>
      <c r="CA6" s="889" t="e">
        <f t="shared" si="7"/>
        <v>#REF!</v>
      </c>
      <c r="CB6" s="889" t="e">
        <f t="shared" si="7"/>
        <v>#REF!</v>
      </c>
      <c r="CC6" s="890" t="e">
        <f t="shared" si="7"/>
        <v>#REF!</v>
      </c>
      <c r="CD6" s="889" t="str">
        <f>$BD$6</f>
        <v>Lowe's Companies, Inc.</v>
      </c>
      <c r="CE6" s="889" t="e">
        <f t="shared" ref="CE6:CI6" si="8">BY6</f>
        <v>#REF!</v>
      </c>
      <c r="CF6" s="889" t="e">
        <f t="shared" si="8"/>
        <v>#REF!</v>
      </c>
      <c r="CG6" s="889" t="e">
        <f t="shared" si="8"/>
        <v>#REF!</v>
      </c>
      <c r="CH6" s="889" t="e">
        <f t="shared" si="8"/>
        <v>#REF!</v>
      </c>
      <c r="CI6" s="890" t="e">
        <f t="shared" si="8"/>
        <v>#REF!</v>
      </c>
    </row>
    <row r="7" ht="14.25" customHeight="1" spans="1:87" x14ac:dyDescent="0.25">
      <c r="A7" s="8"/>
      <c r="B7" s="8"/>
      <c r="C7" s="892" t="s">
        <v>1060</v>
      </c>
      <c r="D7" s="892"/>
      <c r="E7" s="892"/>
      <c r="F7" s="892"/>
      <c r="G7" s="892"/>
      <c r="H7" s="892"/>
      <c r="I7" s="75" t="str">
        <f>LEFT(I6)</f>
        <v>4</v>
      </c>
      <c r="J7" s="8"/>
      <c r="K7" s="75"/>
      <c r="L7" s="888" t="str">
        <f>Ticker</f>
        <v>JEF</v>
      </c>
      <c r="M7" s="888" t="str">
        <f>'MM Banking Comparables'!F12</f>
        <v>PIPR</v>
      </c>
      <c r="N7" s="888" t="str">
        <f>'MM Banking Comparables'!F13</f>
        <v>SF</v>
      </c>
      <c r="O7" s="888" t="str">
        <f>'MM Banking Comparables'!F14</f>
        <v>RJ</v>
      </c>
      <c r="P7" s="888" t="str">
        <f>'MM Banking Comparables'!F15</f>
        <v>HLI</v>
      </c>
      <c r="Q7" s="889"/>
      <c r="R7" s="889" t="str">
        <f t="shared" ref="R7:V7" si="9">L7</f>
        <v>JEF</v>
      </c>
      <c r="S7" s="889" t="str">
        <f t="shared" si="9"/>
        <v>PIPR</v>
      </c>
      <c r="T7" s="889" t="str">
        <f t="shared" si="9"/>
        <v>SF</v>
      </c>
      <c r="U7" s="889" t="str">
        <f t="shared" si="9"/>
        <v>RJ</v>
      </c>
      <c r="V7" s="889" t="str">
        <f t="shared" si="9"/>
        <v>HLI</v>
      </c>
      <c r="W7" s="889"/>
      <c r="X7" s="889" t="str">
        <f t="shared" ref="X7:AB7" si="10">L7</f>
        <v>JEF</v>
      </c>
      <c r="Y7" s="889" t="str">
        <f t="shared" si="10"/>
        <v>PIPR</v>
      </c>
      <c r="Z7" s="889" t="str">
        <f t="shared" si="10"/>
        <v>SF</v>
      </c>
      <c r="AA7" s="889" t="str">
        <f t="shared" si="10"/>
        <v>RJ</v>
      </c>
      <c r="AB7" s="889" t="str">
        <f t="shared" si="10"/>
        <v>HLI</v>
      </c>
      <c r="AC7" s="889"/>
      <c r="AD7" s="889" t="str">
        <f t="shared" ref="AD7:AH7" si="11">L7</f>
        <v>JEF</v>
      </c>
      <c r="AE7" s="889" t="str">
        <f t="shared" si="11"/>
        <v>PIPR</v>
      </c>
      <c r="AF7" s="889" t="str">
        <f t="shared" si="11"/>
        <v>SF</v>
      </c>
      <c r="AG7" s="889" t="str">
        <f t="shared" si="11"/>
        <v>RJ</v>
      </c>
      <c r="AH7" s="889" t="str">
        <f t="shared" si="11"/>
        <v>HLI</v>
      </c>
      <c r="AI7" s="889"/>
      <c r="AJ7" s="8"/>
      <c r="AK7" s="8"/>
      <c r="AL7" s="888" t="str">
        <f>Ticker</f>
        <v>JEF</v>
      </c>
      <c r="AM7" s="889" t="e">
        <f>#REF!</f>
        <v>#REF!</v>
      </c>
      <c r="AN7" s="889" t="e">
        <f>#REF!</f>
        <v>#REF!</v>
      </c>
      <c r="AO7" s="889" t="e">
        <f>#REF!</f>
        <v>#REF!</v>
      </c>
      <c r="AP7" s="889" t="e">
        <f>#REF!</f>
        <v>#REF!</v>
      </c>
      <c r="AQ7" s="889" t="e">
        <f>#REF!</f>
        <v>#REF!</v>
      </c>
      <c r="AR7" s="889" t="str">
        <f>$AL$7</f>
        <v>JEF</v>
      </c>
      <c r="AS7" s="889" t="e">
        <f t="shared" ref="AS7:AW7" si="12">AM7</f>
        <v>#REF!</v>
      </c>
      <c r="AT7" s="889" t="e">
        <f t="shared" si="12"/>
        <v>#REF!</v>
      </c>
      <c r="AU7" s="889" t="e">
        <f t="shared" si="12"/>
        <v>#REF!</v>
      </c>
      <c r="AV7" s="889" t="e">
        <f t="shared" si="12"/>
        <v>#REF!</v>
      </c>
      <c r="AW7" s="891" t="e">
        <f t="shared" si="12"/>
        <v>#REF!</v>
      </c>
      <c r="AX7" s="889" t="s">
        <v>686</v>
      </c>
      <c r="AY7" s="889" t="e">
        <f t="shared" ref="AY7:BC7" si="13">AS7</f>
        <v>#REF!</v>
      </c>
      <c r="AZ7" s="889" t="e">
        <f t="shared" si="13"/>
        <v>#REF!</v>
      </c>
      <c r="BA7" s="889" t="e">
        <f t="shared" si="13"/>
        <v>#REF!</v>
      </c>
      <c r="BB7" s="889" t="e">
        <f t="shared" si="13"/>
        <v>#REF!</v>
      </c>
      <c r="BC7" s="891" t="e">
        <f t="shared" si="13"/>
        <v>#REF!</v>
      </c>
      <c r="BD7" s="889" t="s">
        <v>686</v>
      </c>
      <c r="BE7" s="889" t="e">
        <f t="shared" ref="BE7:BI7" si="14">AY7</f>
        <v>#REF!</v>
      </c>
      <c r="BF7" s="889" t="e">
        <f t="shared" si="14"/>
        <v>#REF!</v>
      </c>
      <c r="BG7" s="889" t="e">
        <f t="shared" si="14"/>
        <v>#REF!</v>
      </c>
      <c r="BH7" s="889" t="e">
        <f t="shared" si="14"/>
        <v>#REF!</v>
      </c>
      <c r="BI7" s="891" t="e">
        <f t="shared" si="14"/>
        <v>#REF!</v>
      </c>
      <c r="BJ7" s="8"/>
      <c r="BK7" s="8"/>
      <c r="BL7" s="888" t="str">
        <f>Ticker</f>
        <v>JEF</v>
      </c>
      <c r="BM7" s="889" t="e">
        <f>#REF!</f>
        <v>#REF!</v>
      </c>
      <c r="BN7" s="889" t="e">
        <f>#REF!</f>
        <v>#REF!</v>
      </c>
      <c r="BO7" s="889" t="e">
        <f>#REF!</f>
        <v>#REF!</v>
      </c>
      <c r="BP7" s="889" t="e">
        <f>#REF!</f>
        <v>#REF!</v>
      </c>
      <c r="BQ7" s="891" t="e">
        <f>#REF!</f>
        <v>#REF!</v>
      </c>
      <c r="BR7" s="889" t="s">
        <v>686</v>
      </c>
      <c r="BS7" s="889" t="e">
        <f t="shared" ref="BS7:BW7" si="15">BM7</f>
        <v>#REF!</v>
      </c>
      <c r="BT7" s="889" t="e">
        <f t="shared" si="15"/>
        <v>#REF!</v>
      </c>
      <c r="BU7" s="889" t="e">
        <f t="shared" si="15"/>
        <v>#REF!</v>
      </c>
      <c r="BV7" s="889" t="e">
        <f t="shared" si="15"/>
        <v>#REF!</v>
      </c>
      <c r="BW7" s="891" t="e">
        <f t="shared" si="15"/>
        <v>#REF!</v>
      </c>
      <c r="BX7" s="889" t="str">
        <f>$BD$7</f>
        <v>LOW</v>
      </c>
      <c r="BY7" s="889" t="e">
        <f t="shared" ref="BY7:CC7" si="16">BS7</f>
        <v>#REF!</v>
      </c>
      <c r="BZ7" s="889" t="e">
        <f t="shared" si="16"/>
        <v>#REF!</v>
      </c>
      <c r="CA7" s="889" t="e">
        <f t="shared" si="16"/>
        <v>#REF!</v>
      </c>
      <c r="CB7" s="889" t="e">
        <f t="shared" si="16"/>
        <v>#REF!</v>
      </c>
      <c r="CC7" s="891" t="e">
        <f t="shared" si="16"/>
        <v>#REF!</v>
      </c>
      <c r="CD7" s="889" t="str">
        <f>$BD$7</f>
        <v>LOW</v>
      </c>
      <c r="CE7" s="889" t="e">
        <f t="shared" ref="CE7:CI7" si="17">BY7</f>
        <v>#REF!</v>
      </c>
      <c r="CF7" s="889" t="e">
        <f t="shared" si="17"/>
        <v>#REF!</v>
      </c>
      <c r="CG7" s="889" t="e">
        <f t="shared" si="17"/>
        <v>#REF!</v>
      </c>
      <c r="CH7" s="889" t="e">
        <f t="shared" si="17"/>
        <v>#REF!</v>
      </c>
      <c r="CI7" s="891" t="e">
        <f t="shared" si="17"/>
        <v>#REF!</v>
      </c>
    </row>
    <row r="8" ht="14.25" customHeight="1" spans="1:87" x14ac:dyDescent="0.25">
      <c r="A8" s="8"/>
      <c r="B8" s="8"/>
      <c r="C8" s="75"/>
      <c r="D8" s="8"/>
      <c r="E8" s="75" t="s">
        <v>1055</v>
      </c>
      <c r="F8" s="75" t="s">
        <v>1056</v>
      </c>
      <c r="G8" s="75" t="s">
        <v>1057</v>
      </c>
      <c r="H8" s="75" t="s">
        <v>1058</v>
      </c>
      <c r="I8" s="75">
        <f>IF(I7="1",4,I7-1)</f>
        <v>3</v>
      </c>
      <c r="J8" s="688">
        <v>2005</v>
      </c>
      <c r="K8" s="341" t="str">
        <f t="shared" ref="K8:K89" si="18">I8&amp;"Q"&amp;RIGHT(J8,2)</f>
        <v>3Q05</v>
      </c>
      <c r="L8" s="893">
        <v>32.0206819590886</v>
      </c>
      <c r="M8" s="824">
        <v>14.0730769230769</v>
      </c>
      <c r="N8" s="824">
        <v>12.1111111111111</v>
      </c>
      <c r="O8" s="824">
        <v>15.8638743455497</v>
      </c>
      <c r="P8" s="824"/>
      <c r="Q8" s="894"/>
      <c r="R8" s="893"/>
      <c r="S8" s="824">
        <v>17.1045409694505</v>
      </c>
      <c r="T8" s="824"/>
      <c r="U8" s="824">
        <v>15.3500597371565</v>
      </c>
      <c r="V8" s="824"/>
      <c r="W8" s="894"/>
      <c r="X8" s="893">
        <v>91.4228833887664</v>
      </c>
      <c r="Y8" s="824">
        <v>17.7490548028579</v>
      </c>
      <c r="Z8" s="824">
        <v>6.46974367254569</v>
      </c>
      <c r="AA8" s="824">
        <v>6.92070127963974</v>
      </c>
      <c r="AB8" s="824"/>
      <c r="AC8" s="894"/>
      <c r="AD8" s="824"/>
      <c r="AE8" s="824"/>
      <c r="AF8" s="824">
        <v>9.51763843660503</v>
      </c>
      <c r="AG8" s="824">
        <v>8.85896084941036</v>
      </c>
      <c r="AH8" s="824"/>
      <c r="AI8" s="894"/>
      <c r="AJ8" s="8"/>
      <c r="AK8" s="341" t="str">
        <f t="shared" ref="AK8:AK84" si="19">$K8</f>
        <v>3Q05</v>
      </c>
      <c r="AL8" s="893">
        <f t="shared" ref="AL8:AL84" si="20">L8</f>
        <v>32.0206819590886</v>
      </c>
      <c r="AM8" s="824">
        <v>31.6373624508615</v>
      </c>
      <c r="AN8" s="824">
        <v>57.3242799255251</v>
      </c>
      <c r="AO8" s="824">
        <v>29.5323741007194</v>
      </c>
      <c r="AP8" s="824">
        <v>19.8206751054852</v>
      </c>
      <c r="AQ8" s="894"/>
      <c r="AR8" s="893">
        <f t="shared" ref="AR8:AR84" si="21">R8</f>
        <v>0</v>
      </c>
      <c r="AS8" s="824">
        <v>24.1628199748217</v>
      </c>
      <c r="AT8" s="824">
        <v>15.5671617478749</v>
      </c>
      <c r="AU8" s="824">
        <v>19.4273544723142</v>
      </c>
      <c r="AV8" s="824">
        <v>18.1932610379551</v>
      </c>
      <c r="AW8" s="894"/>
      <c r="AX8" s="893">
        <f t="shared" ref="AX8:AX84" si="22">X8</f>
        <v>91.4228833887664</v>
      </c>
      <c r="AY8" s="824">
        <v>13.3943921309475</v>
      </c>
      <c r="AZ8" s="824">
        <v>10.1673549788865</v>
      </c>
      <c r="BA8" s="824">
        <v>16.4177867910307</v>
      </c>
      <c r="BB8" s="824">
        <v>11.5907362783901</v>
      </c>
      <c r="BC8" s="894">
        <v>9.99367805512879</v>
      </c>
      <c r="BD8" s="893"/>
      <c r="BE8" s="824"/>
      <c r="BF8" s="824"/>
      <c r="BG8" s="824"/>
      <c r="BH8" s="824"/>
      <c r="BI8" s="894"/>
      <c r="BJ8" s="8"/>
      <c r="BK8" s="341" t="str">
        <f t="shared" ref="BK8:BK84" si="23">$K8</f>
        <v>3Q05</v>
      </c>
      <c r="BL8" s="893">
        <f t="shared" ref="BL8:BL84" si="24">AL8</f>
        <v>32.0206819590886</v>
      </c>
      <c r="BM8" s="824">
        <v>24.0889830508475</v>
      </c>
      <c r="BN8" s="824">
        <v>198.04347826087</v>
      </c>
      <c r="BO8" s="824">
        <v>24.6567570429574</v>
      </c>
      <c r="BP8" s="824">
        <v>18.3081071668037</v>
      </c>
      <c r="BQ8" s="894">
        <v>18.3663366336634</v>
      </c>
      <c r="BR8" s="893">
        <f t="shared" ref="BR8:BR84" si="25">AR8</f>
        <v>0</v>
      </c>
      <c r="BS8" s="824">
        <v>21.3400900900901</v>
      </c>
      <c r="BT8" s="824">
        <v>59.3098958333333</v>
      </c>
      <c r="BU8" s="824">
        <v>21.8971197871046</v>
      </c>
      <c r="BV8" s="824">
        <v>15.6499713324482</v>
      </c>
      <c r="BW8" s="894">
        <v>17.2077922077922</v>
      </c>
      <c r="BX8" s="893">
        <f t="shared" ref="BX8:BX84" si="26">AX8</f>
        <v>91.4228833887664</v>
      </c>
      <c r="BY8" s="824">
        <v>9.95734832672691</v>
      </c>
      <c r="BZ8" s="824"/>
      <c r="CA8" s="824">
        <v>14.8271286946223</v>
      </c>
      <c r="CB8" s="824">
        <v>10.0353539604855</v>
      </c>
      <c r="CC8" s="894">
        <v>9.43229913064321</v>
      </c>
      <c r="CD8" s="893"/>
      <c r="CE8" s="824"/>
      <c r="CF8" s="824"/>
      <c r="CG8" s="824"/>
      <c r="CH8" s="824"/>
      <c r="CI8" s="894"/>
    </row>
    <row r="9" ht="14.25" customHeight="1" spans="1:87" x14ac:dyDescent="0.25">
      <c r="A9" s="8"/>
      <c r="B9" s="8"/>
      <c r="C9" s="8" t="s">
        <v>1029</v>
      </c>
      <c r="D9" s="8"/>
      <c r="E9" s="774">
        <f>AVERAGE(L81:L86)</f>
        <v>26.962747418220115</v>
      </c>
      <c r="F9" s="774">
        <f>AVERAGE(R84:R89)</f>
        <v>15.603371408351684</v>
      </c>
      <c r="G9" s="774">
        <f>AVERAGE(X81:X86)</f>
        <v>7.406595700148945</v>
      </c>
      <c r="H9" s="774">
        <f>AVERAGE(AD81:AD86)</f>
        <v>10.189766666666666</v>
      </c>
      <c r="I9" s="75">
        <f>IF(I8=4,1,I8+1)</f>
        <v>4</v>
      </c>
      <c r="J9" s="7">
        <f t="shared" ref="J9:J89" si="27">IF(I9=1,J8+1,J8)</f>
        <v>2005</v>
      </c>
      <c r="K9" s="341" t="str">
        <f t="shared" si="18"/>
        <v>4Q05</v>
      </c>
      <c r="L9" s="893">
        <v>24.8347928340027</v>
      </c>
      <c r="M9" s="824">
        <v>13.4052861887367</v>
      </c>
      <c r="N9" s="824">
        <v>14.5105104741486</v>
      </c>
      <c r="O9" s="824">
        <v>15.7821229050279</v>
      </c>
      <c r="P9" s="824"/>
      <c r="Q9" s="894"/>
      <c r="R9" s="893"/>
      <c r="S9" s="824">
        <v>18.3219954648526</v>
      </c>
      <c r="T9" s="824"/>
      <c r="U9" s="824">
        <v>16.2071638008516</v>
      </c>
      <c r="V9" s="824"/>
      <c r="W9" s="894"/>
      <c r="X9" s="893">
        <v>82.15243523545</v>
      </c>
      <c r="Y9" s="824">
        <v>15.0510945058981</v>
      </c>
      <c r="Z9" s="824">
        <v>7.96636510989115</v>
      </c>
      <c r="AA9" s="824">
        <v>9.73770700981768</v>
      </c>
      <c r="AB9" s="824"/>
      <c r="AC9" s="894"/>
      <c r="AD9" s="824"/>
      <c r="AE9" s="824"/>
      <c r="AF9" s="824"/>
      <c r="AG9" s="824"/>
      <c r="AH9" s="824"/>
      <c r="AI9" s="894"/>
      <c r="AJ9" s="8"/>
      <c r="AK9" s="341" t="str">
        <f t="shared" si="19"/>
        <v>4Q05</v>
      </c>
      <c r="AL9" s="893">
        <f t="shared" si="20"/>
        <v>24.8347928340027</v>
      </c>
      <c r="AM9" s="824">
        <v>33.7378642338589</v>
      </c>
      <c r="AN9" s="824">
        <v>65.2061273977061</v>
      </c>
      <c r="AO9" s="824">
        <v>25.3105590062112</v>
      </c>
      <c r="AP9" s="824">
        <v>21.4415322786777</v>
      </c>
      <c r="AQ9" s="894"/>
      <c r="AR9" s="893">
        <f t="shared" si="21"/>
        <v>0</v>
      </c>
      <c r="AS9" s="824">
        <v>27.5903136165145</v>
      </c>
      <c r="AT9" s="824">
        <v>17.0317268699309</v>
      </c>
      <c r="AU9" s="824">
        <v>18.7442502299908</v>
      </c>
      <c r="AV9" s="824">
        <v>20.4048349961627</v>
      </c>
      <c r="AW9" s="894"/>
      <c r="AX9" s="893">
        <f t="shared" si="22"/>
        <v>82.15243523545</v>
      </c>
      <c r="AY9" s="824">
        <v>15.4589819476129</v>
      </c>
      <c r="AZ9" s="824">
        <v>9.63156595976785</v>
      </c>
      <c r="BA9" s="824">
        <v>16.5102450531201</v>
      </c>
      <c r="BB9" s="824">
        <v>12.6637918478585</v>
      </c>
      <c r="BC9" s="894">
        <v>10.5788759046551</v>
      </c>
      <c r="BD9" s="893"/>
      <c r="BE9" s="824"/>
      <c r="BF9" s="824"/>
      <c r="BG9" s="824"/>
      <c r="BH9" s="824"/>
      <c r="BI9" s="894"/>
      <c r="BJ9" s="8"/>
      <c r="BK9" s="341" t="str">
        <f t="shared" si="23"/>
        <v>4Q05</v>
      </c>
      <c r="BL9" s="893">
        <f t="shared" si="24"/>
        <v>24.8347928340027</v>
      </c>
      <c r="BM9" s="824">
        <v>22.662037037037</v>
      </c>
      <c r="BN9" s="824">
        <v>171.071428571429</v>
      </c>
      <c r="BO9" s="824">
        <v>18.4929491192053</v>
      </c>
      <c r="BP9" s="824">
        <v>16.8537918862423</v>
      </c>
      <c r="BQ9" s="894">
        <v>16.5206812652068</v>
      </c>
      <c r="BR9" s="893">
        <f t="shared" si="25"/>
        <v>0</v>
      </c>
      <c r="BS9" s="824">
        <v>19.6271050521251</v>
      </c>
      <c r="BT9" s="824">
        <v>55.4398148148148</v>
      </c>
      <c r="BU9" s="824">
        <v>16.8829221100363</v>
      </c>
      <c r="BV9" s="824">
        <v>14.3390533790604</v>
      </c>
      <c r="BW9" s="894">
        <v>15.68853974122</v>
      </c>
      <c r="BX9" s="893">
        <f t="shared" si="26"/>
        <v>82.15243523545</v>
      </c>
      <c r="BY9" s="824">
        <v>7.89044204782666</v>
      </c>
      <c r="BZ9" s="824"/>
      <c r="CA9" s="824">
        <v>10.8988746445519</v>
      </c>
      <c r="CB9" s="824">
        <v>9.53206413009416</v>
      </c>
      <c r="CC9" s="894">
        <v>8.65171889647252</v>
      </c>
      <c r="CD9" s="893"/>
      <c r="CE9" s="824"/>
      <c r="CF9" s="824"/>
      <c r="CG9" s="824"/>
      <c r="CH9" s="824"/>
      <c r="CI9" s="894"/>
    </row>
    <row r="10" ht="14.25" customHeight="1" spans="1:87" x14ac:dyDescent="0.25">
      <c r="A10" s="8"/>
      <c r="B10" s="8"/>
      <c r="C10" s="8" t="s">
        <v>1025</v>
      </c>
      <c r="D10" s="8"/>
      <c r="E10" s="774">
        <f>AVERAGE(L77:L86)</f>
        <v>19.800592004295623</v>
      </c>
      <c r="F10" s="774">
        <f>AVERAGE(R80:R89)</f>
        <v>14.181846327302988</v>
      </c>
      <c r="G10" s="774">
        <f>AVERAGE(X77:X86)</f>
        <v>6.3116620938042995</v>
      </c>
      <c r="H10" s="774">
        <f>AVERAGE(AD77:AD86)</f>
        <v>11.663880000000002</v>
      </c>
      <c r="I10" s="75">
        <f>IF(I9+1=5,1,I9+1)</f>
        <v>1</v>
      </c>
      <c r="J10" s="7">
        <f t="shared" si="27"/>
        <v>2006</v>
      </c>
      <c r="K10" s="341" t="str">
        <f t="shared" si="18"/>
        <v>1Q06</v>
      </c>
      <c r="L10" s="893">
        <v>19.0995811064213</v>
      </c>
      <c r="M10" s="824">
        <v>15.312820484737</v>
      </c>
      <c r="N10" s="824">
        <v>20.8720930666537</v>
      </c>
      <c r="O10" s="824">
        <v>17.6483516483516</v>
      </c>
      <c r="P10" s="824"/>
      <c r="Q10" s="894"/>
      <c r="R10" s="893"/>
      <c r="S10" s="824">
        <v>18.0825311039802</v>
      </c>
      <c r="T10" s="824"/>
      <c r="U10" s="824">
        <v>16.7025039668718</v>
      </c>
      <c r="V10" s="824"/>
      <c r="W10" s="894"/>
      <c r="X10" s="893"/>
      <c r="Y10" s="824">
        <v>16.8443125180138</v>
      </c>
      <c r="Z10" s="824">
        <v>9.65102110198647</v>
      </c>
      <c r="AA10" s="824">
        <v>9.84922441209643</v>
      </c>
      <c r="AB10" s="824"/>
      <c r="AC10" s="894"/>
      <c r="AD10" s="824"/>
      <c r="AE10" s="824"/>
      <c r="AF10" s="824"/>
      <c r="AG10" s="824"/>
      <c r="AH10" s="824"/>
      <c r="AI10" s="894"/>
      <c r="AJ10" s="8"/>
      <c r="AK10" s="341" t="str">
        <f t="shared" si="19"/>
        <v>1Q06</v>
      </c>
      <c r="AL10" s="893">
        <f t="shared" si="20"/>
        <v>19.0995811064213</v>
      </c>
      <c r="AM10" s="824">
        <v>28.2401745548824</v>
      </c>
      <c r="AN10" s="824">
        <v>61.5214753802231</v>
      </c>
      <c r="AO10" s="824">
        <v>15.668449197861</v>
      </c>
      <c r="AP10" s="824">
        <v>15.6403846153846</v>
      </c>
      <c r="AQ10" s="894"/>
      <c r="AR10" s="893">
        <f t="shared" si="21"/>
        <v>0</v>
      </c>
      <c r="AS10" s="824">
        <v>25.4606299212598</v>
      </c>
      <c r="AT10" s="824">
        <v>17.2111267537473</v>
      </c>
      <c r="AU10" s="824">
        <v>13.5710977304308</v>
      </c>
      <c r="AV10" s="824">
        <v>15.6947124662293</v>
      </c>
      <c r="AW10" s="894"/>
      <c r="AX10" s="893">
        <f t="shared" si="22"/>
        <v>0</v>
      </c>
      <c r="AY10" s="824">
        <v>14.1581699783545</v>
      </c>
      <c r="AZ10" s="824">
        <v>9.50835601638205</v>
      </c>
      <c r="BA10" s="824">
        <v>8.81060549832901</v>
      </c>
      <c r="BB10" s="824">
        <v>9.70905162045044</v>
      </c>
      <c r="BC10" s="894">
        <v>6.74708071538801</v>
      </c>
      <c r="BD10" s="893"/>
      <c r="BE10" s="824"/>
      <c r="BF10" s="824"/>
      <c r="BG10" s="824"/>
      <c r="BH10" s="824"/>
      <c r="BI10" s="894"/>
      <c r="BJ10" s="8"/>
      <c r="BK10" s="341" t="str">
        <f t="shared" si="23"/>
        <v>1Q06</v>
      </c>
      <c r="BL10" s="893">
        <f t="shared" si="24"/>
        <v>19.0995811064213</v>
      </c>
      <c r="BM10" s="824">
        <v>17.0733944954128</v>
      </c>
      <c r="BN10" s="824">
        <v>77.0338983050848</v>
      </c>
      <c r="BO10" s="824">
        <v>14.9024195031447</v>
      </c>
      <c r="BP10" s="824">
        <v>10.058718431346</v>
      </c>
      <c r="BQ10" s="894">
        <v>13.45</v>
      </c>
      <c r="BR10" s="893">
        <f t="shared" si="25"/>
        <v>0</v>
      </c>
      <c r="BS10" s="824">
        <v>18.3711747285291</v>
      </c>
      <c r="BT10" s="824">
        <v>42.6360225140713</v>
      </c>
      <c r="BU10" s="824">
        <v>14.3954113061968</v>
      </c>
      <c r="BV10" s="824">
        <v>10.177874029743</v>
      </c>
      <c r="BW10" s="894">
        <v>12.8503184713376</v>
      </c>
      <c r="BX10" s="893">
        <f t="shared" si="26"/>
        <v>0</v>
      </c>
      <c r="BY10" s="824">
        <v>6.29632936312156</v>
      </c>
      <c r="BZ10" s="824"/>
      <c r="CA10" s="824">
        <v>9.23730471252448</v>
      </c>
      <c r="CB10" s="824">
        <v>6.18830742591716</v>
      </c>
      <c r="CC10" s="894">
        <v>7.00932513291303</v>
      </c>
      <c r="CD10" s="893"/>
      <c r="CE10" s="824"/>
      <c r="CF10" s="824"/>
      <c r="CG10" s="824"/>
      <c r="CH10" s="824"/>
      <c r="CI10" s="894"/>
    </row>
    <row r="11" ht="14.25" customHeight="1" spans="1:87" x14ac:dyDescent="0.25">
      <c r="A11" s="8"/>
      <c r="B11" s="8"/>
      <c r="C11" s="8" t="s">
        <v>1028</v>
      </c>
      <c r="D11" s="8"/>
      <c r="E11" s="774">
        <f>AVERAGE(L73:L86)</f>
        <v>15.962971309738515</v>
      </c>
      <c r="F11" s="774">
        <f>AVERAGE(R76:R89)</f>
        <v>13.009261099278973</v>
      </c>
      <c r="G11" s="774">
        <f>AVERAGE(X73:X86)</f>
        <v>5.537062706813372</v>
      </c>
      <c r="H11" s="774">
        <f>AVERAGE(AD73:AD86)</f>
        <v>11.802071428571429</v>
      </c>
      <c r="I11" s="75">
        <f>IF(I10=4,1,I10+1)</f>
        <v>2</v>
      </c>
      <c r="J11" s="7">
        <f t="shared" si="27"/>
        <v>2006</v>
      </c>
      <c r="K11" s="341" t="str">
        <f t="shared" si="18"/>
        <v>2Q06</v>
      </c>
      <c r="L11" s="893">
        <v>18.5444150309833</v>
      </c>
      <c r="M11" s="824">
        <v>18.967136054697</v>
      </c>
      <c r="N11" s="824">
        <v>21.3579546901174</v>
      </c>
      <c r="O11" s="824">
        <v>18.835</v>
      </c>
      <c r="P11" s="824"/>
      <c r="Q11" s="894"/>
      <c r="R11" s="893"/>
      <c r="S11" s="824">
        <v>16.3747368343903</v>
      </c>
      <c r="T11" s="824"/>
      <c r="U11" s="824">
        <v>15.3778863418097</v>
      </c>
      <c r="V11" s="824"/>
      <c r="W11" s="894"/>
      <c r="X11" s="893"/>
      <c r="Y11" s="824">
        <v>17.0440588557054</v>
      </c>
      <c r="Z11" s="824">
        <v>9.27833919564341</v>
      </c>
      <c r="AA11" s="824">
        <v>9.55144691369671</v>
      </c>
      <c r="AB11" s="824"/>
      <c r="AC11" s="894"/>
      <c r="AD11" s="824"/>
      <c r="AE11" s="824"/>
      <c r="AF11" s="824"/>
      <c r="AG11" s="824"/>
      <c r="AH11" s="824"/>
      <c r="AI11" s="894"/>
      <c r="AJ11" s="8"/>
      <c r="AK11" s="341" t="str">
        <f t="shared" si="19"/>
        <v>2Q06</v>
      </c>
      <c r="AL11" s="893">
        <f t="shared" si="20"/>
        <v>18.5444150309833</v>
      </c>
      <c r="AM11" s="824">
        <v>22.470817037238</v>
      </c>
      <c r="AN11" s="824">
        <v>38.2756671232394</v>
      </c>
      <c r="AO11" s="824">
        <v>16.6216216216216</v>
      </c>
      <c r="AP11" s="824">
        <v>15.0037807183365</v>
      </c>
      <c r="AQ11" s="894"/>
      <c r="AR11" s="893">
        <f t="shared" si="21"/>
        <v>0</v>
      </c>
      <c r="AS11" s="824">
        <v>22.6470588235294</v>
      </c>
      <c r="AT11" s="824">
        <v>14.7843172547043</v>
      </c>
      <c r="AU11" s="824">
        <v>14.5047169811321</v>
      </c>
      <c r="AV11" s="824">
        <v>15.3283120896099</v>
      </c>
      <c r="AW11" s="894"/>
      <c r="AX11" s="893">
        <f t="shared" si="22"/>
        <v>0</v>
      </c>
      <c r="AY11" s="824">
        <v>12.4382164540118</v>
      </c>
      <c r="AZ11" s="824">
        <v>12.8718399686108</v>
      </c>
      <c r="BA11" s="824">
        <v>9.55054580501164</v>
      </c>
      <c r="BB11" s="824">
        <v>9.38555303097033</v>
      </c>
      <c r="BC11" s="894">
        <v>5.74453431728535</v>
      </c>
      <c r="BD11" s="893"/>
      <c r="BE11" s="824"/>
      <c r="BF11" s="824"/>
      <c r="BG11" s="824"/>
      <c r="BH11" s="824"/>
      <c r="BI11" s="894"/>
      <c r="BJ11" s="8"/>
      <c r="BK11" s="341" t="str">
        <f t="shared" si="23"/>
        <v>2Q06</v>
      </c>
      <c r="BL11" s="893">
        <f t="shared" si="24"/>
        <v>18.5444150309833</v>
      </c>
      <c r="BM11" s="824">
        <v>19.8782608695652</v>
      </c>
      <c r="BN11" s="824">
        <v>33.7132352941176</v>
      </c>
      <c r="BO11" s="824">
        <v>15.5009745629139</v>
      </c>
      <c r="BP11" s="824">
        <v>11.424029243357</v>
      </c>
      <c r="BQ11" s="894">
        <v>14.0772727272727</v>
      </c>
      <c r="BR11" s="893">
        <f t="shared" si="25"/>
        <v>0</v>
      </c>
      <c r="BS11" s="824">
        <v>21.8546845124283</v>
      </c>
      <c r="BT11" s="824">
        <v>19.3623310810811</v>
      </c>
      <c r="BU11" s="824">
        <v>15.470238988764</v>
      </c>
      <c r="BV11" s="824">
        <v>11.4012267897774</v>
      </c>
      <c r="BW11" s="894">
        <v>14.0581025873808</v>
      </c>
      <c r="BX11" s="893">
        <f t="shared" si="26"/>
        <v>0</v>
      </c>
      <c r="BY11" s="824">
        <v>5.60281246475435</v>
      </c>
      <c r="BZ11" s="824"/>
      <c r="CA11" s="824">
        <v>10.262349948648</v>
      </c>
      <c r="CB11" s="824">
        <v>7.16364226171752</v>
      </c>
      <c r="CC11" s="894">
        <v>7.56131327496828</v>
      </c>
      <c r="CD11" s="893"/>
      <c r="CE11" s="824"/>
      <c r="CF11" s="824"/>
      <c r="CG11" s="824"/>
      <c r="CH11" s="824"/>
      <c r="CI11" s="894"/>
    </row>
    <row r="12" ht="14.25" customHeight="1" spans="1:87" x14ac:dyDescent="0.25">
      <c r="A12" s="8"/>
      <c r="B12" s="8"/>
      <c r="C12" s="8" t="s">
        <v>1031</v>
      </c>
      <c r="D12" s="8"/>
      <c r="E12" s="774">
        <f>AVERAGE(L65:L86)</f>
        <v>15.044205156179412</v>
      </c>
      <c r="F12" s="774">
        <f>AVERAGE(R65:R86)</f>
        <v>13.313570239798036</v>
      </c>
      <c r="G12" s="774">
        <f>AVERAGE(X65:X86)</f>
        <v>5.529419482852733</v>
      </c>
      <c r="H12" s="774">
        <f>AVERAGE(AD65:AD86)</f>
        <v>11.679370868945023</v>
      </c>
      <c r="I12" s="75">
        <f>I8</f>
        <v>3</v>
      </c>
      <c r="J12" s="7">
        <f t="shared" si="27"/>
        <v>2006</v>
      </c>
      <c r="K12" s="341" t="str">
        <f t="shared" si="18"/>
        <v>3Q06</v>
      </c>
      <c r="L12" s="893">
        <v>58.3221941994104</v>
      </c>
      <c r="M12" s="824">
        <v>23.0125512911662</v>
      </c>
      <c r="N12" s="824">
        <v>25.3895348837209</v>
      </c>
      <c r="O12" s="824">
        <v>21.3173076923077</v>
      </c>
      <c r="P12" s="824"/>
      <c r="Q12" s="894"/>
      <c r="R12" s="893"/>
      <c r="S12" s="824">
        <v>19.8825180706868</v>
      </c>
      <c r="T12" s="824"/>
      <c r="U12" s="824">
        <v>14.6291432145091</v>
      </c>
      <c r="V12" s="824"/>
      <c r="W12" s="894"/>
      <c r="X12" s="893">
        <v>158.255477071284</v>
      </c>
      <c r="Y12" s="824">
        <v>16.6401427437234</v>
      </c>
      <c r="Z12" s="824">
        <v>19.0860983803664</v>
      </c>
      <c r="AA12" s="824">
        <v>8.80662830346033</v>
      </c>
      <c r="AB12" s="824"/>
      <c r="AC12" s="894"/>
      <c r="AD12" s="824"/>
      <c r="AE12" s="824"/>
      <c r="AF12" s="824"/>
      <c r="AG12" s="824"/>
      <c r="AH12" s="824"/>
      <c r="AI12" s="894"/>
      <c r="AJ12" s="8"/>
      <c r="AK12" s="341" t="str">
        <f t="shared" si="19"/>
        <v>3Q06</v>
      </c>
      <c r="AL12" s="893">
        <f t="shared" si="20"/>
        <v>58.3221941994104</v>
      </c>
      <c r="AM12" s="824">
        <v>18.1488548131938</v>
      </c>
      <c r="AN12" s="824">
        <v>13.8276219685405</v>
      </c>
      <c r="AO12" s="824">
        <v>16.2114285714286</v>
      </c>
      <c r="AP12" s="824">
        <v>10.4695817490494</v>
      </c>
      <c r="AQ12" s="894"/>
      <c r="AR12" s="893">
        <f t="shared" si="21"/>
        <v>0</v>
      </c>
      <c r="AS12" s="824">
        <v>21.5940054495913</v>
      </c>
      <c r="AT12" s="824">
        <v>20.1751850233281</v>
      </c>
      <c r="AU12" s="824">
        <v>16.4559164733179</v>
      </c>
      <c r="AV12" s="824">
        <v>10.9352660841938</v>
      </c>
      <c r="AW12" s="894"/>
      <c r="AX12" s="893">
        <f t="shared" si="22"/>
        <v>158.255477071284</v>
      </c>
      <c r="AY12" s="824">
        <v>10.3640936852251</v>
      </c>
      <c r="AZ12" s="824">
        <v>10.8635508026007</v>
      </c>
      <c r="BA12" s="824">
        <v>9.75856331300942</v>
      </c>
      <c r="BB12" s="824">
        <v>7.4360441182741</v>
      </c>
      <c r="BC12" s="894">
        <v>5.38774679702789</v>
      </c>
      <c r="BD12" s="893"/>
      <c r="BE12" s="824"/>
      <c r="BF12" s="824"/>
      <c r="BG12" s="824"/>
      <c r="BH12" s="824"/>
      <c r="BI12" s="894"/>
      <c r="BJ12" s="8"/>
      <c r="BK12" s="341" t="str">
        <f t="shared" si="23"/>
        <v>3Q06</v>
      </c>
      <c r="BL12" s="893">
        <f t="shared" si="24"/>
        <v>58.3221941994104</v>
      </c>
      <c r="BM12" s="824">
        <v>20.1639344262295</v>
      </c>
      <c r="BN12" s="824">
        <v>21.8111111111111</v>
      </c>
      <c r="BO12" s="824">
        <v>16.5621018243243</v>
      </c>
      <c r="BP12" s="824">
        <v>10.8742096541045</v>
      </c>
      <c r="BQ12" s="894">
        <v>12.84</v>
      </c>
      <c r="BR12" s="893">
        <f t="shared" si="25"/>
        <v>0</v>
      </c>
      <c r="BS12" s="824">
        <v>21.8278615794144</v>
      </c>
      <c r="BT12" s="824">
        <v>16.523569023569</v>
      </c>
      <c r="BU12" s="824">
        <v>15.2532113876789</v>
      </c>
      <c r="BV12" s="824">
        <v>12.4524017471987</v>
      </c>
      <c r="BW12" s="894">
        <v>12.3093310609288</v>
      </c>
      <c r="BX12" s="893">
        <f t="shared" si="26"/>
        <v>158.255477071284</v>
      </c>
      <c r="BY12" s="824">
        <v>6.93754542616547</v>
      </c>
      <c r="BZ12" s="824"/>
      <c r="CA12" s="824">
        <v>10.9533057003254</v>
      </c>
      <c r="CB12" s="824">
        <v>6.96558270476352</v>
      </c>
      <c r="CC12" s="894">
        <v>7.03993127598507</v>
      </c>
      <c r="CD12" s="893"/>
      <c r="CE12" s="824"/>
      <c r="CF12" s="824"/>
      <c r="CG12" s="824"/>
      <c r="CH12" s="824"/>
      <c r="CI12" s="894"/>
    </row>
    <row r="13" ht="14.25" customHeight="1" spans="1:87" x14ac:dyDescent="0.25">
      <c r="A13" s="8"/>
      <c r="B13" s="8"/>
      <c r="C13" s="892" t="s">
        <v>1061</v>
      </c>
      <c r="D13" s="892"/>
      <c r="E13" s="892"/>
      <c r="F13" s="892"/>
      <c r="G13" s="892"/>
      <c r="H13" s="892"/>
      <c r="I13" s="75">
        <f>IF(I12=4,1,I12+1)</f>
        <v>4</v>
      </c>
      <c r="J13" s="7">
        <f t="shared" si="27"/>
        <v>2006</v>
      </c>
      <c r="K13" s="341" t="str">
        <f t="shared" si="18"/>
        <v>4Q06</v>
      </c>
      <c r="L13" s="893">
        <v>21.1637908610725</v>
      </c>
      <c r="M13" s="824">
        <v>21.0343641146826</v>
      </c>
      <c r="N13" s="824">
        <v>15.9773756087025</v>
      </c>
      <c r="O13" s="824">
        <v>19.9144736842105</v>
      </c>
      <c r="P13" s="824"/>
      <c r="Q13" s="894"/>
      <c r="R13" s="893"/>
      <c r="S13" s="824">
        <v>21.5016501650165</v>
      </c>
      <c r="T13" s="824"/>
      <c r="U13" s="824">
        <v>14.8199466491306</v>
      </c>
      <c r="V13" s="824"/>
      <c r="W13" s="894"/>
      <c r="X13" s="893"/>
      <c r="Y13" s="824">
        <v>13.4452010998516</v>
      </c>
      <c r="Z13" s="824">
        <v>18.6002551859456</v>
      </c>
      <c r="AA13" s="824">
        <v>8.80424463188792</v>
      </c>
      <c r="AB13" s="824"/>
      <c r="AC13" s="894"/>
      <c r="AD13" s="824"/>
      <c r="AE13" s="824"/>
      <c r="AF13" s="824"/>
      <c r="AG13" s="824"/>
      <c r="AH13" s="824"/>
      <c r="AI13" s="894"/>
      <c r="AJ13" s="8"/>
      <c r="AK13" s="341" t="str">
        <f t="shared" si="19"/>
        <v>4Q06</v>
      </c>
      <c r="AL13" s="893">
        <f t="shared" si="20"/>
        <v>21.1637908610725</v>
      </c>
      <c r="AM13" s="824">
        <v>18.0189389708436</v>
      </c>
      <c r="AN13" s="824">
        <v>14.3659743500337</v>
      </c>
      <c r="AO13" s="824">
        <v>20.1472392638037</v>
      </c>
      <c r="AP13" s="824">
        <v>14.1050583657588</v>
      </c>
      <c r="AQ13" s="894"/>
      <c r="AR13" s="893">
        <f t="shared" si="21"/>
        <v>0</v>
      </c>
      <c r="AS13" s="824">
        <v>20.6736201651456</v>
      </c>
      <c r="AT13" s="824">
        <v>19.4244121565757</v>
      </c>
      <c r="AU13" s="824">
        <v>18.9607390300231</v>
      </c>
      <c r="AV13" s="824">
        <v>14.9054276315789</v>
      </c>
      <c r="AW13" s="894"/>
      <c r="AX13" s="893">
        <f t="shared" si="22"/>
        <v>0</v>
      </c>
      <c r="AY13" s="824">
        <v>10.3669599181416</v>
      </c>
      <c r="AZ13" s="824">
        <v>11.1857641603841</v>
      </c>
      <c r="BA13" s="824">
        <v>10.7758521211248</v>
      </c>
      <c r="BB13" s="824">
        <v>9.58501615579418</v>
      </c>
      <c r="BC13" s="894">
        <v>5.69296651382372</v>
      </c>
      <c r="BD13" s="893"/>
      <c r="BE13" s="824"/>
      <c r="BF13" s="824"/>
      <c r="BG13" s="824"/>
      <c r="BH13" s="824"/>
      <c r="BI13" s="894"/>
      <c r="BJ13" s="8"/>
      <c r="BK13" s="341" t="str">
        <f t="shared" si="23"/>
        <v>4Q06</v>
      </c>
      <c r="BL13" s="893">
        <f t="shared" si="24"/>
        <v>21.1637908610725</v>
      </c>
      <c r="BM13" s="824">
        <v>18.4916943521595</v>
      </c>
      <c r="BN13" s="824">
        <v>20.0438596491228</v>
      </c>
      <c r="BO13" s="824">
        <v>19.4145705295775</v>
      </c>
      <c r="BP13" s="824">
        <v>15.1250091313676</v>
      </c>
      <c r="BQ13" s="894">
        <v>15.635761589404</v>
      </c>
      <c r="BR13" s="893">
        <f t="shared" si="25"/>
        <v>0</v>
      </c>
      <c r="BS13" s="824">
        <v>24.4982394366197</v>
      </c>
      <c r="BT13" s="824">
        <v>19.6643717728055</v>
      </c>
      <c r="BU13" s="824">
        <v>17.2844452363636</v>
      </c>
      <c r="BV13" s="824">
        <v>16.4381128180137</v>
      </c>
      <c r="BW13" s="894">
        <v>15.2914507772021</v>
      </c>
      <c r="BX13" s="893">
        <f t="shared" si="26"/>
        <v>0</v>
      </c>
      <c r="BY13" s="824">
        <v>7.88023838323117</v>
      </c>
      <c r="BZ13" s="824"/>
      <c r="CA13" s="824">
        <v>12.5033257784677</v>
      </c>
      <c r="CB13" s="824">
        <v>9.07894458569696</v>
      </c>
      <c r="CC13" s="894">
        <v>8.28311190789697</v>
      </c>
      <c r="CD13" s="893"/>
      <c r="CE13" s="824"/>
      <c r="CF13" s="824"/>
      <c r="CG13" s="824"/>
      <c r="CH13" s="824"/>
      <c r="CI13" s="894"/>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3">
        <v>25.7277059979569</v>
      </c>
      <c r="M14" s="824">
        <v>20.4797295482763</v>
      </c>
      <c r="N14" s="824">
        <v>14.1066667563544</v>
      </c>
      <c r="O14" s="824">
        <v>17.4741035856574</v>
      </c>
      <c r="P14" s="824"/>
      <c r="Q14" s="894"/>
      <c r="R14" s="893"/>
      <c r="S14" s="824">
        <v>20.1331571238611</v>
      </c>
      <c r="T14" s="824"/>
      <c r="U14" s="824">
        <v>13.6769118539311</v>
      </c>
      <c r="V14" s="824"/>
      <c r="W14" s="894"/>
      <c r="X14" s="893"/>
      <c r="Y14" s="824">
        <v>11.9922350096887</v>
      </c>
      <c r="Z14" s="824">
        <v>24.6122934980002</v>
      </c>
      <c r="AA14" s="824">
        <v>9.05532280311402</v>
      </c>
      <c r="AB14" s="824"/>
      <c r="AC14" s="894"/>
      <c r="AD14" s="824"/>
      <c r="AE14" s="824"/>
      <c r="AF14" s="824"/>
      <c r="AG14" s="824"/>
      <c r="AH14" s="824"/>
      <c r="AI14" s="894"/>
      <c r="AJ14" s="8"/>
      <c r="AK14" s="341" t="str">
        <f t="shared" si="19"/>
        <v>1Q07</v>
      </c>
      <c r="AL14" s="893">
        <f t="shared" si="20"/>
        <v>25.7277059979569</v>
      </c>
      <c r="AM14" s="824">
        <v>17.4810601955945</v>
      </c>
      <c r="AN14" s="824">
        <v>15.5222617083941</v>
      </c>
      <c r="AO14" s="824">
        <v>18.6666666666667</v>
      </c>
      <c r="AP14" s="824">
        <v>15.4574257425743</v>
      </c>
      <c r="AQ14" s="894"/>
      <c r="AR14" s="893">
        <f t="shared" si="21"/>
        <v>0</v>
      </c>
      <c r="AS14" s="824">
        <v>19.7559931506849</v>
      </c>
      <c r="AT14" s="824">
        <v>18.1815152343096</v>
      </c>
      <c r="AU14" s="824">
        <v>16.1476355247982</v>
      </c>
      <c r="AV14" s="824">
        <v>15.7315598548972</v>
      </c>
      <c r="AW14" s="894"/>
      <c r="AX14" s="893">
        <f t="shared" si="22"/>
        <v>0</v>
      </c>
      <c r="AY14" s="824">
        <v>10.1269007814659</v>
      </c>
      <c r="AZ14" s="824">
        <v>10.1162324790173</v>
      </c>
      <c r="BA14" s="824">
        <v>11.2636629241168</v>
      </c>
      <c r="BB14" s="824">
        <v>11.3925268271013</v>
      </c>
      <c r="BC14" s="894">
        <v>6.44598235164602</v>
      </c>
      <c r="BD14" s="893"/>
      <c r="BE14" s="824"/>
      <c r="BF14" s="824"/>
      <c r="BG14" s="824"/>
      <c r="BH14" s="824"/>
      <c r="BI14" s="894"/>
      <c r="BJ14" s="8"/>
      <c r="BK14" s="341" t="str">
        <f t="shared" si="23"/>
        <v>1Q07</v>
      </c>
      <c r="BL14" s="893">
        <f t="shared" si="24"/>
        <v>25.7277059979569</v>
      </c>
      <c r="BM14" s="824">
        <v>21.9936102236422</v>
      </c>
      <c r="BN14" s="824">
        <v>19.817843866171</v>
      </c>
      <c r="BO14" s="824">
        <v>20.3226270304026</v>
      </c>
      <c r="BP14" s="824">
        <v>15.7768957317849</v>
      </c>
      <c r="BQ14" s="894">
        <v>16.8366013071895</v>
      </c>
      <c r="BR14" s="893">
        <f t="shared" si="25"/>
        <v>0</v>
      </c>
      <c r="BS14" s="824">
        <v>22.0499679692505</v>
      </c>
      <c r="BT14" s="824">
        <v>20.9222919937206</v>
      </c>
      <c r="BU14" s="824">
        <v>18.2631639477374</v>
      </c>
      <c r="BV14" s="824">
        <v>15.9982552382258</v>
      </c>
      <c r="BW14" s="894">
        <v>16.6122098022356</v>
      </c>
      <c r="BX14" s="893">
        <f t="shared" si="26"/>
        <v>0</v>
      </c>
      <c r="BY14" s="824">
        <v>9.11842510539123</v>
      </c>
      <c r="BZ14" s="824"/>
      <c r="CA14" s="824">
        <v>19.2130441562616</v>
      </c>
      <c r="CB14" s="824">
        <v>9.10394617290455</v>
      </c>
      <c r="CC14" s="894">
        <v>9.17891227629023</v>
      </c>
      <c r="CD14" s="893"/>
      <c r="CE14" s="824"/>
      <c r="CF14" s="824"/>
      <c r="CG14" s="824"/>
      <c r="CH14" s="824"/>
      <c r="CI14" s="894"/>
    </row>
    <row r="15" ht="14.25" customHeight="1" spans="1:87" x14ac:dyDescent="0.25">
      <c r="A15" s="8"/>
      <c r="B15" s="8"/>
      <c r="C15" s="8" t="s">
        <v>1062</v>
      </c>
      <c r="D15" s="8"/>
      <c r="E15" s="774">
        <f>AVERAGE(L8:L75)</f>
        <v>28.95928487702401</v>
      </c>
      <c r="F15" s="774">
        <f>AVERAGE(R8:R75)</f>
        <v>14.483729657938104</v>
      </c>
      <c r="G15" s="774">
        <f>AVERAGE(X8:X75)</f>
        <v>37.053654224770796</v>
      </c>
      <c r="H15" s="774">
        <f>AVERAGE(AD8:AD75)</f>
        <v>9.25747602601567</v>
      </c>
      <c r="I15" s="75">
        <f>IF(I14=4,1,I14+1)</f>
        <v>2</v>
      </c>
      <c r="J15" s="7">
        <f t="shared" si="27"/>
        <v>2007</v>
      </c>
      <c r="K15" s="341" t="str">
        <f t="shared" si="18"/>
        <v>2Q07</v>
      </c>
      <c r="L15" s="893">
        <v>55.761833344132</v>
      </c>
      <c r="M15" s="824">
        <v>24.4007490200929</v>
      </c>
      <c r="N15" s="824">
        <v>15.3843137254902</v>
      </c>
      <c r="O15" s="824">
        <v>17.6220930232558</v>
      </c>
      <c r="P15" s="824"/>
      <c r="Q15" s="894"/>
      <c r="R15" s="893"/>
      <c r="S15" s="824">
        <v>16.9952303137845</v>
      </c>
      <c r="T15" s="824">
        <v>8.92426439587559</v>
      </c>
      <c r="U15" s="824">
        <v>13.8423600954505</v>
      </c>
      <c r="V15" s="824"/>
      <c r="W15" s="894"/>
      <c r="X15" s="893"/>
      <c r="Y15" s="824">
        <v>10.8554722476429</v>
      </c>
      <c r="Z15" s="824">
        <v>25.3731179559268</v>
      </c>
      <c r="AA15" s="824">
        <v>6.66230505751536</v>
      </c>
      <c r="AB15" s="824"/>
      <c r="AC15" s="894"/>
      <c r="AD15" s="824"/>
      <c r="AE15" s="824"/>
      <c r="AF15" s="824">
        <v>8.85322408928006</v>
      </c>
      <c r="AG15" s="824"/>
      <c r="AH15" s="824"/>
      <c r="AI15" s="894"/>
      <c r="AJ15" s="8"/>
      <c r="AK15" s="341" t="str">
        <f t="shared" si="19"/>
        <v>2Q07</v>
      </c>
      <c r="AL15" s="893">
        <f t="shared" si="20"/>
        <v>55.761833344132</v>
      </c>
      <c r="AM15" s="824">
        <v>20.0781245138205</v>
      </c>
      <c r="AN15" s="824">
        <v>19.3154136802241</v>
      </c>
      <c r="AO15" s="824">
        <v>17.8809523809524</v>
      </c>
      <c r="AP15" s="824">
        <v>18.0419162535235</v>
      </c>
      <c r="AQ15" s="894"/>
      <c r="AR15" s="893">
        <f t="shared" si="21"/>
        <v>0</v>
      </c>
      <c r="AS15" s="824">
        <v>22.1075268817204</v>
      </c>
      <c r="AT15" s="824">
        <v>20.1782706468125</v>
      </c>
      <c r="AU15" s="824">
        <v>22.7059712773999</v>
      </c>
      <c r="AV15" s="824">
        <v>18.1287605294826</v>
      </c>
      <c r="AW15" s="894"/>
      <c r="AX15" s="893">
        <f t="shared" si="22"/>
        <v>0</v>
      </c>
      <c r="AY15" s="824">
        <v>10.883162475822</v>
      </c>
      <c r="AZ15" s="824">
        <v>10.5446324556368</v>
      </c>
      <c r="BA15" s="824">
        <v>11.294114858807</v>
      </c>
      <c r="BB15" s="824">
        <v>12.0667264935075</v>
      </c>
      <c r="BC15" s="894">
        <v>7.7573009425963</v>
      </c>
      <c r="BD15" s="893"/>
      <c r="BE15" s="824"/>
      <c r="BF15" s="824"/>
      <c r="BG15" s="824"/>
      <c r="BH15" s="824"/>
      <c r="BI15" s="894"/>
      <c r="BJ15" s="8"/>
      <c r="BK15" s="341" t="str">
        <f t="shared" si="23"/>
        <v>2Q07</v>
      </c>
      <c r="BL15" s="893">
        <f t="shared" si="24"/>
        <v>55.761833344132</v>
      </c>
      <c r="BM15" s="824">
        <v>25.7826086956522</v>
      </c>
      <c r="BN15" s="824">
        <v>24.6401515151515</v>
      </c>
      <c r="BO15" s="824">
        <v>19.2126246822476</v>
      </c>
      <c r="BP15" s="824">
        <v>20.1426844728599</v>
      </c>
      <c r="BQ15" s="894">
        <v>20.2068230277186</v>
      </c>
      <c r="BR15" s="893">
        <f t="shared" si="25"/>
        <v>0</v>
      </c>
      <c r="BS15" s="824">
        <v>26.7117117117117</v>
      </c>
      <c r="BT15" s="824">
        <v>18.6603557085485</v>
      </c>
      <c r="BU15" s="824">
        <v>19.1878662190722</v>
      </c>
      <c r="BV15" s="824">
        <v>20.4796920637829</v>
      </c>
      <c r="BW15" s="894">
        <v>20.3281853281853</v>
      </c>
      <c r="BX15" s="893">
        <f t="shared" si="26"/>
        <v>0</v>
      </c>
      <c r="BY15" s="824">
        <v>10.5557385077167</v>
      </c>
      <c r="BZ15" s="824"/>
      <c r="CA15" s="824">
        <v>12.0164333674176</v>
      </c>
      <c r="CB15" s="824">
        <v>11.1252626809564</v>
      </c>
      <c r="CC15" s="894">
        <v>10.5473523792329</v>
      </c>
      <c r="CD15" s="893"/>
      <c r="CE15" s="824"/>
      <c r="CF15" s="824"/>
      <c r="CG15" s="824"/>
      <c r="CH15" s="824"/>
      <c r="CI15" s="894"/>
    </row>
    <row r="16" ht="14.25" customHeight="1" spans="1:87" x14ac:dyDescent="0.25">
      <c r="A16" s="8"/>
      <c r="B16" s="8"/>
      <c r="C16" s="8" t="s">
        <v>1063</v>
      </c>
      <c r="D16" s="8"/>
      <c r="E16" s="774">
        <f t="shared" ref="E16:H16" si="28">AVERAGE(E20,E24)</f>
        <v>43.84314013833473</v>
      </c>
      <c r="F16" s="774" t="e">
        <f t="shared" si="28"/>
        <v>#DIV/0!</v>
      </c>
      <c r="G16" s="774">
        <f t="shared" si="28"/>
        <v>51.092856797196184</v>
      </c>
      <c r="H16" s="774" t="e">
        <f t="shared" si="28"/>
        <v>#DIV/0!</v>
      </c>
      <c r="I16" s="75">
        <f>I12</f>
        <v>3</v>
      </c>
      <c r="J16" s="7">
        <f t="shared" si="27"/>
        <v>2007</v>
      </c>
      <c r="K16" s="341" t="str">
        <f t="shared" si="18"/>
        <v>3Q07</v>
      </c>
      <c r="L16" s="893">
        <v>42.6610981248889</v>
      </c>
      <c r="M16" s="824">
        <v>27.1666666666667</v>
      </c>
      <c r="N16" s="824">
        <v>15.5438596491228</v>
      </c>
      <c r="O16" s="824">
        <v>16.3516483516484</v>
      </c>
      <c r="P16" s="824"/>
      <c r="Q16" s="894"/>
      <c r="R16" s="893"/>
      <c r="S16" s="824">
        <v>16.7521221256585</v>
      </c>
      <c r="T16" s="824">
        <v>12.9220650515598</v>
      </c>
      <c r="U16" s="824">
        <v>13.9936102236422</v>
      </c>
      <c r="V16" s="824"/>
      <c r="W16" s="894"/>
      <c r="X16" s="893">
        <v>26.779135006221</v>
      </c>
      <c r="Y16" s="824">
        <v>10.4904483575611</v>
      </c>
      <c r="Z16" s="824">
        <v>24.0924545590067</v>
      </c>
      <c r="AA16" s="824">
        <v>6.43322206216906</v>
      </c>
      <c r="AB16" s="824"/>
      <c r="AC16" s="894"/>
      <c r="AD16" s="824"/>
      <c r="AE16" s="824"/>
      <c r="AF16" s="824"/>
      <c r="AG16" s="824"/>
      <c r="AH16" s="824"/>
      <c r="AI16" s="894"/>
      <c r="AJ16" s="8"/>
      <c r="AK16" s="341" t="str">
        <f t="shared" si="19"/>
        <v>3Q07</v>
      </c>
      <c r="AL16" s="893">
        <f t="shared" si="20"/>
        <v>42.6610981248889</v>
      </c>
      <c r="AM16" s="824">
        <v>17.1578944138873</v>
      </c>
      <c r="AN16" s="824">
        <v>17.964677885176</v>
      </c>
      <c r="AO16" s="824">
        <v>18.9939393939394</v>
      </c>
      <c r="AP16" s="824">
        <v>17.8303394062093</v>
      </c>
      <c r="AQ16" s="894"/>
      <c r="AR16" s="893">
        <f t="shared" si="21"/>
        <v>0</v>
      </c>
      <c r="AS16" s="824">
        <v>18.0466587584025</v>
      </c>
      <c r="AT16" s="824">
        <v>15.2884330339041</v>
      </c>
      <c r="AU16" s="824">
        <v>24.2007722007722</v>
      </c>
      <c r="AV16" s="824">
        <v>15.9574848160057</v>
      </c>
      <c r="AW16" s="894"/>
      <c r="AX16" s="893">
        <f t="shared" si="22"/>
        <v>26.779135006221</v>
      </c>
      <c r="AY16" s="824">
        <v>9.4015377156013</v>
      </c>
      <c r="AZ16" s="824">
        <v>10.1759737942789</v>
      </c>
      <c r="BA16" s="824">
        <v>12.1605676983264</v>
      </c>
      <c r="BB16" s="824">
        <v>12.000659807003</v>
      </c>
      <c r="BC16" s="894">
        <v>8.87294525283335</v>
      </c>
      <c r="BD16" s="893"/>
      <c r="BE16" s="824"/>
      <c r="BF16" s="824"/>
      <c r="BG16" s="824"/>
      <c r="BH16" s="824"/>
      <c r="BI16" s="894"/>
      <c r="BJ16" s="8"/>
      <c r="BK16" s="341" t="str">
        <f t="shared" si="23"/>
        <v>3Q07</v>
      </c>
      <c r="BL16" s="893">
        <f t="shared" si="24"/>
        <v>42.6610981248889</v>
      </c>
      <c r="BM16" s="824">
        <v>19.7182044887781</v>
      </c>
      <c r="BN16" s="824">
        <v>22.7993421052632</v>
      </c>
      <c r="BO16" s="824">
        <v>18.9273500743124</v>
      </c>
      <c r="BP16" s="824">
        <v>19.8921496855779</v>
      </c>
      <c r="BQ16" s="894">
        <v>18.0543933054393</v>
      </c>
      <c r="BR16" s="893">
        <f t="shared" si="25"/>
        <v>0</v>
      </c>
      <c r="BS16" s="824">
        <v>17.7845254161044</v>
      </c>
      <c r="BT16" s="824">
        <v>17.2756729810568</v>
      </c>
      <c r="BU16" s="824">
        <v>18.6981470541746</v>
      </c>
      <c r="BV16" s="824">
        <v>21.0760513346214</v>
      </c>
      <c r="BW16" s="894">
        <v>16.5515918680476</v>
      </c>
      <c r="BX16" s="893">
        <f t="shared" si="26"/>
        <v>26.779135006221</v>
      </c>
      <c r="BY16" s="824">
        <v>9.02621661418133</v>
      </c>
      <c r="BZ16" s="824"/>
      <c r="CA16" s="824">
        <v>11.6418359774573</v>
      </c>
      <c r="CB16" s="824">
        <v>11.3025559147528</v>
      </c>
      <c r="CC16" s="894">
        <v>10.0109727373618</v>
      </c>
      <c r="CD16" s="893"/>
      <c r="CE16" s="824"/>
      <c r="CF16" s="824"/>
      <c r="CG16" s="824"/>
      <c r="CH16" s="824"/>
      <c r="CI16" s="894"/>
    </row>
    <row r="17" ht="14.25" customHeight="1" spans="1:87" x14ac:dyDescent="0.25">
      <c r="A17" s="8"/>
      <c r="B17" s="8"/>
      <c r="C17" s="8" t="s">
        <v>1064</v>
      </c>
      <c r="D17" s="8"/>
      <c r="E17" s="774">
        <f t="shared" ref="E17:H17" si="29">AVERAGE(E21,E25)</f>
        <v>54.00257463879321</v>
      </c>
      <c r="F17" s="774" t="e">
        <f t="shared" si="29"/>
        <v>#DIV/0!</v>
      </c>
      <c r="G17" s="774">
        <f t="shared" si="29"/>
        <v>67.19509125595354</v>
      </c>
      <c r="H17" s="774" t="e">
        <f t="shared" si="29"/>
        <v>#DIV/0!</v>
      </c>
      <c r="I17" s="75">
        <f>IF(I16=4,1,I16+1)</f>
        <v>4</v>
      </c>
      <c r="J17" s="7">
        <f t="shared" si="27"/>
        <v>2007</v>
      </c>
      <c r="K17" s="341" t="str">
        <f t="shared" si="18"/>
        <v>4Q07</v>
      </c>
      <c r="L17" s="893">
        <v>122.67603335709</v>
      </c>
      <c r="M17" s="824">
        <v>22.4717741935484</v>
      </c>
      <c r="N17" s="824">
        <v>20.3771626297578</v>
      </c>
      <c r="O17" s="824">
        <v>16.436170212766</v>
      </c>
      <c r="P17" s="824"/>
      <c r="Q17" s="894"/>
      <c r="R17" s="893"/>
      <c r="S17" s="824">
        <v>16.5872873769024</v>
      </c>
      <c r="T17" s="824">
        <v>12.5869060980172</v>
      </c>
      <c r="U17" s="824">
        <v>13.712862602774</v>
      </c>
      <c r="V17" s="824"/>
      <c r="W17" s="894"/>
      <c r="X17" s="893">
        <v>128.885046308183</v>
      </c>
      <c r="Y17" s="824">
        <v>10.8673165440697</v>
      </c>
      <c r="Z17" s="824">
        <v>22.2382865241638</v>
      </c>
      <c r="AA17" s="824">
        <v>3.44418969483575</v>
      </c>
      <c r="AB17" s="824"/>
      <c r="AC17" s="894"/>
      <c r="AD17" s="824"/>
      <c r="AE17" s="824"/>
      <c r="AF17" s="824"/>
      <c r="AG17" s="824"/>
      <c r="AH17" s="824"/>
      <c r="AI17" s="894"/>
      <c r="AJ17" s="8"/>
      <c r="AK17" s="341" t="str">
        <f t="shared" si="19"/>
        <v>4Q07</v>
      </c>
      <c r="AL17" s="893">
        <f t="shared" si="20"/>
        <v>122.67603335709</v>
      </c>
      <c r="AM17" s="824">
        <v>19.1470584543003</v>
      </c>
      <c r="AN17" s="824">
        <v>18.700749834615</v>
      </c>
      <c r="AO17" s="824">
        <v>22.6392405063291</v>
      </c>
      <c r="AP17" s="824">
        <v>19.0229884014843</v>
      </c>
      <c r="AQ17" s="894">
        <v>24.9147727272727</v>
      </c>
      <c r="AR17" s="893">
        <f t="shared" si="21"/>
        <v>0</v>
      </c>
      <c r="AS17" s="824">
        <v>19.7272727272727</v>
      </c>
      <c r="AT17" s="824">
        <v>16.5025248069106</v>
      </c>
      <c r="AU17" s="824">
        <v>26.4375461936438</v>
      </c>
      <c r="AV17" s="824">
        <v>17.1621154510888</v>
      </c>
      <c r="AW17" s="894"/>
      <c r="AX17" s="893">
        <f t="shared" si="22"/>
        <v>128.885046308183</v>
      </c>
      <c r="AY17" s="824">
        <v>9.95245399025653</v>
      </c>
      <c r="AZ17" s="824">
        <v>10.214673565937</v>
      </c>
      <c r="BA17" s="824">
        <v>12.6131830189275</v>
      </c>
      <c r="BB17" s="824">
        <v>12.0972903732795</v>
      </c>
      <c r="BC17" s="894">
        <v>8.01996146287317</v>
      </c>
      <c r="BD17" s="893"/>
      <c r="BE17" s="824"/>
      <c r="BF17" s="824"/>
      <c r="BG17" s="824"/>
      <c r="BH17" s="824"/>
      <c r="BI17" s="894"/>
      <c r="BJ17" s="8"/>
      <c r="BK17" s="341" t="str">
        <f t="shared" si="23"/>
        <v>4Q07</v>
      </c>
      <c r="BL17" s="893">
        <f t="shared" si="24"/>
        <v>122.67603335709</v>
      </c>
      <c r="BM17" s="824">
        <v>18.0136054421769</v>
      </c>
      <c r="BN17" s="824">
        <v>18.2181818181818</v>
      </c>
      <c r="BO17" s="824">
        <v>20.0932549936999</v>
      </c>
      <c r="BP17" s="824">
        <v>20.5128525090277</v>
      </c>
      <c r="BQ17" s="894">
        <v>18.296</v>
      </c>
      <c r="BR17" s="893">
        <f t="shared" si="25"/>
        <v>0</v>
      </c>
      <c r="BS17" s="824">
        <v>14.4436363636364</v>
      </c>
      <c r="BT17" s="824">
        <v>14.955223880597</v>
      </c>
      <c r="BU17" s="824">
        <v>19.8499333078394</v>
      </c>
      <c r="BV17" s="824">
        <v>21.8358480058529</v>
      </c>
      <c r="BW17" s="894">
        <v>17.3652239939256</v>
      </c>
      <c r="BX17" s="893">
        <f t="shared" si="26"/>
        <v>128.885046308183</v>
      </c>
      <c r="BY17" s="824">
        <v>8.58797299804687</v>
      </c>
      <c r="BZ17" s="824"/>
      <c r="CA17" s="824">
        <v>13.5574812819828</v>
      </c>
      <c r="CB17" s="824">
        <v>12.8221316954229</v>
      </c>
      <c r="CC17" s="894">
        <v>9.89004761598154</v>
      </c>
      <c r="CD17" s="893"/>
      <c r="CE17" s="824"/>
      <c r="CF17" s="824"/>
      <c r="CG17" s="824"/>
      <c r="CH17" s="824"/>
      <c r="CI17" s="894"/>
    </row>
    <row r="18" ht="14.25" customHeight="1" spans="1:87" x14ac:dyDescent="0.25">
      <c r="A18" s="8"/>
      <c r="B18" s="8"/>
      <c r="C18" s="8" t="s">
        <v>1065</v>
      </c>
      <c r="D18" s="8"/>
      <c r="E18" s="774">
        <f t="shared" ref="E18:H18" si="30">AVERAGE(E22,E26)</f>
        <v>14.673178922541517</v>
      </c>
      <c r="F18" s="774" t="e">
        <f t="shared" si="30"/>
        <v>#DIV/0!</v>
      </c>
      <c r="G18" s="774">
        <f t="shared" si="30"/>
        <v>21.323795327439782</v>
      </c>
      <c r="H18" s="774" t="e">
        <f t="shared" si="30"/>
        <v>#DIV/0!</v>
      </c>
      <c r="I18" s="75">
        <f>IF(I17+1=5,1,I17+1)</f>
        <v>1</v>
      </c>
      <c r="J18" s="7">
        <f t="shared" si="27"/>
        <v>2008</v>
      </c>
      <c r="K18" s="341" t="str">
        <f t="shared" si="18"/>
        <v>1Q08</v>
      </c>
      <c r="L18" s="893">
        <v>199.778396774026</v>
      </c>
      <c r="M18" s="824">
        <v>20.1503759398496</v>
      </c>
      <c r="N18" s="824">
        <v>16.6206896551724</v>
      </c>
      <c r="O18" s="824">
        <v>16.3432835820896</v>
      </c>
      <c r="P18" s="824"/>
      <c r="Q18" s="894"/>
      <c r="R18" s="893"/>
      <c r="S18" s="824">
        <v>15.6529706591674</v>
      </c>
      <c r="T18" s="824">
        <v>11.3246529885197</v>
      </c>
      <c r="U18" s="824">
        <v>10.5088528318021</v>
      </c>
      <c r="V18" s="824"/>
      <c r="W18" s="894"/>
      <c r="X18" s="893">
        <v>63.3715795782173</v>
      </c>
      <c r="Y18" s="824">
        <v>9.12428938233979</v>
      </c>
      <c r="Z18" s="824">
        <v>20.9478863979554</v>
      </c>
      <c r="AA18" s="824">
        <v>5.38537037218698</v>
      </c>
      <c r="AB18" s="824"/>
      <c r="AC18" s="894"/>
      <c r="AD18" s="824"/>
      <c r="AE18" s="824"/>
      <c r="AF18" s="824"/>
      <c r="AG18" s="824"/>
      <c r="AH18" s="824"/>
      <c r="AI18" s="894"/>
      <c r="AJ18" s="8"/>
      <c r="AK18" s="341" t="str">
        <f t="shared" si="19"/>
        <v>1Q08</v>
      </c>
      <c r="AL18" s="893">
        <f t="shared" si="20"/>
        <v>199.778396774026</v>
      </c>
      <c r="AM18" s="824">
        <v>20.283636187782</v>
      </c>
      <c r="AN18" s="824">
        <v>17.0052012260412</v>
      </c>
      <c r="AO18" s="824">
        <v>24.3461538461538</v>
      </c>
      <c r="AP18" s="824">
        <v>18.7683820568193</v>
      </c>
      <c r="AQ18" s="894">
        <v>25.5397727272727</v>
      </c>
      <c r="AR18" s="893">
        <f t="shared" si="21"/>
        <v>0</v>
      </c>
      <c r="AS18" s="824">
        <v>20.7824143070045</v>
      </c>
      <c r="AT18" s="824">
        <v>16.1319764611537</v>
      </c>
      <c r="AU18" s="824">
        <v>27.8241758241758</v>
      </c>
      <c r="AV18" s="824">
        <v>17.2875042329834</v>
      </c>
      <c r="AW18" s="894"/>
      <c r="AX18" s="893">
        <f t="shared" si="22"/>
        <v>63.3715795782173</v>
      </c>
      <c r="AY18" s="824">
        <v>10.2475201845274</v>
      </c>
      <c r="AZ18" s="824">
        <v>9.51743184236952</v>
      </c>
      <c r="BA18" s="824">
        <v>12.2776011231134</v>
      </c>
      <c r="BB18" s="824">
        <v>11.4778476285343</v>
      </c>
      <c r="BC18" s="894">
        <v>8.17718077005582</v>
      </c>
      <c r="BD18" s="893"/>
      <c r="BE18" s="824"/>
      <c r="BF18" s="824"/>
      <c r="BG18" s="824"/>
      <c r="BH18" s="824"/>
      <c r="BI18" s="894"/>
      <c r="BJ18" s="8"/>
      <c r="BK18" s="341" t="str">
        <f t="shared" si="23"/>
        <v>1Q08</v>
      </c>
      <c r="BL18" s="893">
        <f t="shared" si="24"/>
        <v>199.778396774026</v>
      </c>
      <c r="BM18" s="824">
        <v>15.8366141732283</v>
      </c>
      <c r="BN18" s="824">
        <v>14.6371882086168</v>
      </c>
      <c r="BO18" s="824">
        <v>21.0972692888889</v>
      </c>
      <c r="BP18" s="824">
        <v>19.2874618016375</v>
      </c>
      <c r="BQ18" s="894">
        <v>17.8206106870229</v>
      </c>
      <c r="BR18" s="893">
        <f t="shared" si="25"/>
        <v>0</v>
      </c>
      <c r="BS18" s="824">
        <v>14.143811533052</v>
      </c>
      <c r="BT18" s="824">
        <v>12.5779423226812</v>
      </c>
      <c r="BU18" s="824">
        <v>20.4944901663492</v>
      </c>
      <c r="BV18" s="824">
        <v>20.2965561170621</v>
      </c>
      <c r="BW18" s="894">
        <v>17.0215092963908</v>
      </c>
      <c r="BX18" s="893">
        <f t="shared" si="26"/>
        <v>63.3715795782173</v>
      </c>
      <c r="BY18" s="824">
        <v>8.08240337357128</v>
      </c>
      <c r="BZ18" s="824"/>
      <c r="CA18" s="824">
        <v>13.6957786457396</v>
      </c>
      <c r="CB18" s="824">
        <v>12.8479606538945</v>
      </c>
      <c r="CC18" s="894">
        <v>9.60016211905478</v>
      </c>
      <c r="CD18" s="893"/>
      <c r="CE18" s="824"/>
      <c r="CF18" s="824"/>
      <c r="CG18" s="824"/>
      <c r="CH18" s="824"/>
      <c r="CI18" s="894"/>
    </row>
    <row r="19" ht="14.25" customHeight="1" spans="1:87" x14ac:dyDescent="0.25">
      <c r="A19" s="8"/>
      <c r="B19" s="8"/>
      <c r="C19" s="8" t="s">
        <v>1066</v>
      </c>
      <c r="D19" s="8"/>
      <c r="E19" s="774">
        <f>AVERAGE(L8:L35)</f>
        <v>42.811267327851624</v>
      </c>
      <c r="F19" s="774" t="e">
        <f>AVERAGE(R8:R35)</f>
        <v>#DIV/0!</v>
      </c>
      <c r="G19" s="774">
        <f>AVERAGE(X8:X35)</f>
        <v>78.9559946148817</v>
      </c>
      <c r="H19" s="774" t="e">
        <f>AVERAGE(AD8:AD35)</f>
        <v>#DIV/0!</v>
      </c>
      <c r="I19" s="75">
        <f>IF(I18=4,1,I18+1)</f>
        <v>2</v>
      </c>
      <c r="J19" s="7">
        <f t="shared" si="27"/>
        <v>2008</v>
      </c>
      <c r="K19" s="341" t="str">
        <f t="shared" si="18"/>
        <v>2Q08</v>
      </c>
      <c r="L19" s="893">
        <v>204.895076990034</v>
      </c>
      <c r="M19" s="824">
        <v>18.9836065573771</v>
      </c>
      <c r="N19" s="824">
        <v>14.6434540389972</v>
      </c>
      <c r="O19" s="824">
        <v>15.478672985782</v>
      </c>
      <c r="P19" s="824"/>
      <c r="Q19" s="894"/>
      <c r="R19" s="893"/>
      <c r="S19" s="824">
        <v>21.5277728672391</v>
      </c>
      <c r="T19" s="824">
        <v>12.6802398328304</v>
      </c>
      <c r="U19" s="824">
        <v>11.6807974744319</v>
      </c>
      <c r="V19" s="824"/>
      <c r="W19" s="894"/>
      <c r="X19" s="893">
        <v>61.9620100824669</v>
      </c>
      <c r="Y19" s="824">
        <v>9.47045767622265</v>
      </c>
      <c r="Z19" s="824">
        <v>15.4223222640251</v>
      </c>
      <c r="AA19" s="824">
        <v>4.86496337077625</v>
      </c>
      <c r="AB19" s="824"/>
      <c r="AC19" s="894"/>
      <c r="AD19" s="824"/>
      <c r="AE19" s="824"/>
      <c r="AF19" s="824"/>
      <c r="AG19" s="824"/>
      <c r="AH19" s="824"/>
      <c r="AI19" s="894"/>
      <c r="AJ19" s="8"/>
      <c r="AK19" s="341" t="str">
        <f t="shared" si="19"/>
        <v>2Q08</v>
      </c>
      <c r="AL19" s="893">
        <f t="shared" si="20"/>
        <v>204.895076990034</v>
      </c>
      <c r="AM19" s="824">
        <v>19.4912279071203</v>
      </c>
      <c r="AN19" s="824">
        <v>16.6883893888325</v>
      </c>
      <c r="AO19" s="824">
        <v>24.7324840764331</v>
      </c>
      <c r="AP19" s="824">
        <v>17.4916383775587</v>
      </c>
      <c r="AQ19" s="894">
        <v>16.2323943661972</v>
      </c>
      <c r="AR19" s="893">
        <f t="shared" si="21"/>
        <v>0</v>
      </c>
      <c r="AS19" s="824">
        <v>20.3629032258064</v>
      </c>
      <c r="AT19" s="824">
        <v>16.26994082613</v>
      </c>
      <c r="AU19" s="824">
        <v>29.3277945619335</v>
      </c>
      <c r="AV19" s="824">
        <v>17.3293571901922</v>
      </c>
      <c r="AW19" s="894"/>
      <c r="AX19" s="893">
        <f t="shared" si="22"/>
        <v>61.9620100824669</v>
      </c>
      <c r="AY19" s="824">
        <v>10.7674086640521</v>
      </c>
      <c r="AZ19" s="824">
        <v>8.60474491581603</v>
      </c>
      <c r="BA19" s="824">
        <v>12.2104350605702</v>
      </c>
      <c r="BB19" s="824">
        <v>10.2696746314403</v>
      </c>
      <c r="BC19" s="894">
        <v>5.40103317680117</v>
      </c>
      <c r="BD19" s="893"/>
      <c r="BE19" s="824"/>
      <c r="BF19" s="824"/>
      <c r="BG19" s="824"/>
      <c r="BH19" s="824"/>
      <c r="BI19" s="894"/>
      <c r="BJ19" s="8"/>
      <c r="BK19" s="341" t="str">
        <f t="shared" si="23"/>
        <v>2Q08</v>
      </c>
      <c r="BL19" s="893">
        <f t="shared" si="24"/>
        <v>204.895076990034</v>
      </c>
      <c r="BM19" s="824">
        <v>17.258407079646</v>
      </c>
      <c r="BN19" s="824">
        <v>13.3333333333333</v>
      </c>
      <c r="BO19" s="824">
        <v>21.7923454037267</v>
      </c>
      <c r="BP19" s="824">
        <v>18.2218412390662</v>
      </c>
      <c r="BQ19" s="894">
        <v>19.2100371747212</v>
      </c>
      <c r="BR19" s="893">
        <f t="shared" si="25"/>
        <v>0</v>
      </c>
      <c r="BS19" s="824">
        <v>16.9937260369467</v>
      </c>
      <c r="BT19" s="824">
        <v>12.3301292674843</v>
      </c>
      <c r="BU19" s="824">
        <v>22.2061241139241</v>
      </c>
      <c r="BV19" s="824">
        <v>20.0418586755485</v>
      </c>
      <c r="BW19" s="894">
        <v>18.7977446344125</v>
      </c>
      <c r="BX19" s="893">
        <f t="shared" si="26"/>
        <v>61.9620100824669</v>
      </c>
      <c r="BY19" s="824">
        <v>9.01958863284541</v>
      </c>
      <c r="BZ19" s="824"/>
      <c r="CA19" s="824">
        <v>13.8749350159271</v>
      </c>
      <c r="CB19" s="824">
        <v>13.6789537402863</v>
      </c>
      <c r="CC19" s="894">
        <v>10.4510562469768</v>
      </c>
      <c r="CD19" s="893"/>
      <c r="CE19" s="824"/>
      <c r="CF19" s="824"/>
      <c r="CG19" s="824"/>
      <c r="CH19" s="824"/>
      <c r="CI19" s="894"/>
    </row>
    <row r="20" ht="14.25" customHeight="1" spans="1:87" x14ac:dyDescent="0.25">
      <c r="A20" s="8"/>
      <c r="B20" s="8"/>
      <c r="C20" s="8" t="s">
        <v>1067</v>
      </c>
      <c r="D20" s="8"/>
      <c r="E20" s="774">
        <f>AVERAGE(L8:L19)</f>
        <v>68.79046671492554</v>
      </c>
      <c r="F20" s="774" t="e">
        <f>AVERAGE(R8:R19)</f>
        <v>#DIV/0!</v>
      </c>
      <c r="G20" s="774">
        <f>AVERAGE(X8:X19)</f>
        <v>87.54693809579837</v>
      </c>
      <c r="H20" s="774" t="e">
        <f>AVERAGE(AD8:AD19)</f>
        <v>#DIV/0!</v>
      </c>
      <c r="I20" s="75">
        <f>I16</f>
        <v>3</v>
      </c>
      <c r="J20" s="7">
        <f t="shared" si="27"/>
        <v>2008</v>
      </c>
      <c r="K20" s="341" t="str">
        <f t="shared" si="18"/>
        <v>3Q08</v>
      </c>
      <c r="L20" s="893">
        <v>18.8245621785864</v>
      </c>
      <c r="M20" s="824">
        <v>13.1119691119691</v>
      </c>
      <c r="N20" s="824">
        <v>11.5128205128205</v>
      </c>
      <c r="O20" s="824">
        <v>11.1014492753623</v>
      </c>
      <c r="P20" s="824"/>
      <c r="Q20" s="894"/>
      <c r="R20" s="893"/>
      <c r="S20" s="824">
        <v>56.4788368371402</v>
      </c>
      <c r="T20" s="824">
        <v>18.3262879751733</v>
      </c>
      <c r="U20" s="824">
        <v>14.0579710144928</v>
      </c>
      <c r="V20" s="824"/>
      <c r="W20" s="894"/>
      <c r="X20" s="893">
        <v>111.280983694666</v>
      </c>
      <c r="Y20" s="824">
        <v>9.3396774553832</v>
      </c>
      <c r="Z20" s="824">
        <v>11.4553518836254</v>
      </c>
      <c r="AA20" s="824">
        <v>2.91437924403454</v>
      </c>
      <c r="AB20" s="824"/>
      <c r="AC20" s="894"/>
      <c r="AD20" s="824"/>
      <c r="AE20" s="824"/>
      <c r="AF20" s="824"/>
      <c r="AG20" s="824"/>
      <c r="AH20" s="824"/>
      <c r="AI20" s="894"/>
      <c r="AJ20" s="8"/>
      <c r="AK20" s="341" t="str">
        <f t="shared" si="19"/>
        <v>3Q08</v>
      </c>
      <c r="AL20" s="893">
        <f t="shared" si="20"/>
        <v>18.8245621785864</v>
      </c>
      <c r="AM20" s="824">
        <v>20.3533331715796</v>
      </c>
      <c r="AN20" s="824">
        <v>14.8843352711246</v>
      </c>
      <c r="AO20" s="824">
        <v>21.6201117318436</v>
      </c>
      <c r="AP20" s="824">
        <v>17.9013373644136</v>
      </c>
      <c r="AQ20" s="894">
        <v>18.2746478873239</v>
      </c>
      <c r="AR20" s="893">
        <f t="shared" si="21"/>
        <v>0</v>
      </c>
      <c r="AS20" s="824">
        <v>18.2759652798563</v>
      </c>
      <c r="AT20" s="824">
        <v>13.5724675837029</v>
      </c>
      <c r="AU20" s="824">
        <v>20.5087440381558</v>
      </c>
      <c r="AV20" s="824">
        <v>15.71953010279</v>
      </c>
      <c r="AW20" s="894">
        <v>13.586387434555</v>
      </c>
      <c r="AX20" s="893">
        <f t="shared" si="22"/>
        <v>111.280983694666</v>
      </c>
      <c r="AY20" s="824">
        <v>10.3774982265422</v>
      </c>
      <c r="AZ20" s="824">
        <v>8.32260009072282</v>
      </c>
      <c r="BA20" s="824">
        <v>11.6311076834988</v>
      </c>
      <c r="BB20" s="824">
        <v>10.5217939917218</v>
      </c>
      <c r="BC20" s="894">
        <v>6.02203790579992</v>
      </c>
      <c r="BD20" s="893"/>
      <c r="BE20" s="824"/>
      <c r="BF20" s="824"/>
      <c r="BG20" s="824"/>
      <c r="BH20" s="824"/>
      <c r="BI20" s="894">
        <v>6.32046729906071</v>
      </c>
      <c r="BJ20" s="8"/>
      <c r="BK20" s="341" t="str">
        <f t="shared" si="23"/>
        <v>3Q08</v>
      </c>
      <c r="BL20" s="893">
        <f t="shared" si="24"/>
        <v>18.8245621785864</v>
      </c>
      <c r="BM20" s="824">
        <v>14.9411764705882</v>
      </c>
      <c r="BN20" s="824">
        <v>11.6545138888889</v>
      </c>
      <c r="BO20" s="824">
        <v>21.3967441259259</v>
      </c>
      <c r="BP20" s="824">
        <v>17.8909144842303</v>
      </c>
      <c r="BQ20" s="894">
        <v>18.1860465116279</v>
      </c>
      <c r="BR20" s="893">
        <f t="shared" si="25"/>
        <v>0</v>
      </c>
      <c r="BS20" s="824">
        <v>12.5157404872707</v>
      </c>
      <c r="BT20" s="824">
        <v>11.2219993313273</v>
      </c>
      <c r="BU20" s="824">
        <v>19.1718614402655</v>
      </c>
      <c r="BV20" s="824">
        <v>17.5714338684405</v>
      </c>
      <c r="BW20" s="894">
        <v>16.753460777851</v>
      </c>
      <c r="BX20" s="893">
        <f t="shared" si="26"/>
        <v>111.280983694666</v>
      </c>
      <c r="BY20" s="824">
        <v>8.27385494627539</v>
      </c>
      <c r="BZ20" s="824"/>
      <c r="CA20" s="824">
        <v>13.8084395686712</v>
      </c>
      <c r="CB20" s="824">
        <v>13.7812305778841</v>
      </c>
      <c r="CC20" s="894">
        <v>10.06424152212</v>
      </c>
      <c r="CD20" s="893"/>
      <c r="CE20" s="824"/>
      <c r="CF20" s="824"/>
      <c r="CG20" s="824">
        <v>27.8906291783535</v>
      </c>
      <c r="CH20" s="824"/>
      <c r="CI20" s="894"/>
    </row>
    <row r="21" ht="14.25" customHeight="1" spans="1:87" x14ac:dyDescent="0.25">
      <c r="A21" s="8"/>
      <c r="B21" s="8"/>
      <c r="C21" s="8" t="s">
        <v>1068</v>
      </c>
      <c r="D21" s="8"/>
      <c r="E21" s="774">
        <f>AVERAGE(L16:L27)</f>
        <v>79.92998279208858</v>
      </c>
      <c r="F21" s="774" t="e">
        <f>AVERAGE(R16:R27)</f>
        <v>#DIV/0!</v>
      </c>
      <c r="G21" s="774">
        <f>AVERAGE(X16:X27)</f>
        <v>114.56615472196931</v>
      </c>
      <c r="H21" s="774" t="e">
        <f>AVERAGE(AD16:AD27)</f>
        <v>#DIV/0!</v>
      </c>
      <c r="I21" s="75">
        <f>IF(I20=4,1,I20+1)</f>
        <v>4</v>
      </c>
      <c r="J21" s="7">
        <f t="shared" si="27"/>
        <v>2008</v>
      </c>
      <c r="K21" s="341" t="str">
        <f t="shared" si="18"/>
        <v>4Q08</v>
      </c>
      <c r="L21" s="893">
        <v>26.0126169118752</v>
      </c>
      <c r="M21" s="824">
        <v>17.2529411764706</v>
      </c>
      <c r="N21" s="824">
        <v>12.7056650246305</v>
      </c>
      <c r="O21" s="824">
        <v>12.7487922705314</v>
      </c>
      <c r="P21" s="824"/>
      <c r="Q21" s="894"/>
      <c r="R21" s="893"/>
      <c r="S21" s="824">
        <v>43.6923076923077</v>
      </c>
      <c r="T21" s="824">
        <v>18.1135802469136</v>
      </c>
      <c r="U21" s="824">
        <v>9.76571468734624</v>
      </c>
      <c r="V21" s="824"/>
      <c r="W21" s="894"/>
      <c r="X21" s="893">
        <v>127.947881449287</v>
      </c>
      <c r="Y21" s="824">
        <v>15.098804426421</v>
      </c>
      <c r="Z21" s="824">
        <v>11.4067671253057</v>
      </c>
      <c r="AA21" s="824">
        <v>2.26645219373976</v>
      </c>
      <c r="AB21" s="824"/>
      <c r="AC21" s="894"/>
      <c r="AD21" s="824"/>
      <c r="AE21" s="824"/>
      <c r="AF21" s="824"/>
      <c r="AG21" s="824"/>
      <c r="AH21" s="824"/>
      <c r="AI21" s="894"/>
      <c r="AJ21" s="8"/>
      <c r="AK21" s="341" t="str">
        <f t="shared" si="19"/>
        <v>4Q08</v>
      </c>
      <c r="AL21" s="893">
        <f t="shared" si="20"/>
        <v>26.0126169118752</v>
      </c>
      <c r="AM21" s="824">
        <v>19.657575771778</v>
      </c>
      <c r="AN21" s="824">
        <v>14.2796521296296</v>
      </c>
      <c r="AO21" s="824">
        <v>20.0615384615385</v>
      </c>
      <c r="AP21" s="824">
        <v>17.1156247577095</v>
      </c>
      <c r="AQ21" s="894">
        <v>16.2146892655367</v>
      </c>
      <c r="AR21" s="893">
        <f t="shared" si="21"/>
        <v>0</v>
      </c>
      <c r="AS21" s="824">
        <v>18.3041760722348</v>
      </c>
      <c r="AT21" s="824">
        <v>13.1036807777778</v>
      </c>
      <c r="AU21" s="824">
        <v>19.9286805909322</v>
      </c>
      <c r="AV21" s="824">
        <v>15.7024082568807</v>
      </c>
      <c r="AW21" s="894">
        <v>15.0261780104712</v>
      </c>
      <c r="AX21" s="893">
        <f t="shared" si="22"/>
        <v>127.947881449287</v>
      </c>
      <c r="AY21" s="824">
        <v>10.022293535005</v>
      </c>
      <c r="AZ21" s="824">
        <v>7.90501443792319</v>
      </c>
      <c r="BA21" s="824">
        <v>10.9872619593073</v>
      </c>
      <c r="BB21" s="824"/>
      <c r="BC21" s="894">
        <v>8.80582950510381</v>
      </c>
      <c r="BD21" s="893"/>
      <c r="BE21" s="824"/>
      <c r="BF21" s="824"/>
      <c r="BG21" s="824"/>
      <c r="BH21" s="824"/>
      <c r="BI21" s="894">
        <v>8.51924925493771</v>
      </c>
      <c r="BJ21" s="8"/>
      <c r="BK21" s="341" t="str">
        <f t="shared" si="23"/>
        <v>4Q08</v>
      </c>
      <c r="BL21" s="893">
        <f t="shared" si="24"/>
        <v>26.0126169118752</v>
      </c>
      <c r="BM21" s="824">
        <v>14.1619613670134</v>
      </c>
      <c r="BN21" s="824">
        <v>10.4117647058824</v>
      </c>
      <c r="BO21" s="824">
        <v>20.1862794</v>
      </c>
      <c r="BP21" s="824">
        <v>16.6056425073082</v>
      </c>
      <c r="BQ21" s="894">
        <v>17.6157804459691</v>
      </c>
      <c r="BR21" s="893">
        <f t="shared" si="25"/>
        <v>0</v>
      </c>
      <c r="BS21" s="824">
        <v>12.0737268811756</v>
      </c>
      <c r="BT21" s="824">
        <v>10.378763866878</v>
      </c>
      <c r="BU21" s="824">
        <v>18.3714070656371</v>
      </c>
      <c r="BV21" s="824">
        <v>17.0522490295096</v>
      </c>
      <c r="BW21" s="894">
        <v>16.8250327653997</v>
      </c>
      <c r="BX21" s="893">
        <f t="shared" si="26"/>
        <v>127.947881449287</v>
      </c>
      <c r="BY21" s="824">
        <v>7.98506943682416</v>
      </c>
      <c r="BZ21" s="824"/>
      <c r="CA21" s="824">
        <v>12.9726266960503</v>
      </c>
      <c r="CB21" s="824">
        <v>12.8277093823215</v>
      </c>
      <c r="CC21" s="894">
        <v>10.1722518312873</v>
      </c>
      <c r="CD21" s="893"/>
      <c r="CE21" s="824">
        <v>7.8171070404282</v>
      </c>
      <c r="CF21" s="824"/>
      <c r="CG21" s="824">
        <v>26.7661161852786</v>
      </c>
      <c r="CH21" s="824"/>
      <c r="CI21" s="894">
        <v>9.80040687200641</v>
      </c>
    </row>
    <row r="22" ht="14.25" customHeight="1" spans="1:87" x14ac:dyDescent="0.25">
      <c r="A22" s="8"/>
      <c r="B22" s="8"/>
      <c r="C22" s="8" t="s">
        <v>1069</v>
      </c>
      <c r="D22" s="8"/>
      <c r="E22" s="774">
        <f>AVERAGE(L24:L35)</f>
        <v>16.56944477483285</v>
      </c>
      <c r="F22" s="774" t="e">
        <f>AVERAGE(R24:R35)</f>
        <v>#DIV/0!</v>
      </c>
      <c r="G22" s="774">
        <f>AVERAGE(X24:X35)</f>
        <v>35.926753039823126</v>
      </c>
      <c r="H22" s="774" t="e">
        <f>AVERAGE(AD24:AD35)</f>
        <v>#DIV/0!</v>
      </c>
      <c r="I22" s="75">
        <f>IF(I21+1=5,1,I21+1)</f>
        <v>1</v>
      </c>
      <c r="J22" s="7">
        <f t="shared" si="27"/>
        <v>2009</v>
      </c>
      <c r="K22" s="341" t="str">
        <f t="shared" si="18"/>
        <v>1Q09</v>
      </c>
      <c r="L22" s="893">
        <v>17.8890246004499</v>
      </c>
      <c r="M22" s="824">
        <v>47.5274725274725</v>
      </c>
      <c r="N22" s="824">
        <v>19.3410852713178</v>
      </c>
      <c r="O22" s="824">
        <v>15.7799043062201</v>
      </c>
      <c r="P22" s="824"/>
      <c r="Q22" s="894"/>
      <c r="R22" s="893"/>
      <c r="S22" s="824">
        <v>86.6890756302523</v>
      </c>
      <c r="T22" s="824">
        <v>18.9238777689866</v>
      </c>
      <c r="U22" s="824">
        <v>10.8332674192175</v>
      </c>
      <c r="V22" s="824"/>
      <c r="W22" s="894"/>
      <c r="X22" s="893">
        <v>281.736446934744</v>
      </c>
      <c r="Y22" s="824">
        <v>28.4527389540637</v>
      </c>
      <c r="Z22" s="824">
        <v>14.1538263615346</v>
      </c>
      <c r="AA22" s="824">
        <v>3.71870704182257</v>
      </c>
      <c r="AB22" s="824"/>
      <c r="AC22" s="894"/>
      <c r="AD22" s="824"/>
      <c r="AE22" s="824"/>
      <c r="AF22" s="824"/>
      <c r="AG22" s="824">
        <v>6.28865064007638</v>
      </c>
      <c r="AH22" s="824"/>
      <c r="AI22" s="894"/>
      <c r="AJ22" s="8"/>
      <c r="AK22" s="341" t="str">
        <f t="shared" si="19"/>
        <v>1Q09</v>
      </c>
      <c r="AL22" s="893">
        <f t="shared" si="20"/>
        <v>17.8890246004499</v>
      </c>
      <c r="AM22" s="824">
        <v>17.0980392156863</v>
      </c>
      <c r="AN22" s="824">
        <v>14.6741425193452</v>
      </c>
      <c r="AO22" s="824">
        <v>18.5463414634146</v>
      </c>
      <c r="AP22" s="824">
        <v>17.5036603221083</v>
      </c>
      <c r="AQ22" s="894">
        <v>19.406779661017</v>
      </c>
      <c r="AR22" s="893">
        <f t="shared" si="21"/>
        <v>0</v>
      </c>
      <c r="AS22" s="824">
        <v>16.0758493547538</v>
      </c>
      <c r="AT22" s="824">
        <v>12.5076405035515</v>
      </c>
      <c r="AU22" s="824">
        <v>19.0004997501249</v>
      </c>
      <c r="AV22" s="824">
        <v>16.852269523541</v>
      </c>
      <c r="AW22" s="894">
        <v>16.2028301886792</v>
      </c>
      <c r="AX22" s="893">
        <f t="shared" si="22"/>
        <v>281.736446934744</v>
      </c>
      <c r="AY22" s="824">
        <v>8.85585659875072</v>
      </c>
      <c r="AZ22" s="824">
        <v>7.86304877795203</v>
      </c>
      <c r="BA22" s="824">
        <v>10.2621107586187</v>
      </c>
      <c r="BB22" s="824"/>
      <c r="BC22" s="894">
        <v>10.1926114955517</v>
      </c>
      <c r="BD22" s="893">
        <f t="shared" ref="BD22:BD84" si="31">AD22</f>
        <v>0</v>
      </c>
      <c r="BE22" s="824">
        <v>8.02052961360611</v>
      </c>
      <c r="BF22" s="824">
        <v>7.33188710956758</v>
      </c>
      <c r="BG22" s="824">
        <v>9.44294226823773</v>
      </c>
      <c r="BH22" s="824">
        <v>9.41766242765802</v>
      </c>
      <c r="BI22" s="894">
        <v>10.2188931136207</v>
      </c>
      <c r="BJ22" s="8"/>
      <c r="BK22" s="341" t="str">
        <f t="shared" si="23"/>
        <v>1Q09</v>
      </c>
      <c r="BL22" s="893">
        <f t="shared" si="24"/>
        <v>17.8890246004499</v>
      </c>
      <c r="BM22" s="824">
        <v>16.2968099861304</v>
      </c>
      <c r="BN22" s="824">
        <v>9.77635782747604</v>
      </c>
      <c r="BO22" s="824">
        <v>19.03843214</v>
      </c>
      <c r="BP22" s="824">
        <v>16.2273142661321</v>
      </c>
      <c r="BQ22" s="894">
        <v>17.2225913621262</v>
      </c>
      <c r="BR22" s="893">
        <f t="shared" si="25"/>
        <v>0</v>
      </c>
      <c r="BS22" s="824">
        <v>14.2458777885548</v>
      </c>
      <c r="BT22" s="824">
        <v>10.6620209059233</v>
      </c>
      <c r="BU22" s="824">
        <v>17.8223208359031</v>
      </c>
      <c r="BV22" s="824">
        <v>17.0000435169003</v>
      </c>
      <c r="BW22" s="894">
        <v>16.869508623495</v>
      </c>
      <c r="BX22" s="893">
        <f t="shared" si="26"/>
        <v>281.736446934744</v>
      </c>
      <c r="BY22" s="824">
        <v>8.8394808862531</v>
      </c>
      <c r="BZ22" s="824"/>
      <c r="CA22" s="824">
        <v>12.1583880831806</v>
      </c>
      <c r="CB22" s="824">
        <v>12.5701333982331</v>
      </c>
      <c r="CC22" s="894">
        <v>10.0294593414261</v>
      </c>
      <c r="CD22" s="893">
        <f t="shared" ref="CD22:CD84" si="32">BD22</f>
        <v>0</v>
      </c>
      <c r="CE22" s="824">
        <v>8.38393367640048</v>
      </c>
      <c r="CF22" s="824">
        <v>5.33821694698564</v>
      </c>
      <c r="CG22" s="824">
        <v>9.86346882858572</v>
      </c>
      <c r="CH22" s="824">
        <v>10.4046216084725</v>
      </c>
      <c r="CI22" s="894">
        <v>9.73529237361496</v>
      </c>
    </row>
    <row r="23" ht="14.25" customHeight="1" spans="1:87" x14ac:dyDescent="0.25">
      <c r="A23" s="8"/>
      <c r="B23" s="8"/>
      <c r="C23" s="8" t="s">
        <v>1070</v>
      </c>
      <c r="D23" s="8"/>
      <c r="E23" s="774">
        <f>AVERAGE(L36:L75)</f>
        <v>19.97421517918989</v>
      </c>
      <c r="F23" s="774">
        <f>AVERAGE(R36:R75)</f>
        <v>14.483729657938104</v>
      </c>
      <c r="G23" s="774">
        <f>AVERAGE(X36:X75)</f>
        <v>14.197832193801215</v>
      </c>
      <c r="H23" s="774">
        <f>AVERAGE(AD36:AD75)</f>
        <v>9.25747602601567</v>
      </c>
      <c r="I23" s="75">
        <f>IF(I22=4,1,I22+1)</f>
        <v>2</v>
      </c>
      <c r="J23" s="7">
        <f t="shared" si="27"/>
        <v>2009</v>
      </c>
      <c r="K23" s="341" t="str">
        <f t="shared" si="18"/>
        <v>2Q09</v>
      </c>
      <c r="L23" s="893">
        <v>6.70305339975823</v>
      </c>
      <c r="M23" s="824"/>
      <c r="N23" s="824">
        <v>17.323677581864</v>
      </c>
      <c r="O23" s="824">
        <v>8.69543147208122</v>
      </c>
      <c r="P23" s="824"/>
      <c r="Q23" s="894"/>
      <c r="R23" s="893"/>
      <c r="S23" s="824">
        <v>83.2865682248071</v>
      </c>
      <c r="T23" s="824">
        <v>19.0774066438916</v>
      </c>
      <c r="U23" s="824">
        <v>14.7097461596103</v>
      </c>
      <c r="V23" s="824"/>
      <c r="W23" s="894"/>
      <c r="X23" s="893"/>
      <c r="Y23" s="824"/>
      <c r="Z23" s="824">
        <v>14.1858476016474</v>
      </c>
      <c r="AA23" s="824">
        <v>1.25867771127398</v>
      </c>
      <c r="AB23" s="824"/>
      <c r="AC23" s="894"/>
      <c r="AD23" s="824"/>
      <c r="AE23" s="824"/>
      <c r="AF23" s="824"/>
      <c r="AG23" s="824">
        <v>7.90352828335589</v>
      </c>
      <c r="AH23" s="824"/>
      <c r="AI23" s="894"/>
      <c r="AJ23" s="8"/>
      <c r="AK23" s="341" t="str">
        <f t="shared" si="19"/>
        <v>2Q09</v>
      </c>
      <c r="AL23" s="893">
        <f t="shared" si="20"/>
        <v>6.70305339975823</v>
      </c>
      <c r="AM23" s="824">
        <v>17.0980392156863</v>
      </c>
      <c r="AN23" s="824">
        <v>14.9398530326027</v>
      </c>
      <c r="AO23" s="824">
        <v>19.1190476190476</v>
      </c>
      <c r="AP23" s="824">
        <v>15.9287709497207</v>
      </c>
      <c r="AQ23" s="894">
        <v>27.4640287769784</v>
      </c>
      <c r="AR23" s="893">
        <f t="shared" si="21"/>
        <v>0</v>
      </c>
      <c r="AS23" s="824">
        <v>16.0722404647638</v>
      </c>
      <c r="AT23" s="824">
        <v>14.7619013451543</v>
      </c>
      <c r="AU23" s="824">
        <v>19.5758166747928</v>
      </c>
      <c r="AV23" s="824">
        <v>15.8226970033296</v>
      </c>
      <c r="AW23" s="894">
        <v>18.0070754716981</v>
      </c>
      <c r="AX23" s="893">
        <f t="shared" si="22"/>
        <v>0</v>
      </c>
      <c r="AY23" s="824">
        <v>8.14393988109869</v>
      </c>
      <c r="AZ23" s="824">
        <v>8.51506896797682</v>
      </c>
      <c r="BA23" s="824">
        <v>9.99949700916278</v>
      </c>
      <c r="BB23" s="824">
        <v>9.51634435930719</v>
      </c>
      <c r="BC23" s="894">
        <v>11.144456998288</v>
      </c>
      <c r="BD23" s="893">
        <f t="shared" si="31"/>
        <v>0</v>
      </c>
      <c r="BE23" s="824">
        <v>7.89003508895669</v>
      </c>
      <c r="BF23" s="824">
        <v>7.69701748867841</v>
      </c>
      <c r="BG23" s="824">
        <v>8.55207703377935</v>
      </c>
      <c r="BH23" s="824">
        <v>8.14331030360429</v>
      </c>
      <c r="BI23" s="894">
        <v>8.69454187226435</v>
      </c>
      <c r="BJ23" s="8"/>
      <c r="BK23" s="341" t="str">
        <f t="shared" si="23"/>
        <v>2Q09</v>
      </c>
      <c r="BL23" s="893">
        <f t="shared" si="24"/>
        <v>6.70305339975823</v>
      </c>
      <c r="BM23" s="824">
        <v>14.3172242874845</v>
      </c>
      <c r="BN23" s="824">
        <v>11.8865619546248</v>
      </c>
      <c r="BO23" s="824">
        <v>19.2524923257143</v>
      </c>
      <c r="BP23" s="824">
        <v>15.4856291599362</v>
      </c>
      <c r="BQ23" s="894">
        <v>17.8057324840764</v>
      </c>
      <c r="BR23" s="893">
        <f t="shared" si="25"/>
        <v>0</v>
      </c>
      <c r="BS23" s="824">
        <v>14.6401419158642</v>
      </c>
      <c r="BT23" s="824">
        <v>10.7768987341772</v>
      </c>
      <c r="BU23" s="824">
        <v>19.4077543605991</v>
      </c>
      <c r="BV23" s="824">
        <v>16.8786724303922</v>
      </c>
      <c r="BW23" s="894">
        <v>17.9948503379466</v>
      </c>
      <c r="BX23" s="893">
        <f t="shared" si="26"/>
        <v>0</v>
      </c>
      <c r="BY23" s="824">
        <v>8.04174963302337</v>
      </c>
      <c r="BZ23" s="824">
        <v>5.57286484093618</v>
      </c>
      <c r="CA23" s="824">
        <v>12.3021853597381</v>
      </c>
      <c r="CB23" s="824">
        <v>11.4719491585091</v>
      </c>
      <c r="CC23" s="894">
        <v>10.3347166358238</v>
      </c>
      <c r="CD23" s="893">
        <f t="shared" si="32"/>
        <v>0</v>
      </c>
      <c r="CE23" s="824">
        <v>7.0964548994156</v>
      </c>
      <c r="CF23" s="824">
        <v>5.77276339622483</v>
      </c>
      <c r="CG23" s="824">
        <v>9.44339138004464</v>
      </c>
      <c r="CH23" s="824">
        <v>8.65216305801951</v>
      </c>
      <c r="CI23" s="894">
        <v>9.26565185572825</v>
      </c>
    </row>
    <row r="24" ht="14.25" customHeight="1" spans="1:87" x14ac:dyDescent="0.25">
      <c r="A24" s="8"/>
      <c r="B24" s="8"/>
      <c r="C24" s="8" t="s">
        <v>1071</v>
      </c>
      <c r="D24" s="8"/>
      <c r="E24" s="774">
        <f>AVERAGE(L36:L51)</f>
        <v>18.895813561743918</v>
      </c>
      <c r="F24" s="774">
        <f>AVERAGE(R36:R51)</f>
        <v>16.9043141673171</v>
      </c>
      <c r="G24" s="774">
        <f>AVERAGE(X36:X51)</f>
        <v>14.638775498593999</v>
      </c>
      <c r="H24" s="774" t="e">
        <f>AVERAGE(AD36:AD51)</f>
        <v>#DIV/0!</v>
      </c>
      <c r="I24" s="75">
        <f>I20</f>
        <v>3</v>
      </c>
      <c r="J24" s="7">
        <f t="shared" si="27"/>
        <v>2009</v>
      </c>
      <c r="K24" s="341" t="str">
        <f t="shared" si="18"/>
        <v>3Q09</v>
      </c>
      <c r="L24" s="893"/>
      <c r="M24" s="824"/>
      <c r="N24" s="824">
        <v>16.9843137254902</v>
      </c>
      <c r="O24" s="824">
        <v>9.75247524752475</v>
      </c>
      <c r="P24" s="824"/>
      <c r="Q24" s="894"/>
      <c r="R24" s="893"/>
      <c r="S24" s="824">
        <v>27.87017450661</v>
      </c>
      <c r="T24" s="824">
        <v>17.7818774995158</v>
      </c>
      <c r="U24" s="824">
        <v>16.1666666666667</v>
      </c>
      <c r="V24" s="824"/>
      <c r="W24" s="894"/>
      <c r="X24" s="893"/>
      <c r="Y24" s="824"/>
      <c r="Z24" s="824">
        <v>9.23886145087324</v>
      </c>
      <c r="AA24" s="824">
        <v>1.76807824002193</v>
      </c>
      <c r="AB24" s="824"/>
      <c r="AC24" s="894"/>
      <c r="AD24" s="824"/>
      <c r="AE24" s="824"/>
      <c r="AF24" s="824">
        <v>8.68552548238747</v>
      </c>
      <c r="AG24" s="824">
        <v>8.05974216874794</v>
      </c>
      <c r="AH24" s="824"/>
      <c r="AI24" s="894"/>
      <c r="AJ24" s="8"/>
      <c r="AK24" s="341" t="str">
        <f t="shared" si="19"/>
        <v>3Q09</v>
      </c>
      <c r="AL24" s="893">
        <f t="shared" si="20"/>
        <v>0</v>
      </c>
      <c r="AM24" s="824">
        <v>17.4720930232558</v>
      </c>
      <c r="AN24" s="824">
        <v>16.6535426857527</v>
      </c>
      <c r="AO24" s="824">
        <v>20.6486486486486</v>
      </c>
      <c r="AP24" s="824">
        <v>17.4808743169399</v>
      </c>
      <c r="AQ24" s="894">
        <v>30.2697841726619</v>
      </c>
      <c r="AR24" s="893">
        <f t="shared" si="21"/>
        <v>0</v>
      </c>
      <c r="AS24" s="824">
        <v>16.1500429922614</v>
      </c>
      <c r="AT24" s="824">
        <v>14.2711768696153</v>
      </c>
      <c r="AU24" s="824">
        <v>17.6851851851852</v>
      </c>
      <c r="AV24" s="824">
        <v>16.0190285428142</v>
      </c>
      <c r="AW24" s="894">
        <v>16.5649606299213</v>
      </c>
      <c r="AX24" s="893">
        <f t="shared" si="22"/>
        <v>0</v>
      </c>
      <c r="AY24" s="824">
        <v>8.61555833241446</v>
      </c>
      <c r="AZ24" s="824">
        <v>9.77164783427025</v>
      </c>
      <c r="BA24" s="824">
        <v>11.1010203748702</v>
      </c>
      <c r="BB24" s="824">
        <v>10.616211642331</v>
      </c>
      <c r="BC24" s="894">
        <v>12.2117798159006</v>
      </c>
      <c r="BD24" s="893">
        <f t="shared" si="31"/>
        <v>0</v>
      </c>
      <c r="BE24" s="824">
        <v>8.47923620690157</v>
      </c>
      <c r="BF24" s="824">
        <v>8.73491664130109</v>
      </c>
      <c r="BG24" s="824">
        <v>9.66165648553287</v>
      </c>
      <c r="BH24" s="824">
        <v>9.20147957997077</v>
      </c>
      <c r="BI24" s="894">
        <v>9.44777207299858</v>
      </c>
      <c r="BJ24" s="8"/>
      <c r="BK24" s="341" t="str">
        <f t="shared" si="23"/>
        <v>3Q09</v>
      </c>
      <c r="BL24" s="893">
        <f t="shared" si="24"/>
        <v>0</v>
      </c>
      <c r="BM24" s="824">
        <v>16.2466063348416</v>
      </c>
      <c r="BN24" s="824">
        <v>13.605851979346</v>
      </c>
      <c r="BO24" s="824">
        <v>18.5735131622222</v>
      </c>
      <c r="BP24" s="824">
        <v>16.8950805926133</v>
      </c>
      <c r="BQ24" s="894">
        <v>17.8369230769231</v>
      </c>
      <c r="BR24" s="893">
        <f t="shared" si="25"/>
        <v>0</v>
      </c>
      <c r="BS24" s="824">
        <v>14.4632426988922</v>
      </c>
      <c r="BT24" s="824">
        <v>12.6237623762376</v>
      </c>
      <c r="BU24" s="824">
        <v>18.1205006460705</v>
      </c>
      <c r="BV24" s="824">
        <v>16.4980325073736</v>
      </c>
      <c r="BW24" s="894">
        <v>16.4360646441735</v>
      </c>
      <c r="BX24" s="893">
        <f t="shared" si="26"/>
        <v>0</v>
      </c>
      <c r="BY24" s="824">
        <v>8.92992048937141</v>
      </c>
      <c r="BZ24" s="824">
        <v>6.39162415109242</v>
      </c>
      <c r="CA24" s="824">
        <v>12.2438373320001</v>
      </c>
      <c r="CB24" s="824">
        <v>12.2282689647088</v>
      </c>
      <c r="CC24" s="894">
        <v>10.2409050296403</v>
      </c>
      <c r="CD24" s="893">
        <f t="shared" si="32"/>
        <v>0</v>
      </c>
      <c r="CE24" s="824">
        <v>8.63452107677273</v>
      </c>
      <c r="CF24" s="824">
        <v>7.63712730640728</v>
      </c>
      <c r="CG24" s="824">
        <v>12.8046274714408</v>
      </c>
      <c r="CH24" s="824">
        <v>9.44700227696712</v>
      </c>
      <c r="CI24" s="894">
        <v>9.39085100873505</v>
      </c>
    </row>
    <row r="25" ht="14.25" customHeight="1" spans="1:87" x14ac:dyDescent="0.25">
      <c r="A25" s="8"/>
      <c r="B25" s="8"/>
      <c r="C25" s="8" t="s">
        <v>1072</v>
      </c>
      <c r="D25" s="8"/>
      <c r="E25" s="774">
        <f>AVERAGE(L48:L63)</f>
        <v>28.07516648549785</v>
      </c>
      <c r="F25" s="774">
        <f>AVERAGE(R48:R63)</f>
        <v>15.122041525404525</v>
      </c>
      <c r="G25" s="774">
        <f>AVERAGE(X48:X63)</f>
        <v>19.82402778993777</v>
      </c>
      <c r="H25" s="774">
        <f>AVERAGE(AD48:AD63)</f>
        <v>6.663017540427217</v>
      </c>
      <c r="I25" s="75">
        <f>IF(I24=4,1,I24+1)</f>
        <v>4</v>
      </c>
      <c r="J25" s="7">
        <f t="shared" si="27"/>
        <v>2009</v>
      </c>
      <c r="K25" s="341" t="str">
        <f t="shared" si="18"/>
        <v>4Q09</v>
      </c>
      <c r="L25" s="893"/>
      <c r="M25" s="824"/>
      <c r="N25" s="824">
        <v>20.9086956521739</v>
      </c>
      <c r="O25" s="824">
        <v>10.9617834394904</v>
      </c>
      <c r="P25" s="824"/>
      <c r="Q25" s="894"/>
      <c r="R25" s="893"/>
      <c r="S25" s="824">
        <v>19.28</v>
      </c>
      <c r="T25" s="824">
        <v>17.7000933706816</v>
      </c>
      <c r="U25" s="824">
        <v>13.9701730634006</v>
      </c>
      <c r="V25" s="824"/>
      <c r="W25" s="894"/>
      <c r="X25" s="893"/>
      <c r="Y25" s="824"/>
      <c r="Z25" s="824">
        <v>12.8751749100363</v>
      </c>
      <c r="AA25" s="824">
        <v>2.7951138141257</v>
      </c>
      <c r="AB25" s="824"/>
      <c r="AC25" s="894"/>
      <c r="AD25" s="824"/>
      <c r="AE25" s="824"/>
      <c r="AF25" s="824">
        <v>10.5635652087619</v>
      </c>
      <c r="AG25" s="824">
        <v>8.0597760717378</v>
      </c>
      <c r="AH25" s="824"/>
      <c r="AI25" s="894"/>
      <c r="AJ25" s="8"/>
      <c r="AK25" s="341" t="str">
        <f t="shared" si="19"/>
        <v>4Q09</v>
      </c>
      <c r="AL25" s="893">
        <f t="shared" si="20"/>
        <v>0</v>
      </c>
      <c r="AM25" s="824">
        <v>15.4279569892473</v>
      </c>
      <c r="AN25" s="824">
        <v>15.0553928170984</v>
      </c>
      <c r="AO25" s="824">
        <v>19.5482456140351</v>
      </c>
      <c r="AP25" s="824">
        <v>16.9585492227979</v>
      </c>
      <c r="AQ25" s="894">
        <v>30.5578512396694</v>
      </c>
      <c r="AR25" s="893">
        <f t="shared" si="21"/>
        <v>0</v>
      </c>
      <c r="AS25" s="824">
        <v>14.5991045991046</v>
      </c>
      <c r="AT25" s="824">
        <v>13.2498441117191</v>
      </c>
      <c r="AU25" s="824">
        <v>16.4404278863888</v>
      </c>
      <c r="AV25" s="824">
        <v>15.6677836285304</v>
      </c>
      <c r="AW25" s="894">
        <v>14.9092741935484</v>
      </c>
      <c r="AX25" s="893">
        <f t="shared" si="22"/>
        <v>0</v>
      </c>
      <c r="AY25" s="824">
        <v>7.63779299955548</v>
      </c>
      <c r="AZ25" s="824">
        <v>8.81353092988812</v>
      </c>
      <c r="BA25" s="824">
        <v>10.6843425636309</v>
      </c>
      <c r="BB25" s="824">
        <v>10.043763313574</v>
      </c>
      <c r="BC25" s="894">
        <v>9.895961637202</v>
      </c>
      <c r="BD25" s="893">
        <f t="shared" si="31"/>
        <v>0</v>
      </c>
      <c r="BE25" s="824">
        <v>7.65548728620756</v>
      </c>
      <c r="BF25" s="824">
        <v>7.99308465903532</v>
      </c>
      <c r="BG25" s="824">
        <v>8.95666163844804</v>
      </c>
      <c r="BH25" s="824">
        <v>9.6289268838999</v>
      </c>
      <c r="BI25" s="894">
        <v>8.63670687874056</v>
      </c>
      <c r="BJ25" s="8"/>
      <c r="BK25" s="341" t="str">
        <f t="shared" si="23"/>
        <v>4Q09</v>
      </c>
      <c r="BL25" s="893">
        <f t="shared" si="24"/>
        <v>0</v>
      </c>
      <c r="BM25" s="824">
        <v>15.3251028806584</v>
      </c>
      <c r="BN25" s="824">
        <v>14.4696707105719</v>
      </c>
      <c r="BO25" s="824">
        <v>17.1258627805405</v>
      </c>
      <c r="BP25" s="824">
        <v>14.9282872408329</v>
      </c>
      <c r="BQ25" s="894">
        <v>18.5982404692082</v>
      </c>
      <c r="BR25" s="893">
        <f t="shared" si="25"/>
        <v>0</v>
      </c>
      <c r="BS25" s="824">
        <v>14.0927152317881</v>
      </c>
      <c r="BT25" s="824">
        <v>13.0493904345108</v>
      </c>
      <c r="BU25" s="824">
        <v>15.9290327521368</v>
      </c>
      <c r="BV25" s="824">
        <v>15.4017254953595</v>
      </c>
      <c r="BW25" s="894">
        <v>17.5971143174251</v>
      </c>
      <c r="BX25" s="893">
        <f t="shared" si="26"/>
        <v>0</v>
      </c>
      <c r="BY25" s="824">
        <v>8.71342246572718</v>
      </c>
      <c r="BZ25" s="824">
        <v>6.58452980858521</v>
      </c>
      <c r="CA25" s="824">
        <v>11.1879267021409</v>
      </c>
      <c r="CB25" s="824">
        <v>10.8915271624449</v>
      </c>
      <c r="CC25" s="894">
        <v>10.6184235577362</v>
      </c>
      <c r="CD25" s="893">
        <f t="shared" si="32"/>
        <v>0</v>
      </c>
      <c r="CE25" s="824">
        <v>8.73196687365729</v>
      </c>
      <c r="CF25" s="824">
        <v>7.9292794875331</v>
      </c>
      <c r="CG25" s="824">
        <v>11.8924594472119</v>
      </c>
      <c r="CH25" s="824">
        <v>9.06167211008443</v>
      </c>
      <c r="CI25" s="894">
        <v>10.0294018548875</v>
      </c>
    </row>
    <row r="26" ht="14.25" customHeight="1" spans="1:87" x14ac:dyDescent="0.25">
      <c r="A26" s="8"/>
      <c r="B26" s="8"/>
      <c r="C26" s="8" t="s">
        <v>1073</v>
      </c>
      <c r="D26" s="8"/>
      <c r="E26" s="774">
        <f>AVERAGE(L60:L75)</f>
        <v>12.776913070250185</v>
      </c>
      <c r="F26" s="774">
        <f>AVERAGE(R60:R75)</f>
        <v>14.269161451826335</v>
      </c>
      <c r="G26" s="774">
        <f>AVERAGE(X60:X75)</f>
        <v>6.720837615056438</v>
      </c>
      <c r="H26" s="774">
        <f>AVERAGE(AD60:AD75)</f>
        <v>10.723473901825484</v>
      </c>
      <c r="I26" s="75">
        <f>IF(I25+1=5,1,I25+1)</f>
        <v>1</v>
      </c>
      <c r="J26" s="7">
        <f t="shared" si="27"/>
        <v>2010</v>
      </c>
      <c r="K26" s="341" t="str">
        <f t="shared" si="18"/>
        <v>1Q10</v>
      </c>
      <c r="L26" s="893"/>
      <c r="M26" s="824"/>
      <c r="N26" s="824">
        <v>24.841628959276</v>
      </c>
      <c r="O26" s="824">
        <v>17.0954606705269</v>
      </c>
      <c r="P26" s="824"/>
      <c r="Q26" s="894"/>
      <c r="R26" s="893"/>
      <c r="S26" s="824">
        <v>13.660382615156</v>
      </c>
      <c r="T26" s="824">
        <v>15.543572298161</v>
      </c>
      <c r="U26" s="824">
        <v>14.1247681096105</v>
      </c>
      <c r="V26" s="824"/>
      <c r="W26" s="894"/>
      <c r="X26" s="893"/>
      <c r="Y26" s="824"/>
      <c r="Z26" s="824">
        <v>16.349453997331</v>
      </c>
      <c r="AA26" s="824">
        <v>5.46399349497124</v>
      </c>
      <c r="AB26" s="824"/>
      <c r="AC26" s="894"/>
      <c r="AD26" s="824"/>
      <c r="AE26" s="824"/>
      <c r="AF26" s="824">
        <v>10.6702655680452</v>
      </c>
      <c r="AG26" s="824">
        <v>7.96942939977318</v>
      </c>
      <c r="AH26" s="824"/>
      <c r="AI26" s="894"/>
      <c r="AJ26" s="8"/>
      <c r="AK26" s="341" t="str">
        <f t="shared" si="19"/>
        <v>1Q10</v>
      </c>
      <c r="AL26" s="893">
        <f t="shared" si="20"/>
        <v>0</v>
      </c>
      <c r="AM26" s="824">
        <v>17.2464929859719</v>
      </c>
      <c r="AN26" s="824">
        <v>14.3943122734266</v>
      </c>
      <c r="AO26" s="824">
        <v>20.172268907563</v>
      </c>
      <c r="AP26" s="824">
        <v>17.740099009901</v>
      </c>
      <c r="AQ26" s="894">
        <v>32.6652892561983</v>
      </c>
      <c r="AR26" s="893">
        <f t="shared" si="21"/>
        <v>0</v>
      </c>
      <c r="AS26" s="824">
        <v>16.4929091605979</v>
      </c>
      <c r="AT26" s="824">
        <v>13.759269084893</v>
      </c>
      <c r="AU26" s="824">
        <v>17.5925247343349</v>
      </c>
      <c r="AV26" s="824">
        <v>17.1009305654975</v>
      </c>
      <c r="AW26" s="894">
        <v>14.9715909090909</v>
      </c>
      <c r="AX26" s="893">
        <f t="shared" si="22"/>
        <v>0</v>
      </c>
      <c r="AY26" s="824">
        <v>8.59690566989158</v>
      </c>
      <c r="AZ26" s="824">
        <v>8.80108366138237</v>
      </c>
      <c r="BA26" s="824">
        <v>11.0940527176738</v>
      </c>
      <c r="BB26" s="824">
        <v>9.85910704093812</v>
      </c>
      <c r="BC26" s="894">
        <v>10.5383628649705</v>
      </c>
      <c r="BD26" s="893">
        <f t="shared" si="31"/>
        <v>0</v>
      </c>
      <c r="BE26" s="824">
        <v>8.74279316866968</v>
      </c>
      <c r="BF26" s="824">
        <v>8.15291865119672</v>
      </c>
      <c r="BG26" s="824">
        <v>9.70235882969312</v>
      </c>
      <c r="BH26" s="824">
        <v>10.2335240724788</v>
      </c>
      <c r="BI26" s="894">
        <v>8.72096085961602</v>
      </c>
      <c r="BJ26" s="8"/>
      <c r="BK26" s="341" t="str">
        <f t="shared" si="23"/>
        <v>1Q10</v>
      </c>
      <c r="BL26" s="893">
        <f t="shared" si="24"/>
        <v>0</v>
      </c>
      <c r="BM26" s="824">
        <v>12.8015564202335</v>
      </c>
      <c r="BN26" s="824">
        <v>13.8237232289951</v>
      </c>
      <c r="BO26" s="824">
        <v>18.0490289468085</v>
      </c>
      <c r="BP26" s="824">
        <v>14.1588726076758</v>
      </c>
      <c r="BQ26" s="894">
        <v>17.7450980392157</v>
      </c>
      <c r="BR26" s="893">
        <f t="shared" si="25"/>
        <v>0</v>
      </c>
      <c r="BS26" s="824">
        <v>12.0160701241782</v>
      </c>
      <c r="BT26" s="824">
        <v>13.4773530356569</v>
      </c>
      <c r="BU26" s="824">
        <v>17.094294418136</v>
      </c>
      <c r="BV26" s="824">
        <v>15.5312723059866</v>
      </c>
      <c r="BW26" s="894">
        <v>17.4038461538462</v>
      </c>
      <c r="BX26" s="893">
        <f t="shared" si="26"/>
        <v>0</v>
      </c>
      <c r="BY26" s="824">
        <v>10.8942187359427</v>
      </c>
      <c r="BZ26" s="824">
        <v>5.79676573417688</v>
      </c>
      <c r="CA26" s="824">
        <v>12.0248697957627</v>
      </c>
      <c r="CB26" s="824">
        <v>10.1625572132205</v>
      </c>
      <c r="CC26" s="894">
        <v>10.1605825557342</v>
      </c>
      <c r="CD26" s="893">
        <f t="shared" si="32"/>
        <v>0</v>
      </c>
      <c r="CE26" s="824">
        <v>10.5973735387781</v>
      </c>
      <c r="CF26" s="824">
        <v>7.73496272319748</v>
      </c>
      <c r="CG26" s="824">
        <v>12.5738819755107</v>
      </c>
      <c r="CH26" s="824">
        <v>8.95566003348914</v>
      </c>
      <c r="CI26" s="894">
        <v>9.88405890122222</v>
      </c>
    </row>
    <row r="27" ht="14.25" customHeight="1" spans="1:87" x14ac:dyDescent="0.25">
      <c r="A27" s="8"/>
      <c r="B27" s="8"/>
      <c r="C27" s="8"/>
      <c r="D27" s="8"/>
      <c r="E27" s="8"/>
      <c r="F27" s="8"/>
      <c r="G27" s="8"/>
      <c r="H27" s="8"/>
      <c r="I27" s="75">
        <f>IF(I26=4,1,I26+1)</f>
        <v>2</v>
      </c>
      <c r="J27" s="7">
        <f t="shared" si="27"/>
        <v>2010</v>
      </c>
      <c r="K27" s="341" t="str">
        <f t="shared" si="18"/>
        <v>2Q10</v>
      </c>
      <c r="L27" s="893"/>
      <c r="M27" s="824">
        <v>83.9947024088107</v>
      </c>
      <c r="N27" s="824">
        <v>27.2361054024406</v>
      </c>
      <c r="O27" s="824">
        <v>18.1188281074324</v>
      </c>
      <c r="P27" s="824"/>
      <c r="Q27" s="894"/>
      <c r="R27" s="893"/>
      <c r="S27" s="824">
        <v>12.5328232234963</v>
      </c>
      <c r="T27" s="824">
        <v>12.5116028616842</v>
      </c>
      <c r="U27" s="824">
        <v>11.8741247289483</v>
      </c>
      <c r="V27" s="824"/>
      <c r="W27" s="894"/>
      <c r="X27" s="893"/>
      <c r="Y27" s="824">
        <v>35.6902056252297</v>
      </c>
      <c r="Z27" s="824">
        <v>14.8256472401067</v>
      </c>
      <c r="AA27" s="824">
        <v>-1.83397405623798</v>
      </c>
      <c r="AB27" s="824"/>
      <c r="AC27" s="894"/>
      <c r="AD27" s="824"/>
      <c r="AE27" s="824">
        <v>22.955427954469</v>
      </c>
      <c r="AF27" s="824">
        <v>10.4533851567184</v>
      </c>
      <c r="AG27" s="824">
        <v>9.00295683608513</v>
      </c>
      <c r="AH27" s="824"/>
      <c r="AI27" s="894"/>
      <c r="AJ27" s="8"/>
      <c r="AK27" s="341" t="str">
        <f t="shared" si="19"/>
        <v>2Q10</v>
      </c>
      <c r="AL27" s="893">
        <f t="shared" si="20"/>
        <v>0</v>
      </c>
      <c r="AM27" s="824">
        <v>16.7096188747731</v>
      </c>
      <c r="AN27" s="824">
        <v>13.7703909932735</v>
      </c>
      <c r="AO27" s="824">
        <v>20.952380952381</v>
      </c>
      <c r="AP27" s="824">
        <v>17.744630071599</v>
      </c>
      <c r="AQ27" s="894">
        <v>25.9249561574435</v>
      </c>
      <c r="AR27" s="893">
        <f t="shared" si="21"/>
        <v>0</v>
      </c>
      <c r="AS27" s="824">
        <v>16.7735470941884</v>
      </c>
      <c r="AT27" s="824">
        <v>13.9518273125852</v>
      </c>
      <c r="AU27" s="824">
        <v>20.4492641363284</v>
      </c>
      <c r="AV27" s="824">
        <v>17.7277062470196</v>
      </c>
      <c r="AW27" s="894">
        <v>16.8948412698413</v>
      </c>
      <c r="AX27" s="893">
        <f t="shared" si="22"/>
        <v>0</v>
      </c>
      <c r="AY27" s="824">
        <v>8.72887163490164</v>
      </c>
      <c r="AZ27" s="824">
        <v>8.50140191692857</v>
      </c>
      <c r="BA27" s="824">
        <v>11.1070955202352</v>
      </c>
      <c r="BB27" s="824">
        <v>9.56326177625636</v>
      </c>
      <c r="BC27" s="894">
        <v>9.70015168691678</v>
      </c>
      <c r="BD27" s="893">
        <f t="shared" si="31"/>
        <v>0</v>
      </c>
      <c r="BE27" s="824">
        <v>8.54571044640648</v>
      </c>
      <c r="BF27" s="824">
        <v>7.68553234522558</v>
      </c>
      <c r="BG27" s="824">
        <v>9.42364323846125</v>
      </c>
      <c r="BH27" s="824">
        <v>9.25498225269748</v>
      </c>
      <c r="BI27" s="894">
        <v>7.89259181500183</v>
      </c>
      <c r="BJ27" s="8"/>
      <c r="BK27" s="341" t="str">
        <f t="shared" si="23"/>
        <v>2Q10</v>
      </c>
      <c r="BL27" s="893">
        <f t="shared" si="24"/>
        <v>0</v>
      </c>
      <c r="BM27" s="824">
        <v>11.6596958174905</v>
      </c>
      <c r="BN27" s="824">
        <v>14.9481132075472</v>
      </c>
      <c r="BO27" s="824">
        <v>19.0256194648936</v>
      </c>
      <c r="BP27" s="824">
        <v>15.3269004439344</v>
      </c>
      <c r="BQ27" s="894">
        <v>16.8064516129032</v>
      </c>
      <c r="BR27" s="893">
        <f t="shared" si="25"/>
        <v>0</v>
      </c>
      <c r="BS27" s="824">
        <v>11.755798351543</v>
      </c>
      <c r="BT27" s="824">
        <v>15.0474833808167</v>
      </c>
      <c r="BU27" s="824">
        <v>18.0647295929293</v>
      </c>
      <c r="BV27" s="824">
        <v>17.1042852452168</v>
      </c>
      <c r="BW27" s="894">
        <v>17.0215083038388</v>
      </c>
      <c r="BX27" s="893">
        <f t="shared" si="26"/>
        <v>0</v>
      </c>
      <c r="BY27" s="824">
        <v>10.2197271127802</v>
      </c>
      <c r="BZ27" s="824">
        <v>6.28424395129667</v>
      </c>
      <c r="CA27" s="824">
        <v>12.6356232363168</v>
      </c>
      <c r="CB27" s="824">
        <v>10.57792595541</v>
      </c>
      <c r="CC27" s="894">
        <v>9.67175051875175</v>
      </c>
      <c r="CD27" s="893">
        <f t="shared" si="32"/>
        <v>0</v>
      </c>
      <c r="CE27" s="824">
        <v>10.0449453713049</v>
      </c>
      <c r="CF27" s="824">
        <v>9.23733240057122</v>
      </c>
      <c r="CG27" s="824">
        <v>10.897307886223</v>
      </c>
      <c r="CH27" s="824">
        <v>8.8081389308222</v>
      </c>
      <c r="CI27" s="894">
        <v>8.94642283185287</v>
      </c>
    </row>
    <row r="28" ht="14.25" customHeight="1" spans="1:87" x14ac:dyDescent="0.25">
      <c r="A28" s="261" t="s">
        <v>3</v>
      </c>
      <c r="B28" s="8"/>
      <c r="C28" s="882" t="s">
        <v>708</v>
      </c>
      <c r="D28" s="101"/>
      <c r="E28" s="101"/>
      <c r="F28" s="101"/>
      <c r="G28" s="101"/>
      <c r="H28" s="102"/>
      <c r="I28" s="75">
        <f>I24</f>
        <v>3</v>
      </c>
      <c r="J28" s="7">
        <f t="shared" si="27"/>
        <v>2010</v>
      </c>
      <c r="K28" s="341" t="str">
        <f t="shared" si="18"/>
        <v>3Q10</v>
      </c>
      <c r="L28" s="893">
        <v>9.91566201951243</v>
      </c>
      <c r="M28" s="824">
        <v>23.003609226331</v>
      </c>
      <c r="N28" s="824">
        <v>23.9596497210651</v>
      </c>
      <c r="O28" s="824">
        <v>24.0900900900901</v>
      </c>
      <c r="P28" s="824"/>
      <c r="Q28" s="894"/>
      <c r="R28" s="893"/>
      <c r="S28" s="824">
        <v>13.2510853083522</v>
      </c>
      <c r="T28" s="824">
        <v>12.9085917416769</v>
      </c>
      <c r="U28" s="824">
        <v>12.1362080766598</v>
      </c>
      <c r="V28" s="824"/>
      <c r="W28" s="894"/>
      <c r="X28" s="893">
        <v>155.439401260238</v>
      </c>
      <c r="Y28" s="824">
        <v>14.882557889629</v>
      </c>
      <c r="Z28" s="824">
        <v>13.2765477706311</v>
      </c>
      <c r="AA28" s="824">
        <v>11.3899471103142</v>
      </c>
      <c r="AB28" s="824"/>
      <c r="AC28" s="894"/>
      <c r="AD28" s="824"/>
      <c r="AE28" s="824">
        <v>20.083444059539</v>
      </c>
      <c r="AF28" s="824">
        <v>10.0253332459144</v>
      </c>
      <c r="AG28" s="824">
        <v>8.27791669222446</v>
      </c>
      <c r="AH28" s="824"/>
      <c r="AI28" s="894"/>
      <c r="AJ28" s="8"/>
      <c r="AK28" s="341" t="str">
        <f t="shared" si="19"/>
        <v>3Q10</v>
      </c>
      <c r="AL28" s="893">
        <f t="shared" si="20"/>
        <v>9.91566201951243</v>
      </c>
      <c r="AM28" s="824">
        <v>17.2021276595745</v>
      </c>
      <c r="AN28" s="824">
        <v>14.7979656567033</v>
      </c>
      <c r="AO28" s="824">
        <v>19.7962264150943</v>
      </c>
      <c r="AP28" s="824">
        <v>17.7262180974478</v>
      </c>
      <c r="AQ28" s="894">
        <v>28.010522213562</v>
      </c>
      <c r="AR28" s="893">
        <f t="shared" si="21"/>
        <v>0</v>
      </c>
      <c r="AS28" s="824">
        <v>16.0257680872151</v>
      </c>
      <c r="AT28" s="824">
        <v>13.4769302918335</v>
      </c>
      <c r="AU28" s="824">
        <v>17.2395662175485</v>
      </c>
      <c r="AV28" s="824">
        <v>16.1147437249525</v>
      </c>
      <c r="AW28" s="894">
        <v>16.7272727272727</v>
      </c>
      <c r="AX28" s="893">
        <f t="shared" si="22"/>
        <v>155.439401260238</v>
      </c>
      <c r="AY28" s="824">
        <v>8.85900261785775</v>
      </c>
      <c r="AZ28" s="824">
        <v>9.35236565763727</v>
      </c>
      <c r="BA28" s="824">
        <v>11.0643323413605</v>
      </c>
      <c r="BB28" s="824">
        <v>9.54752528769943</v>
      </c>
      <c r="BC28" s="894">
        <v>10.4468358443576</v>
      </c>
      <c r="BD28" s="893">
        <f t="shared" si="31"/>
        <v>0</v>
      </c>
      <c r="BE28" s="824">
        <v>8.4865906345287</v>
      </c>
      <c r="BF28" s="824">
        <v>8.5156768142428</v>
      </c>
      <c r="BG28" s="824">
        <v>9.73644673364436</v>
      </c>
      <c r="BH28" s="824">
        <v>9.64438372190624</v>
      </c>
      <c r="BI28" s="894">
        <v>8.80910495908152</v>
      </c>
      <c r="BJ28" s="8"/>
      <c r="BK28" s="341" t="str">
        <f t="shared" si="23"/>
        <v>3Q10</v>
      </c>
      <c r="BL28" s="893">
        <f t="shared" si="24"/>
        <v>9.91566201951243</v>
      </c>
      <c r="BM28" s="824">
        <v>12.6710775047259</v>
      </c>
      <c r="BN28" s="824">
        <v>16.8173374613003</v>
      </c>
      <c r="BO28" s="824">
        <v>17.1665906585859</v>
      </c>
      <c r="BP28" s="824">
        <v>14.5678512444358</v>
      </c>
      <c r="BQ28" s="894">
        <v>16.8831168831169</v>
      </c>
      <c r="BR28" s="893">
        <f t="shared" si="25"/>
        <v>0</v>
      </c>
      <c r="BS28" s="824">
        <v>12.2855571847507</v>
      </c>
      <c r="BT28" s="824">
        <v>16.5710799267846</v>
      </c>
      <c r="BU28" s="824">
        <v>15.3245489197475</v>
      </c>
      <c r="BV28" s="824">
        <v>14.7590818733598</v>
      </c>
      <c r="BW28" s="894">
        <v>15.6400384985563</v>
      </c>
      <c r="BX28" s="893">
        <f t="shared" si="26"/>
        <v>155.439401260238</v>
      </c>
      <c r="BY28" s="824">
        <v>10.8467594071463</v>
      </c>
      <c r="BZ28" s="824">
        <v>7.36376070979415</v>
      </c>
      <c r="CA28" s="824">
        <v>11.4163523058198</v>
      </c>
      <c r="CB28" s="824">
        <v>10.2260901018242</v>
      </c>
      <c r="CC28" s="894">
        <v>9.68686175304303</v>
      </c>
      <c r="CD28" s="893">
        <f t="shared" si="32"/>
        <v>0</v>
      </c>
      <c r="CE28" s="824">
        <v>11.3120660096171</v>
      </c>
      <c r="CF28" s="824">
        <v>9.96573481753223</v>
      </c>
      <c r="CG28" s="824">
        <v>10.2594851844776</v>
      </c>
      <c r="CH28" s="824">
        <v>8.86152326463816</v>
      </c>
      <c r="CI28" s="894">
        <v>9.1640965083525</v>
      </c>
    </row>
    <row r="29" ht="14.25" customHeight="1" spans="1:87" x14ac:dyDescent="0.25">
      <c r="A29" s="8"/>
      <c r="B29" s="8"/>
      <c r="C29" s="892" t="s">
        <v>1060</v>
      </c>
      <c r="D29" s="892"/>
      <c r="E29" s="892"/>
      <c r="F29" s="892"/>
      <c r="G29" s="892"/>
      <c r="H29" s="892"/>
      <c r="I29" s="75">
        <f>IF(I28=4,1,I28+1)</f>
        <v>4</v>
      </c>
      <c r="J29" s="7">
        <f t="shared" si="27"/>
        <v>2010</v>
      </c>
      <c r="K29" s="341" t="str">
        <f t="shared" si="18"/>
        <v>4Q10</v>
      </c>
      <c r="L29" s="893">
        <v>4.83487346051597</v>
      </c>
      <c r="M29" s="824">
        <v>16.8042420541021</v>
      </c>
      <c r="N29" s="824">
        <v>17.6020484743945</v>
      </c>
      <c r="O29" s="824">
        <v>20.575</v>
      </c>
      <c r="P29" s="824"/>
      <c r="Q29" s="894"/>
      <c r="R29" s="893"/>
      <c r="S29" s="824">
        <v>14.8033826638478</v>
      </c>
      <c r="T29" s="824">
        <v>15.2233724407637</v>
      </c>
      <c r="U29" s="824">
        <v>13.7834610507902</v>
      </c>
      <c r="V29" s="824"/>
      <c r="W29" s="894"/>
      <c r="X29" s="893">
        <v>36.1065747711867</v>
      </c>
      <c r="Y29" s="824">
        <v>15.6053461987955</v>
      </c>
      <c r="Z29" s="824">
        <v>11.0983334211856</v>
      </c>
      <c r="AA29" s="824">
        <v>8.98774006222922</v>
      </c>
      <c r="AB29" s="824"/>
      <c r="AC29" s="894"/>
      <c r="AD29" s="824"/>
      <c r="AE29" s="824">
        <v>20.9605092894488</v>
      </c>
      <c r="AF29" s="824">
        <v>10.1063664097999</v>
      </c>
      <c r="AG29" s="824">
        <v>8.57710094203091</v>
      </c>
      <c r="AH29" s="824"/>
      <c r="AI29" s="894"/>
      <c r="AJ29" s="8"/>
      <c r="AK29" s="341" t="str">
        <f t="shared" si="19"/>
        <v>4Q10</v>
      </c>
      <c r="AL29" s="893">
        <f t="shared" si="20"/>
        <v>4.83487346051597</v>
      </c>
      <c r="AM29" s="824">
        <v>15.4058919803601</v>
      </c>
      <c r="AN29" s="824">
        <v>14.8719880153684</v>
      </c>
      <c r="AO29" s="824">
        <v>18.7770034843206</v>
      </c>
      <c r="AP29" s="824">
        <v>17.1912087912088</v>
      </c>
      <c r="AQ29" s="894">
        <v>17.9026098026735</v>
      </c>
      <c r="AR29" s="893">
        <f t="shared" si="21"/>
        <v>0</v>
      </c>
      <c r="AS29" s="824">
        <v>14.8329656476521</v>
      </c>
      <c r="AT29" s="824">
        <v>14.1680591803049</v>
      </c>
      <c r="AU29" s="824">
        <v>17.6168682576005</v>
      </c>
      <c r="AV29" s="824">
        <v>16.4052013422819</v>
      </c>
      <c r="AW29" s="894">
        <v>14.8897058823529</v>
      </c>
      <c r="AX29" s="893">
        <f t="shared" si="22"/>
        <v>36.1065747711867</v>
      </c>
      <c r="AY29" s="824">
        <v>8.01288639099495</v>
      </c>
      <c r="AZ29" s="824">
        <v>9.59164296154905</v>
      </c>
      <c r="BA29" s="824">
        <v>9.68836800040644</v>
      </c>
      <c r="BB29" s="824">
        <v>9.56951054364888</v>
      </c>
      <c r="BC29" s="894">
        <v>8.3114767326934</v>
      </c>
      <c r="BD29" s="893">
        <f t="shared" si="31"/>
        <v>0</v>
      </c>
      <c r="BE29" s="824">
        <v>7.97273141350249</v>
      </c>
      <c r="BF29" s="824">
        <v>8.61574057333204</v>
      </c>
      <c r="BG29" s="824">
        <v>9.10850981783904</v>
      </c>
      <c r="BH29" s="824">
        <v>9.66151145850426</v>
      </c>
      <c r="BI29" s="894">
        <v>7.72762338743707</v>
      </c>
      <c r="BJ29" s="8"/>
      <c r="BK29" s="341" t="str">
        <f t="shared" si="23"/>
        <v>4Q10</v>
      </c>
      <c r="BL29" s="893">
        <f t="shared" si="24"/>
        <v>4.83487346051597</v>
      </c>
      <c r="BM29" s="824">
        <v>15.6287425149701</v>
      </c>
      <c r="BN29" s="824">
        <v>17.7298091042584</v>
      </c>
      <c r="BO29" s="824">
        <v>17.8624774718447</v>
      </c>
      <c r="BP29" s="824">
        <v>16.9552839086532</v>
      </c>
      <c r="BQ29" s="894">
        <v>17.6882793017456</v>
      </c>
      <c r="BR29" s="893">
        <f t="shared" si="25"/>
        <v>0</v>
      </c>
      <c r="BS29" s="824">
        <v>13.9896373056995</v>
      </c>
      <c r="BT29" s="824">
        <v>17.3427176098822</v>
      </c>
      <c r="BU29" s="824">
        <v>16.6350377902351</v>
      </c>
      <c r="BV29" s="824">
        <v>17.3787535359534</v>
      </c>
      <c r="BW29" s="894">
        <v>16.9770224988033</v>
      </c>
      <c r="BX29" s="893">
        <f t="shared" si="26"/>
        <v>36.1065747711867</v>
      </c>
      <c r="BY29" s="824">
        <v>8.73674862448364</v>
      </c>
      <c r="BZ29" s="824">
        <v>7.507600302718</v>
      </c>
      <c r="CA29" s="824">
        <v>12.0946544433192</v>
      </c>
      <c r="CB29" s="824">
        <v>11.9712771283663</v>
      </c>
      <c r="CC29" s="894">
        <v>6.79728445867446</v>
      </c>
      <c r="CD29" s="893">
        <f t="shared" si="32"/>
        <v>0</v>
      </c>
      <c r="CE29" s="824">
        <v>8.18113448420725</v>
      </c>
      <c r="CF29" s="824">
        <v>10.2162420953171</v>
      </c>
      <c r="CG29" s="824">
        <v>10.9766502375101</v>
      </c>
      <c r="CH29" s="824">
        <v>10.6271859083267</v>
      </c>
      <c r="CI29" s="894">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3">
        <v>30.3321722630552</v>
      </c>
      <c r="M30" s="824">
        <v>18.8563827204847</v>
      </c>
      <c r="N30" s="824">
        <v>17.536701486244</v>
      </c>
      <c r="O30" s="824">
        <v>15.5398773006135</v>
      </c>
      <c r="P30" s="824"/>
      <c r="Q30" s="894"/>
      <c r="R30" s="893"/>
      <c r="S30" s="824">
        <v>14.1084047111425</v>
      </c>
      <c r="T30" s="824">
        <v>15.7005169069922</v>
      </c>
      <c r="U30" s="824">
        <v>14.1448167531687</v>
      </c>
      <c r="V30" s="824"/>
      <c r="W30" s="894"/>
      <c r="X30" s="893">
        <v>22.8260156014634</v>
      </c>
      <c r="Y30" s="824">
        <v>14.1526891949856</v>
      </c>
      <c r="Z30" s="824">
        <v>10.4442893647119</v>
      </c>
      <c r="AA30" s="824">
        <v>8.61608175593925</v>
      </c>
      <c r="AB30" s="824"/>
      <c r="AC30" s="894"/>
      <c r="AD30" s="824"/>
      <c r="AE30" s="824">
        <v>17.2877713359763</v>
      </c>
      <c r="AF30" s="824">
        <v>7.95186949405673</v>
      </c>
      <c r="AG30" s="824">
        <v>6.40991831009476</v>
      </c>
      <c r="AH30" s="824"/>
      <c r="AI30" s="894"/>
      <c r="AJ30" s="8"/>
      <c r="AK30" s="341" t="str">
        <f t="shared" si="19"/>
        <v>1Q11</v>
      </c>
      <c r="AL30" s="893">
        <f t="shared" si="20"/>
        <v>30.3321722630552</v>
      </c>
      <c r="AM30" s="824">
        <v>16.4130105900151</v>
      </c>
      <c r="AN30" s="824">
        <v>13.929109488189</v>
      </c>
      <c r="AO30" s="824">
        <v>20.4551282051282</v>
      </c>
      <c r="AP30" s="824">
        <v>17.5613305613306</v>
      </c>
      <c r="AQ30" s="894">
        <v>21.8146615743688</v>
      </c>
      <c r="AR30" s="893">
        <f t="shared" si="21"/>
        <v>0</v>
      </c>
      <c r="AS30" s="824">
        <v>15.7872526193248</v>
      </c>
      <c r="AT30" s="824">
        <v>14.0257435480674</v>
      </c>
      <c r="AU30" s="824">
        <v>19.7523986381925</v>
      </c>
      <c r="AV30" s="824">
        <v>17.106115836371</v>
      </c>
      <c r="AW30" s="894">
        <v>16.9006849315069</v>
      </c>
      <c r="AX30" s="893">
        <f t="shared" si="22"/>
        <v>22.8260156014634</v>
      </c>
      <c r="AY30" s="824">
        <v>8.58424870725069</v>
      </c>
      <c r="AZ30" s="824">
        <v>8.44273757619393</v>
      </c>
      <c r="BA30" s="824">
        <v>11.1349827480621</v>
      </c>
      <c r="BB30" s="824">
        <v>10.4017651747751</v>
      </c>
      <c r="BC30" s="894">
        <v>10.7651705951063</v>
      </c>
      <c r="BD30" s="893">
        <f t="shared" si="31"/>
        <v>0</v>
      </c>
      <c r="BE30" s="824">
        <v>8.56723621121493</v>
      </c>
      <c r="BF30" s="824">
        <v>8.46114657038452</v>
      </c>
      <c r="BG30" s="824">
        <v>10.5056506409749</v>
      </c>
      <c r="BH30" s="824">
        <v>10.058965891206</v>
      </c>
      <c r="BI30" s="894">
        <v>9.44569181856999</v>
      </c>
      <c r="BJ30" s="8"/>
      <c r="BK30" s="341" t="str">
        <f t="shared" si="23"/>
        <v>1Q11</v>
      </c>
      <c r="BL30" s="893">
        <f t="shared" si="24"/>
        <v>30.3321722630552</v>
      </c>
      <c r="BM30" s="824">
        <v>15.111753371869</v>
      </c>
      <c r="BN30" s="824">
        <v>20.2482946793997</v>
      </c>
      <c r="BO30" s="824">
        <v>18.4239851666667</v>
      </c>
      <c r="BP30" s="824">
        <v>17.1044063218137</v>
      </c>
      <c r="BQ30" s="894">
        <v>19.2997601918465</v>
      </c>
      <c r="BR30" s="893">
        <f t="shared" si="25"/>
        <v>0</v>
      </c>
      <c r="BS30" s="824">
        <v>14.5213849287169</v>
      </c>
      <c r="BT30" s="824">
        <v>19.4114569709652</v>
      </c>
      <c r="BU30" s="824">
        <v>18.0479854693878</v>
      </c>
      <c r="BV30" s="824">
        <v>18.0075015665405</v>
      </c>
      <c r="BW30" s="894">
        <v>19.012520670919</v>
      </c>
      <c r="BX30" s="893">
        <f t="shared" si="26"/>
        <v>22.8260156014634</v>
      </c>
      <c r="BY30" s="824">
        <v>8.29237002443662</v>
      </c>
      <c r="BZ30" s="824">
        <v>8.90934420426463</v>
      </c>
      <c r="CA30" s="824">
        <v>12.5523640844115</v>
      </c>
      <c r="CB30" s="824">
        <v>11.7121590153251</v>
      </c>
      <c r="CC30" s="894">
        <v>7.52760370412584</v>
      </c>
      <c r="CD30" s="893">
        <f t="shared" si="32"/>
        <v>0</v>
      </c>
      <c r="CE30" s="824">
        <v>8.15426847974502</v>
      </c>
      <c r="CF30" s="824">
        <v>10.7704744434713</v>
      </c>
      <c r="CG30" s="824">
        <v>12.3639389901145</v>
      </c>
      <c r="CH30" s="824">
        <v>10.6466484541989</v>
      </c>
      <c r="CI30" s="894">
        <v>10.8118977956183</v>
      </c>
    </row>
    <row r="31" ht="14.25" customHeight="1" spans="1:87" x14ac:dyDescent="0.25">
      <c r="A31" s="8"/>
      <c r="B31" s="8"/>
      <c r="C31" s="8" t="s">
        <v>1029</v>
      </c>
      <c r="D31" s="8"/>
      <c r="E31" s="774">
        <f>AVERAGE(M81:Q86)</f>
        <v>19.529759641899165</v>
      </c>
      <c r="F31" s="774">
        <f>AVERAGE(S81:W86)</f>
        <v>16.380966109863202</v>
      </c>
      <c r="G31" s="774">
        <f>AVERAGE(Y81:AC86)</f>
        <v>10.362570893288009</v>
      </c>
      <c r="H31" s="774">
        <f>AVERAGE(AE81:AI86)</f>
        <v>9.317961078718755</v>
      </c>
      <c r="I31" s="75">
        <f>IF(I30=4,1,I30+1)</f>
        <v>2</v>
      </c>
      <c r="J31" s="7">
        <f t="shared" si="27"/>
        <v>2011</v>
      </c>
      <c r="K31" s="341" t="str">
        <f t="shared" si="18"/>
        <v>2Q11</v>
      </c>
      <c r="L31" s="893">
        <v>73.2355870460663</v>
      </c>
      <c r="M31" s="824">
        <v>9.32202442098805</v>
      </c>
      <c r="N31" s="824"/>
      <c r="O31" s="824">
        <v>17.8688524590164</v>
      </c>
      <c r="P31" s="824"/>
      <c r="Q31" s="894"/>
      <c r="R31" s="893"/>
      <c r="S31" s="824">
        <v>10.6714175130573</v>
      </c>
      <c r="T31" s="824">
        <v>12.4937365381806</v>
      </c>
      <c r="U31" s="824">
        <v>11.6010888830827</v>
      </c>
      <c r="V31" s="824"/>
      <c r="W31" s="894"/>
      <c r="X31" s="893">
        <v>27.6696059486</v>
      </c>
      <c r="Y31" s="824">
        <v>9.72405686123904</v>
      </c>
      <c r="Z31" s="824">
        <v>90.1157341310289</v>
      </c>
      <c r="AA31" s="824">
        <v>10.9444899449723</v>
      </c>
      <c r="AB31" s="824"/>
      <c r="AC31" s="894"/>
      <c r="AD31" s="824"/>
      <c r="AE31" s="824">
        <v>15.4384310036032</v>
      </c>
      <c r="AF31" s="824">
        <v>8.49402185945429</v>
      </c>
      <c r="AG31" s="824">
        <v>8.57259565066591</v>
      </c>
      <c r="AH31" s="824"/>
      <c r="AI31" s="894"/>
      <c r="AJ31" s="8"/>
      <c r="AK31" s="341" t="str">
        <f t="shared" si="19"/>
        <v>2Q11</v>
      </c>
      <c r="AL31" s="893">
        <f t="shared" si="20"/>
        <v>73.2355870460663</v>
      </c>
      <c r="AM31" s="824">
        <v>15.3440233236152</v>
      </c>
      <c r="AN31" s="824">
        <v>13.7193211646154</v>
      </c>
      <c r="AO31" s="824">
        <v>18.2831325301205</v>
      </c>
      <c r="AP31" s="824">
        <v>17.4490196078431</v>
      </c>
      <c r="AQ31" s="894">
        <v>19.1538461538462</v>
      </c>
      <c r="AR31" s="893">
        <f t="shared" si="21"/>
        <v>0</v>
      </c>
      <c r="AS31" s="824">
        <v>15.1956113757759</v>
      </c>
      <c r="AT31" s="824">
        <v>13.8983966600429</v>
      </c>
      <c r="AU31" s="824">
        <v>18.6941792423776</v>
      </c>
      <c r="AV31" s="824">
        <v>17.5315208825847</v>
      </c>
      <c r="AW31" s="894">
        <v>16.8243243243243</v>
      </c>
      <c r="AX31" s="893">
        <f t="shared" si="22"/>
        <v>27.6696059486</v>
      </c>
      <c r="AY31" s="824">
        <v>8.24111235821925</v>
      </c>
      <c r="AZ31" s="824">
        <v>8.02423787510952</v>
      </c>
      <c r="BA31" s="824">
        <v>9.96072924776507</v>
      </c>
      <c r="BB31" s="824">
        <v>10.0980469559544</v>
      </c>
      <c r="BC31" s="894">
        <v>9.3325299750434</v>
      </c>
      <c r="BD31" s="893">
        <f t="shared" si="31"/>
        <v>0</v>
      </c>
      <c r="BE31" s="824">
        <v>7.97389754145216</v>
      </c>
      <c r="BF31" s="824">
        <v>7.72976976739138</v>
      </c>
      <c r="BG31" s="824">
        <v>8.71093614698981</v>
      </c>
      <c r="BH31" s="824">
        <v>9.15086981964502</v>
      </c>
      <c r="BI31" s="894">
        <v>8.56753479334558</v>
      </c>
      <c r="BJ31" s="8"/>
      <c r="BK31" s="341" t="str">
        <f t="shared" si="23"/>
        <v>2Q11</v>
      </c>
      <c r="BL31" s="893">
        <f t="shared" si="24"/>
        <v>73.2355870460663</v>
      </c>
      <c r="BM31" s="824">
        <v>13.512104283054</v>
      </c>
      <c r="BN31" s="824">
        <v>23.250936329588</v>
      </c>
      <c r="BO31" s="824">
        <v>15.7670749548673</v>
      </c>
      <c r="BP31" s="824">
        <v>16.1919309510472</v>
      </c>
      <c r="BQ31" s="894">
        <v>17.4748858447489</v>
      </c>
      <c r="BR31" s="893">
        <f t="shared" si="25"/>
        <v>0</v>
      </c>
      <c r="BS31" s="824">
        <v>13.4869888475836</v>
      </c>
      <c r="BT31" s="824">
        <v>18.594249201278</v>
      </c>
      <c r="BU31" s="824">
        <v>16.1676902894737</v>
      </c>
      <c r="BV31" s="824">
        <v>18.6433810568673</v>
      </c>
      <c r="BW31" s="894">
        <v>17.9967082059723</v>
      </c>
      <c r="BX31" s="893">
        <f t="shared" si="26"/>
        <v>27.6696059486</v>
      </c>
      <c r="BY31" s="824">
        <v>7.33406986274049</v>
      </c>
      <c r="BZ31" s="824">
        <v>10.3981517643782</v>
      </c>
      <c r="CA31" s="824">
        <v>10.9312546610151</v>
      </c>
      <c r="CB31" s="824">
        <v>11.3586064014464</v>
      </c>
      <c r="CC31" s="894">
        <v>6.90251803024707</v>
      </c>
      <c r="CD31" s="893">
        <f t="shared" si="32"/>
        <v>0</v>
      </c>
      <c r="CE31" s="824">
        <v>7.15781064029143</v>
      </c>
      <c r="CF31" s="824">
        <v>11.0079026660542</v>
      </c>
      <c r="CG31" s="824">
        <v>9.6792214411202</v>
      </c>
      <c r="CH31" s="824">
        <v>9.8381757631917</v>
      </c>
      <c r="CI31" s="894">
        <v>9.27720073675327</v>
      </c>
    </row>
    <row r="32" ht="14.25" customHeight="1" spans="1:87" x14ac:dyDescent="0.25">
      <c r="A32" s="8"/>
      <c r="B32" s="8"/>
      <c r="C32" s="8" t="s">
        <v>1025</v>
      </c>
      <c r="D32" s="8"/>
      <c r="E32" s="774">
        <f>AVERAGE(M77:Q86)</f>
        <v>16.109305430393988</v>
      </c>
      <c r="F32" s="774">
        <f>AVERAGE(S77:W86)</f>
        <v>14.648556818578749</v>
      </c>
      <c r="G32" s="774">
        <f>AVERAGE(Y77:AC86)</f>
        <v>8.822095221435566</v>
      </c>
      <c r="H32" s="774">
        <f>AVERAGE(AE77:AI86)</f>
        <v>9.622028651614787</v>
      </c>
      <c r="I32" s="75">
        <f>I28</f>
        <v>3</v>
      </c>
      <c r="J32" s="7">
        <f t="shared" si="27"/>
        <v>2011</v>
      </c>
      <c r="K32" s="341" t="str">
        <f t="shared" si="18"/>
        <v>3Q11</v>
      </c>
      <c r="L32" s="893">
        <v>4.25460878665738</v>
      </c>
      <c r="M32" s="824">
        <v>21.759213790184</v>
      </c>
      <c r="N32" s="824">
        <v>149.82750740372</v>
      </c>
      <c r="O32" s="824">
        <v>17.9530516431925</v>
      </c>
      <c r="P32" s="824"/>
      <c r="Q32" s="894"/>
      <c r="R32" s="893"/>
      <c r="S32" s="824">
        <v>7.43964117273536</v>
      </c>
      <c r="T32" s="824">
        <v>9.90294641230469</v>
      </c>
      <c r="U32" s="824">
        <v>9.8734039663135</v>
      </c>
      <c r="V32" s="824"/>
      <c r="W32" s="894"/>
      <c r="X32" s="893">
        <v>16.8201467662392</v>
      </c>
      <c r="Y32" s="824">
        <v>12.1148298680988</v>
      </c>
      <c r="Z32" s="824">
        <v>41.2745459282785</v>
      </c>
      <c r="AA32" s="824">
        <v>9.17854988083426</v>
      </c>
      <c r="AB32" s="824"/>
      <c r="AC32" s="894"/>
      <c r="AD32" s="824"/>
      <c r="AE32" s="824">
        <v>14.5908948043333</v>
      </c>
      <c r="AF32" s="824">
        <v>10.596839380454</v>
      </c>
      <c r="AG32" s="824">
        <v>7.30787347020481</v>
      </c>
      <c r="AH32" s="824"/>
      <c r="AI32" s="894"/>
      <c r="AJ32" s="8"/>
      <c r="AK32" s="341" t="str">
        <f t="shared" si="19"/>
        <v>3Q11</v>
      </c>
      <c r="AL32" s="893">
        <f t="shared" si="20"/>
        <v>4.25460878665738</v>
      </c>
      <c r="AM32" s="824">
        <v>13.7916666666667</v>
      </c>
      <c r="AN32" s="824">
        <v>14.4646541801229</v>
      </c>
      <c r="AO32" s="824">
        <v>18.2514124293785</v>
      </c>
      <c r="AP32" s="824">
        <v>15.297247706422</v>
      </c>
      <c r="AQ32" s="894">
        <v>18.6634615384615</v>
      </c>
      <c r="AR32" s="893">
        <f t="shared" si="21"/>
        <v>0</v>
      </c>
      <c r="AS32" s="824">
        <v>13.4771986970684</v>
      </c>
      <c r="AT32" s="824">
        <v>12.3404741956294</v>
      </c>
      <c r="AU32" s="824">
        <v>16.664947124065</v>
      </c>
      <c r="AV32" s="824">
        <v>14.4890510948905</v>
      </c>
      <c r="AW32" s="894">
        <v>13.7855113636364</v>
      </c>
      <c r="AX32" s="893">
        <f t="shared" si="22"/>
        <v>16.8201467662392</v>
      </c>
      <c r="AY32" s="824">
        <v>7.5082358060283</v>
      </c>
      <c r="AZ32" s="824">
        <v>8.52486044129458</v>
      </c>
      <c r="BA32" s="824">
        <v>10.3114736638174</v>
      </c>
      <c r="BB32" s="824">
        <v>8.98015145446268</v>
      </c>
      <c r="BC32" s="894">
        <v>9.08579678005642</v>
      </c>
      <c r="BD32" s="893">
        <f t="shared" si="31"/>
        <v>0</v>
      </c>
      <c r="BE32" s="824">
        <v>7.44225321565274</v>
      </c>
      <c r="BF32" s="824">
        <v>7.58233332727495</v>
      </c>
      <c r="BG32" s="824">
        <v>9.37739082369275</v>
      </c>
      <c r="BH32" s="824">
        <v>8.58421079389026</v>
      </c>
      <c r="BI32" s="894">
        <v>8.06478592151889</v>
      </c>
      <c r="BJ32" s="8"/>
      <c r="BK32" s="341" t="str">
        <f t="shared" si="23"/>
        <v>3Q11</v>
      </c>
      <c r="BL32" s="893">
        <f t="shared" si="24"/>
        <v>4.25460878665738</v>
      </c>
      <c r="BM32" s="824">
        <v>14.005366726297</v>
      </c>
      <c r="BN32" s="824">
        <v>18.6419466975666</v>
      </c>
      <c r="BO32" s="824">
        <v>16.0251866279279</v>
      </c>
      <c r="BP32" s="824">
        <v>14.024015011101</v>
      </c>
      <c r="BQ32" s="894">
        <v>15.15859030837</v>
      </c>
      <c r="BR32" s="893">
        <f t="shared" si="25"/>
        <v>0</v>
      </c>
      <c r="BS32" s="824">
        <v>13.1403155421282</v>
      </c>
      <c r="BT32" s="824">
        <v>15.4811393379523</v>
      </c>
      <c r="BU32" s="824">
        <v>14.6523535065898</v>
      </c>
      <c r="BV32" s="824">
        <v>14.2851003969459</v>
      </c>
      <c r="BW32" s="894">
        <v>14.1546688605512</v>
      </c>
      <c r="BX32" s="893">
        <f t="shared" si="26"/>
        <v>16.8201467662392</v>
      </c>
      <c r="BY32" s="824">
        <v>7.58359118671717</v>
      </c>
      <c r="BZ32" s="824">
        <v>8.82653249435534</v>
      </c>
      <c r="CA32" s="824">
        <v>10.8670026348689</v>
      </c>
      <c r="CB32" s="824">
        <v>10.0792752371108</v>
      </c>
      <c r="CC32" s="894">
        <v>6.17659738967299</v>
      </c>
      <c r="CD32" s="893">
        <f t="shared" si="32"/>
        <v>0</v>
      </c>
      <c r="CE32" s="824">
        <v>7.96814530662271</v>
      </c>
      <c r="CF32" s="824">
        <v>9.57449076073544</v>
      </c>
      <c r="CG32" s="824">
        <v>9.11535440583849</v>
      </c>
      <c r="CH32" s="824">
        <v>9.0013095935908</v>
      </c>
      <c r="CI32" s="894">
        <v>8.36843695719435</v>
      </c>
    </row>
    <row r="33" ht="14.25" customHeight="1" spans="1:87" x14ac:dyDescent="0.25">
      <c r="A33" s="8"/>
      <c r="B33" s="8"/>
      <c r="C33" s="8" t="s">
        <v>1028</v>
      </c>
      <c r="D33" s="8"/>
      <c r="E33" s="774">
        <f>AVERAGE(M73:Q86)</f>
        <v>15.101431179212733</v>
      </c>
      <c r="F33" s="774">
        <f>AVERAGE(S73:W86)</f>
        <v>13.59608394778371</v>
      </c>
      <c r="G33" s="774">
        <f>AVERAGE(Y73:AC86)</f>
        <v>8.453637479943648</v>
      </c>
      <c r="H33" s="774">
        <f>AVERAGE(AE73:AI86)</f>
        <v>10.302954713299005</v>
      </c>
      <c r="I33" s="75">
        <f>IF(I32=4,1,I32+1)</f>
        <v>4</v>
      </c>
      <c r="J33" s="7">
        <f t="shared" si="27"/>
        <v>2011</v>
      </c>
      <c r="K33" s="341" t="str">
        <f t="shared" si="18"/>
        <v>4Q11</v>
      </c>
      <c r="L33" s="893">
        <v>4.44362054677509</v>
      </c>
      <c r="M33" s="824">
        <v>6.34661179927876</v>
      </c>
      <c r="N33" s="824">
        <v>195.398206942648</v>
      </c>
      <c r="O33" s="824">
        <v>13.8577586206897</v>
      </c>
      <c r="P33" s="824"/>
      <c r="Q33" s="894"/>
      <c r="R33" s="893"/>
      <c r="S33" s="824">
        <v>10.3909465020576</v>
      </c>
      <c r="T33" s="824">
        <v>13.0949948927477</v>
      </c>
      <c r="U33" s="824">
        <v>11.4716945641234</v>
      </c>
      <c r="V33" s="824"/>
      <c r="W33" s="894"/>
      <c r="X33" s="893">
        <v>16.9945541846243</v>
      </c>
      <c r="Y33" s="824">
        <v>7.35321233640382</v>
      </c>
      <c r="Z33" s="824">
        <v>31.4943725227659</v>
      </c>
      <c r="AA33" s="824">
        <v>7.05737599909153</v>
      </c>
      <c r="AB33" s="824"/>
      <c r="AC33" s="894"/>
      <c r="AD33" s="824"/>
      <c r="AE33" s="824">
        <v>17.7840066297148</v>
      </c>
      <c r="AF33" s="824">
        <v>12.5617652481038</v>
      </c>
      <c r="AG33" s="824">
        <v>8.94121334051941</v>
      </c>
      <c r="AH33" s="824"/>
      <c r="AI33" s="894"/>
      <c r="AJ33" s="8"/>
      <c r="AK33" s="341" t="str">
        <f t="shared" si="19"/>
        <v>4Q11</v>
      </c>
      <c r="AL33" s="893">
        <f t="shared" si="20"/>
        <v>4.44362054677509</v>
      </c>
      <c r="AM33" s="824">
        <v>13.0330250990753</v>
      </c>
      <c r="AN33" s="824">
        <v>12.3103857018256</v>
      </c>
      <c r="AO33" s="824">
        <v>15.048128342246</v>
      </c>
      <c r="AP33" s="824">
        <v>14.7978910369069</v>
      </c>
      <c r="AQ33" s="894">
        <v>16.1496350364963</v>
      </c>
      <c r="AR33" s="893">
        <f t="shared" si="21"/>
        <v>0</v>
      </c>
      <c r="AS33" s="824">
        <v>13.2518468770987</v>
      </c>
      <c r="AT33" s="824">
        <v>11.8143277224061</v>
      </c>
      <c r="AU33" s="824">
        <v>14.3534812547819</v>
      </c>
      <c r="AV33" s="824">
        <v>14.2518618821936</v>
      </c>
      <c r="AW33" s="894">
        <v>12.6068376068376</v>
      </c>
      <c r="AX33" s="893">
        <f t="shared" si="22"/>
        <v>16.9945541846243</v>
      </c>
      <c r="AY33" s="824">
        <v>7.13845427889995</v>
      </c>
      <c r="AZ33" s="824">
        <v>7.2858484195114</v>
      </c>
      <c r="BA33" s="824">
        <v>8.56023963831996</v>
      </c>
      <c r="BB33" s="824">
        <v>8.52483697498763</v>
      </c>
      <c r="BC33" s="894">
        <v>8.51204820813631</v>
      </c>
      <c r="BD33" s="893">
        <f t="shared" si="31"/>
        <v>0</v>
      </c>
      <c r="BE33" s="824">
        <v>7.17551512396366</v>
      </c>
      <c r="BF33" s="824">
        <v>7.07841661921764</v>
      </c>
      <c r="BG33" s="824">
        <v>7.97209442218629</v>
      </c>
      <c r="BH33" s="824">
        <v>8.23352538970197</v>
      </c>
      <c r="BI33" s="894">
        <v>8.00985159188212</v>
      </c>
      <c r="BJ33" s="8"/>
      <c r="BK33" s="341" t="str">
        <f t="shared" si="23"/>
        <v>4Q11</v>
      </c>
      <c r="BL33" s="893">
        <f t="shared" si="24"/>
        <v>4.44362054677509</v>
      </c>
      <c r="BM33" s="824">
        <v>12.1215106732348</v>
      </c>
      <c r="BN33" s="824">
        <v>15.3631522896699</v>
      </c>
      <c r="BO33" s="824">
        <v>11.4534820830357</v>
      </c>
      <c r="BP33" s="824">
        <v>11.7898232831689</v>
      </c>
      <c r="BQ33" s="894">
        <v>13.0168776371308</v>
      </c>
      <c r="BR33" s="893">
        <f t="shared" si="25"/>
        <v>0</v>
      </c>
      <c r="BS33" s="824">
        <v>12.1996364237316</v>
      </c>
      <c r="BT33" s="824">
        <v>14.2156089869925</v>
      </c>
      <c r="BU33" s="824">
        <v>11.5879854859982</v>
      </c>
      <c r="BV33" s="824">
        <v>12.6164160594796</v>
      </c>
      <c r="BW33" s="894">
        <v>12.6046986721144</v>
      </c>
      <c r="BX33" s="893">
        <f t="shared" si="26"/>
        <v>16.9945541846243</v>
      </c>
      <c r="BY33" s="824">
        <v>6.76726294065942</v>
      </c>
      <c r="BZ33" s="824">
        <v>7.10345359639207</v>
      </c>
      <c r="CA33" s="824">
        <v>7.78108940528903</v>
      </c>
      <c r="CB33" s="824">
        <v>8.89386809611559</v>
      </c>
      <c r="CC33" s="894">
        <v>7.83430844388233</v>
      </c>
      <c r="CD33" s="893">
        <f t="shared" si="32"/>
        <v>0</v>
      </c>
      <c r="CE33" s="824">
        <v>7.42775735230166</v>
      </c>
      <c r="CF33" s="824">
        <v>8.32214301402676</v>
      </c>
      <c r="CG33" s="824">
        <v>7.3101900362287</v>
      </c>
      <c r="CH33" s="824">
        <v>8.08381866379652</v>
      </c>
      <c r="CI33" s="894">
        <v>7.55503811116955</v>
      </c>
    </row>
    <row r="34" ht="14.25" customHeight="1" spans="1:87" x14ac:dyDescent="0.25">
      <c r="A34" s="8"/>
      <c r="B34" s="8"/>
      <c r="C34" s="8" t="s">
        <v>1031</v>
      </c>
      <c r="D34" s="8"/>
      <c r="E34" s="774">
        <f>AVERAGE(M65:Q86)</f>
        <v>14.392210177944337</v>
      </c>
      <c r="F34" s="774">
        <f>AVERAGE(S65:W86)</f>
        <v>13.452504978876982</v>
      </c>
      <c r="G34" s="774">
        <f>AVERAGE(Y65:AC86)</f>
        <v>8.422939256539495</v>
      </c>
      <c r="H34" s="774">
        <f>AVERAGE(AE65:AI86)</f>
        <v>10.834045195174026</v>
      </c>
      <c r="I34" s="75">
        <f>IF(I33+1=5,1,I33+1)</f>
        <v>1</v>
      </c>
      <c r="J34" s="7">
        <f t="shared" si="27"/>
        <v>2012</v>
      </c>
      <c r="K34" s="341" t="str">
        <f t="shared" si="18"/>
        <v>1Q12</v>
      </c>
      <c r="L34" s="893">
        <v>2.33777869722322</v>
      </c>
      <c r="M34" s="824">
        <v>3.7911545365932</v>
      </c>
      <c r="N34" s="824">
        <v>110.359040840324</v>
      </c>
      <c r="O34" s="824">
        <v>11.7466063348416</v>
      </c>
      <c r="P34" s="824"/>
      <c r="Q34" s="894"/>
      <c r="R34" s="893"/>
      <c r="S34" s="824">
        <v>14.0224040440684</v>
      </c>
      <c r="T34" s="824">
        <v>14.8575334385861</v>
      </c>
      <c r="U34" s="824">
        <v>13.3355636868444</v>
      </c>
      <c r="V34" s="824"/>
      <c r="W34" s="894"/>
      <c r="X34" s="893">
        <v>5.94931720525379</v>
      </c>
      <c r="Y34" s="824">
        <v>6.77345492253879</v>
      </c>
      <c r="Z34" s="824">
        <v>21.2936602543132</v>
      </c>
      <c r="AA34" s="824">
        <v>5.58712581155071</v>
      </c>
      <c r="AB34" s="824"/>
      <c r="AC34" s="894"/>
      <c r="AD34" s="824"/>
      <c r="AE34" s="824">
        <v>15.8511177226333</v>
      </c>
      <c r="AF34" s="824">
        <v>14.7125295926585</v>
      </c>
      <c r="AG34" s="824">
        <v>9.07314775753326</v>
      </c>
      <c r="AH34" s="824"/>
      <c r="AI34" s="894"/>
      <c r="AJ34" s="8"/>
      <c r="AK34" s="341" t="str">
        <f t="shared" si="19"/>
        <v>1Q12</v>
      </c>
      <c r="AL34" s="893">
        <f t="shared" si="20"/>
        <v>2.33777869722322</v>
      </c>
      <c r="AM34" s="824">
        <v>14.2613784135241</v>
      </c>
      <c r="AN34" s="824">
        <v>10.9403486187251</v>
      </c>
      <c r="AO34" s="824">
        <v>13.6310164596243</v>
      </c>
      <c r="AP34" s="824">
        <v>12.3939393939394</v>
      </c>
      <c r="AQ34" s="894">
        <v>15.036496350365</v>
      </c>
      <c r="AR34" s="893">
        <f t="shared" si="21"/>
        <v>0</v>
      </c>
      <c r="AS34" s="824">
        <v>14.1894164833743</v>
      </c>
      <c r="AT34" s="824">
        <v>10.6953359427459</v>
      </c>
      <c r="AU34" s="824">
        <v>13.3708145927036</v>
      </c>
      <c r="AV34" s="824">
        <v>12.0274464956706</v>
      </c>
      <c r="AW34" s="894">
        <v>11.2568306010929</v>
      </c>
      <c r="AX34" s="893">
        <f t="shared" si="22"/>
        <v>5.94931720525379</v>
      </c>
      <c r="AY34" s="824">
        <v>7.63722758727173</v>
      </c>
      <c r="AZ34" s="824">
        <v>6.5458498682913</v>
      </c>
      <c r="BA34" s="824">
        <v>7.38488673506552</v>
      </c>
      <c r="BB34" s="824">
        <v>7.15096702293113</v>
      </c>
      <c r="BC34" s="894">
        <v>7.94865866056743</v>
      </c>
      <c r="BD34" s="893">
        <f t="shared" si="31"/>
        <v>0</v>
      </c>
      <c r="BE34" s="824">
        <v>7.65709577706541</v>
      </c>
      <c r="BF34" s="824">
        <v>6.31387809328918</v>
      </c>
      <c r="BG34" s="824">
        <v>7.29278151519314</v>
      </c>
      <c r="BH34" s="824">
        <v>7.04444582656831</v>
      </c>
      <c r="BI34" s="894">
        <v>7.05981330295993</v>
      </c>
      <c r="BJ34" s="8"/>
      <c r="BK34" s="341" t="str">
        <f t="shared" si="23"/>
        <v>1Q12</v>
      </c>
      <c r="BL34" s="893">
        <f t="shared" si="24"/>
        <v>2.33777869722322</v>
      </c>
      <c r="BM34" s="824">
        <v>9.80263157894737</v>
      </c>
      <c r="BN34" s="824">
        <v>10.2484472049689</v>
      </c>
      <c r="BO34" s="824">
        <v>11.5079392957746</v>
      </c>
      <c r="BP34" s="824">
        <v>8.52493561532834</v>
      </c>
      <c r="BQ34" s="894">
        <v>12.1578947368421</v>
      </c>
      <c r="BR34" s="893">
        <f t="shared" si="25"/>
        <v>0</v>
      </c>
      <c r="BS34" s="824">
        <v>9.80101956914981</v>
      </c>
      <c r="BT34" s="824">
        <v>10.116492949111</v>
      </c>
      <c r="BU34" s="824">
        <v>12.1166142857143</v>
      </c>
      <c r="BV34" s="824">
        <v>10.3440641357541</v>
      </c>
      <c r="BW34" s="894">
        <v>12.1406913280776</v>
      </c>
      <c r="BX34" s="893">
        <f t="shared" si="26"/>
        <v>5.94931720525379</v>
      </c>
      <c r="BY34" s="824">
        <v>5.8776212254061</v>
      </c>
      <c r="BZ34" s="824">
        <v>4.76372495848693</v>
      </c>
      <c r="CA34" s="824">
        <v>7.59923687527338</v>
      </c>
      <c r="CB34" s="824">
        <v>8.4334234393286</v>
      </c>
      <c r="CC34" s="894">
        <v>7.37840266412968</v>
      </c>
      <c r="CD34" s="893">
        <f t="shared" si="32"/>
        <v>0</v>
      </c>
      <c r="CE34" s="824">
        <v>6.22487769295433</v>
      </c>
      <c r="CF34" s="824">
        <v>5.71660154479643</v>
      </c>
      <c r="CG34" s="824">
        <v>7.06802129940095</v>
      </c>
      <c r="CH34" s="824">
        <v>7.00106176187648</v>
      </c>
      <c r="CI34" s="894">
        <v>7.14659152822386</v>
      </c>
    </row>
    <row r="35" ht="14.25" customHeight="1" spans="1:87" x14ac:dyDescent="0.25">
      <c r="A35" s="8"/>
      <c r="B35" s="8"/>
      <c r="C35" s="892" t="s">
        <v>1061</v>
      </c>
      <c r="D35" s="892"/>
      <c r="E35" s="892"/>
      <c r="F35" s="892"/>
      <c r="G35" s="892"/>
      <c r="H35" s="892"/>
      <c r="I35" s="75">
        <f>IF(I34=4,1,I34+1)</f>
        <v>2</v>
      </c>
      <c r="J35" s="7">
        <f t="shared" si="27"/>
        <v>2012</v>
      </c>
      <c r="K35" s="341" t="str">
        <f t="shared" si="18"/>
        <v>2Q12</v>
      </c>
      <c r="L35" s="893">
        <v>3.20125537885718</v>
      </c>
      <c r="M35" s="824">
        <v>11.1071826631175</v>
      </c>
      <c r="N35" s="824">
        <v>14.3372350295557</v>
      </c>
      <c r="O35" s="824">
        <v>14.1369863013699</v>
      </c>
      <c r="P35" s="824"/>
      <c r="Q35" s="894"/>
      <c r="R35" s="893"/>
      <c r="S35" s="824">
        <v>11.7996551726088</v>
      </c>
      <c r="T35" s="824">
        <v>11.8128257381051</v>
      </c>
      <c r="U35" s="824">
        <v>12.1310227412539</v>
      </c>
      <c r="V35" s="824"/>
      <c r="W35" s="894"/>
      <c r="X35" s="893">
        <v>5.6084085809796</v>
      </c>
      <c r="Y35" s="824">
        <v>11.6255673353105</v>
      </c>
      <c r="Z35" s="824">
        <v>8.1471001361656</v>
      </c>
      <c r="AA35" s="824">
        <v>5.50343782463998</v>
      </c>
      <c r="AB35" s="824"/>
      <c r="AC35" s="894"/>
      <c r="AD35" s="824"/>
      <c r="AE35" s="824">
        <v>16.0100672521816</v>
      </c>
      <c r="AF35" s="824">
        <v>13.6028521229502</v>
      </c>
      <c r="AG35" s="824">
        <v>10.823472353573</v>
      </c>
      <c r="AH35" s="824"/>
      <c r="AI35" s="894"/>
      <c r="AJ35" s="8"/>
      <c r="AK35" s="341" t="str">
        <f t="shared" si="19"/>
        <v>2Q12</v>
      </c>
      <c r="AL35" s="893">
        <f t="shared" si="20"/>
        <v>3.20125537885718</v>
      </c>
      <c r="AM35" s="824">
        <v>10.8211068211068</v>
      </c>
      <c r="AN35" s="824">
        <v>21.9437661740064</v>
      </c>
      <c r="AO35" s="824">
        <v>12.4621362504108</v>
      </c>
      <c r="AP35" s="824">
        <v>9.37947882736156</v>
      </c>
      <c r="AQ35" s="894">
        <v>7.59576612903226</v>
      </c>
      <c r="AR35" s="893">
        <f t="shared" si="21"/>
        <v>0</v>
      </c>
      <c r="AS35" s="824">
        <v>10.8883708883709</v>
      </c>
      <c r="AT35" s="824">
        <v>7.85453529719339</v>
      </c>
      <c r="AU35" s="824">
        <v>12.6493184634449</v>
      </c>
      <c r="AV35" s="824">
        <v>9.32631578947369</v>
      </c>
      <c r="AW35" s="894">
        <v>10.0199468085106</v>
      </c>
      <c r="AX35" s="893">
        <f t="shared" si="22"/>
        <v>5.6084085809796</v>
      </c>
      <c r="AY35" s="824">
        <v>5.90011760747417</v>
      </c>
      <c r="AZ35" s="824">
        <v>4.82447464821243</v>
      </c>
      <c r="BA35" s="824">
        <v>7.14185113877008</v>
      </c>
      <c r="BB35" s="824">
        <v>6.06203857526081</v>
      </c>
      <c r="BC35" s="894">
        <v>5.50760434172874</v>
      </c>
      <c r="BD35" s="893">
        <f t="shared" si="31"/>
        <v>0</v>
      </c>
      <c r="BE35" s="824">
        <v>6.03087847680449</v>
      </c>
      <c r="BF35" s="824">
        <v>4.62504773738436</v>
      </c>
      <c r="BG35" s="824">
        <v>6.2991772819749</v>
      </c>
      <c r="BH35" s="824">
        <v>5.53833867354741</v>
      </c>
      <c r="BI35" s="894">
        <v>5.70512358787155</v>
      </c>
      <c r="BJ35" s="8"/>
      <c r="BK35" s="341" t="str">
        <f t="shared" si="23"/>
        <v>2Q12</v>
      </c>
      <c r="BL35" s="893">
        <f t="shared" si="24"/>
        <v>3.20125537885718</v>
      </c>
      <c r="BM35" s="824">
        <v>7.89222614840989</v>
      </c>
      <c r="BN35" s="824">
        <v>8.01673640167364</v>
      </c>
      <c r="BO35" s="824">
        <v>7.98578086153846</v>
      </c>
      <c r="BP35" s="824">
        <v>6.70691845599802</v>
      </c>
      <c r="BQ35" s="894">
        <v>10.784708249497</v>
      </c>
      <c r="BR35" s="893">
        <f t="shared" si="25"/>
        <v>0</v>
      </c>
      <c r="BS35" s="824">
        <v>7.57118644067797</v>
      </c>
      <c r="BT35" s="824">
        <v>8.47600088476001</v>
      </c>
      <c r="BU35" s="824">
        <v>8.1487559811617</v>
      </c>
      <c r="BV35" s="824">
        <v>8.31229787365712</v>
      </c>
      <c r="BW35" s="894">
        <v>10.9387755102041</v>
      </c>
      <c r="BX35" s="893">
        <f t="shared" si="26"/>
        <v>5.6084085809796</v>
      </c>
      <c r="BY35" s="824">
        <v>4.30281119062126</v>
      </c>
      <c r="BZ35" s="824">
        <v>3.84144099267505</v>
      </c>
      <c r="CA35" s="824">
        <v>5.64581306397784</v>
      </c>
      <c r="CB35" s="824">
        <v>6.80370302620347</v>
      </c>
      <c r="CC35" s="894">
        <v>6.62475062506113</v>
      </c>
      <c r="CD35" s="893">
        <f t="shared" si="32"/>
        <v>0</v>
      </c>
      <c r="CE35" s="824">
        <v>6.17013682805112</v>
      </c>
      <c r="CF35" s="824">
        <v>4.79104348371169</v>
      </c>
      <c r="CG35" s="824">
        <v>4.54697852739125</v>
      </c>
      <c r="CH35" s="824">
        <v>6.34376169566361</v>
      </c>
      <c r="CI35" s="894">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3"/>
      <c r="M36" s="824">
        <v>25.4022661646013</v>
      </c>
      <c r="N36" s="824">
        <v>18.7586660922734</v>
      </c>
      <c r="O36" s="824">
        <v>17.5625</v>
      </c>
      <c r="P36" s="824"/>
      <c r="Q36" s="894"/>
      <c r="R36" s="893"/>
      <c r="S36" s="824">
        <v>12.9149431499699</v>
      </c>
      <c r="T36" s="824">
        <v>13.5408763358161</v>
      </c>
      <c r="U36" s="824">
        <v>11.9844676067852</v>
      </c>
      <c r="V36" s="824"/>
      <c r="W36" s="894"/>
      <c r="X36" s="893">
        <v>9.94732061420073</v>
      </c>
      <c r="Y36" s="824">
        <v>13.2384581989451</v>
      </c>
      <c r="Z36" s="824">
        <v>9.97121087189067</v>
      </c>
      <c r="AA36" s="824">
        <v>8.41939226001951</v>
      </c>
      <c r="AB36" s="824"/>
      <c r="AC36" s="894"/>
      <c r="AD36" s="824"/>
      <c r="AE36" s="824">
        <v>14.0235481296895</v>
      </c>
      <c r="AF36" s="824">
        <v>12.6666079798329</v>
      </c>
      <c r="AG36" s="824">
        <v>9.82138670994261</v>
      </c>
      <c r="AH36" s="824"/>
      <c r="AI36" s="894"/>
      <c r="AJ36" s="8"/>
      <c r="AK36" s="341" t="str">
        <f t="shared" si="19"/>
        <v>3Q12</v>
      </c>
      <c r="AL36" s="893">
        <f t="shared" si="20"/>
        <v>0</v>
      </c>
      <c r="AM36" s="824">
        <v>8.94170984455958</v>
      </c>
      <c r="AN36" s="824">
        <v>18.143558</v>
      </c>
      <c r="AO36" s="824">
        <v>9.14879335309855</v>
      </c>
      <c r="AP36" s="824">
        <v>6.77361563517915</v>
      </c>
      <c r="AQ36" s="894">
        <v>6.74395161290323</v>
      </c>
      <c r="AR36" s="893">
        <f t="shared" si="21"/>
        <v>0</v>
      </c>
      <c r="AS36" s="824">
        <v>9.4007898679014</v>
      </c>
      <c r="AT36" s="824">
        <v>8.16609809323432</v>
      </c>
      <c r="AU36" s="824">
        <v>8.41945945945946</v>
      </c>
      <c r="AV36" s="824">
        <v>6.82810704317846</v>
      </c>
      <c r="AW36" s="894">
        <v>8.06024096385542</v>
      </c>
      <c r="AX36" s="893">
        <f t="shared" si="22"/>
        <v>9.94732061420073</v>
      </c>
      <c r="AY36" s="824">
        <v>4.89790121018937</v>
      </c>
      <c r="AZ36" s="824">
        <v>4.62200946967527</v>
      </c>
      <c r="BA36" s="824">
        <v>5.07124184961911</v>
      </c>
      <c r="BB36" s="824">
        <v>4.50233671413515</v>
      </c>
      <c r="BC36" s="894">
        <v>4.90204376382567</v>
      </c>
      <c r="BD36" s="893">
        <f t="shared" si="31"/>
        <v>0</v>
      </c>
      <c r="BE36" s="824">
        <v>5.2630583207003</v>
      </c>
      <c r="BF36" s="824">
        <v>4.9107333603228</v>
      </c>
      <c r="BG36" s="824">
        <v>4.76823874635809</v>
      </c>
      <c r="BH36" s="824">
        <v>4.5585638192333</v>
      </c>
      <c r="BI36" s="894">
        <v>4.8074347810977</v>
      </c>
      <c r="BJ36" s="8"/>
      <c r="BK36" s="341" t="str">
        <f t="shared" si="23"/>
        <v>3Q12</v>
      </c>
      <c r="BL36" s="893">
        <f t="shared" si="24"/>
        <v>0</v>
      </c>
      <c r="BM36" s="824">
        <v>6.06261010977097</v>
      </c>
      <c r="BN36" s="824">
        <v>7.29854559770248</v>
      </c>
      <c r="BO36" s="824">
        <v>5.51742027483059</v>
      </c>
      <c r="BP36" s="824">
        <v>6.20276365659083</v>
      </c>
      <c r="BQ36" s="894">
        <v>8.96724015554344</v>
      </c>
      <c r="BR36" s="893">
        <f t="shared" si="25"/>
        <v>0</v>
      </c>
      <c r="BS36" s="824">
        <v>13.1576470588235</v>
      </c>
      <c r="BT36" s="824">
        <v>10.2303143479614</v>
      </c>
      <c r="BU36" s="824">
        <v>10.0395161714876</v>
      </c>
      <c r="BV36" s="824">
        <v>8.64779520486701</v>
      </c>
      <c r="BW36" s="894">
        <v>10.3069544364508</v>
      </c>
      <c r="BX36" s="893">
        <f t="shared" si="26"/>
        <v>9.94732061420073</v>
      </c>
      <c r="BY36" s="824">
        <v>3.7364763015806</v>
      </c>
      <c r="BZ36" s="824">
        <v>3.66001445821772</v>
      </c>
      <c r="CA36" s="824">
        <v>4.34125575482718</v>
      </c>
      <c r="CB36" s="824">
        <v>6.51077564649239</v>
      </c>
      <c r="CC36" s="894">
        <v>5.76187677861997</v>
      </c>
      <c r="CD36" s="893">
        <f t="shared" si="32"/>
        <v>0</v>
      </c>
      <c r="CE36" s="824">
        <v>6.63022308926675</v>
      </c>
      <c r="CF36" s="824">
        <v>5.85000314803948</v>
      </c>
      <c r="CG36" s="824">
        <v>4.72919234884656</v>
      </c>
      <c r="CH36" s="824">
        <v>5.90416055786468</v>
      </c>
      <c r="CI36" s="894">
        <v>6.27194697572948</v>
      </c>
    </row>
    <row r="37" ht="14.25" customHeight="1" spans="1:87" x14ac:dyDescent="0.25">
      <c r="A37" s="8"/>
      <c r="B37" s="8"/>
      <c r="C37" s="8" t="s">
        <v>1062</v>
      </c>
      <c r="D37" s="8"/>
      <c r="E37" s="774">
        <f>AVERAGE(M8:Q75)</f>
        <v>19.040111453502846</v>
      </c>
      <c r="F37" s="774">
        <f>AVERAGE(S8:W75)</f>
        <v>14.617742299174665</v>
      </c>
      <c r="G37" s="774">
        <f>AVERAGE(Y8:AC75)</f>
        <v>11.113729860812118</v>
      </c>
      <c r="H37" s="774">
        <f>AVERAGE(AE8:AI75)</f>
        <v>10.409100801272103</v>
      </c>
      <c r="I37" s="75">
        <f>IF(I36=4,1,I36+1)</f>
        <v>4</v>
      </c>
      <c r="J37" s="7">
        <f t="shared" si="27"/>
        <v>2012</v>
      </c>
      <c r="K37" s="341" t="str">
        <f t="shared" si="18"/>
        <v>4Q12</v>
      </c>
      <c r="L37" s="893">
        <v>8.86927351265155</v>
      </c>
      <c r="M37" s="824">
        <v>39.0798309376157</v>
      </c>
      <c r="N37" s="824">
        <v>15.1414920984932</v>
      </c>
      <c r="O37" s="824">
        <v>16.6412560260156</v>
      </c>
      <c r="P37" s="824"/>
      <c r="Q37" s="894"/>
      <c r="R37" s="893"/>
      <c r="S37" s="824">
        <v>13.8193548387097</v>
      </c>
      <c r="T37" s="824">
        <v>12.5618860510805</v>
      </c>
      <c r="U37" s="824">
        <v>12.1128562015788</v>
      </c>
      <c r="V37" s="824"/>
      <c r="W37" s="894"/>
      <c r="X37" s="893">
        <v>5.32612082969088</v>
      </c>
      <c r="Y37" s="824">
        <v>16.4272596027717</v>
      </c>
      <c r="Z37" s="824">
        <v>8.76775354820775</v>
      </c>
      <c r="AA37" s="824">
        <v>7.59191444193681</v>
      </c>
      <c r="AB37" s="824"/>
      <c r="AC37" s="894"/>
      <c r="AD37" s="824"/>
      <c r="AE37" s="824"/>
      <c r="AF37" s="824"/>
      <c r="AG37" s="824"/>
      <c r="AH37" s="824"/>
      <c r="AI37" s="894"/>
      <c r="AJ37" s="8"/>
      <c r="AK37" s="341" t="str">
        <f t="shared" si="19"/>
        <v>4Q12</v>
      </c>
      <c r="AL37" s="893">
        <f t="shared" si="20"/>
        <v>8.86927351265155</v>
      </c>
      <c r="AM37" s="824">
        <v>10.8400537634409</v>
      </c>
      <c r="AN37" s="824">
        <v>20.8031558594378</v>
      </c>
      <c r="AO37" s="824">
        <v>9.88465235857861</v>
      </c>
      <c r="AP37" s="824">
        <v>8.8482428115016</v>
      </c>
      <c r="AQ37" s="894">
        <v>10.9902597402597</v>
      </c>
      <c r="AR37" s="893">
        <f t="shared" si="21"/>
        <v>0</v>
      </c>
      <c r="AS37" s="824">
        <v>10.8810037776579</v>
      </c>
      <c r="AT37" s="824">
        <v>8.3497655595406</v>
      </c>
      <c r="AU37" s="824">
        <v>9.41712590080543</v>
      </c>
      <c r="AV37" s="824">
        <v>9.01823510257245</v>
      </c>
      <c r="AW37" s="894">
        <v>8.05952380952381</v>
      </c>
      <c r="AX37" s="893">
        <f t="shared" si="22"/>
        <v>5.32612082969088</v>
      </c>
      <c r="AY37" s="824">
        <v>5.82167252554598</v>
      </c>
      <c r="AZ37" s="824">
        <v>5.04100180226023</v>
      </c>
      <c r="BA37" s="824">
        <v>5.51825909288744</v>
      </c>
      <c r="BB37" s="824">
        <v>5.75990533872074</v>
      </c>
      <c r="BC37" s="894">
        <v>4.63550797149717</v>
      </c>
      <c r="BD37" s="893">
        <f t="shared" si="31"/>
        <v>0</v>
      </c>
      <c r="BE37" s="824">
        <v>5.95575380710775</v>
      </c>
      <c r="BF37" s="824">
        <v>5.05876329563125</v>
      </c>
      <c r="BG37" s="824">
        <v>5.28198572877306</v>
      </c>
      <c r="BH37" s="824">
        <v>5.86429997708341</v>
      </c>
      <c r="BI37" s="894">
        <v>4.71638627172521</v>
      </c>
      <c r="BJ37" s="8"/>
      <c r="BK37" s="341" t="str">
        <f t="shared" si="23"/>
        <v>4Q12</v>
      </c>
      <c r="BL37" s="893">
        <f t="shared" si="24"/>
        <v>8.86927351265155</v>
      </c>
      <c r="BM37" s="824">
        <v>9.19853836784409</v>
      </c>
      <c r="BN37" s="824">
        <v>10.3133050412313</v>
      </c>
      <c r="BO37" s="824">
        <v>7.82122628507479</v>
      </c>
      <c r="BP37" s="824">
        <v>7.68649436762423</v>
      </c>
      <c r="BQ37" s="894">
        <v>11.2296705358169</v>
      </c>
      <c r="BR37" s="893">
        <f t="shared" si="25"/>
        <v>0</v>
      </c>
      <c r="BS37" s="824">
        <v>28.2634730538922</v>
      </c>
      <c r="BT37" s="824">
        <v>15.7036163522013</v>
      </c>
      <c r="BU37" s="824">
        <v>11.4957820489796</v>
      </c>
      <c r="BV37" s="824">
        <v>10.4776994462381</v>
      </c>
      <c r="BW37" s="894">
        <v>12.747791952895</v>
      </c>
      <c r="BX37" s="893">
        <f t="shared" si="26"/>
        <v>5.32612082969088</v>
      </c>
      <c r="BY37" s="824">
        <v>4.9804834814134</v>
      </c>
      <c r="BZ37" s="824">
        <v>3.58839260043144</v>
      </c>
      <c r="CA37" s="824">
        <v>5.67519919824192</v>
      </c>
      <c r="CB37" s="824">
        <v>7.58509884744024</v>
      </c>
      <c r="CC37" s="894">
        <v>7.07566910748467</v>
      </c>
      <c r="CD37" s="893">
        <f t="shared" si="32"/>
        <v>0</v>
      </c>
      <c r="CE37" s="824">
        <v>9.89561708373266</v>
      </c>
      <c r="CF37" s="824">
        <v>6.09088945161138</v>
      </c>
      <c r="CG37" s="824">
        <v>6.66279642640942</v>
      </c>
      <c r="CH37" s="824">
        <v>6.76085839496737</v>
      </c>
      <c r="CI37" s="894">
        <v>7.46422950954564</v>
      </c>
    </row>
    <row r="38" ht="14.25" customHeight="1" spans="1:87" x14ac:dyDescent="0.25">
      <c r="A38" s="8"/>
      <c r="B38" s="8"/>
      <c r="C38" s="8" t="s">
        <v>1063</v>
      </c>
      <c r="D38" s="8"/>
      <c r="E38" s="774">
        <f t="shared" ref="E38:H38" si="33">AVERAGE(E42,E46)</f>
        <v>19.5638207715441</v>
      </c>
      <c r="F38" s="774">
        <f t="shared" si="33"/>
        <v>14.574307463709648</v>
      </c>
      <c r="G38" s="774">
        <f t="shared" si="33"/>
        <v>11.753398846346466</v>
      </c>
      <c r="H38" s="774">
        <f t="shared" si="33"/>
        <v>9.309395571722863</v>
      </c>
      <c r="I38" s="75">
        <f>IF(I37+1=5,1,I37+1)</f>
        <v>1</v>
      </c>
      <c r="J38" s="7">
        <f t="shared" si="27"/>
        <v>2013</v>
      </c>
      <c r="K38" s="341" t="str">
        <f t="shared" si="18"/>
        <v>1Q13</v>
      </c>
      <c r="L38" s="893">
        <v>37.5938703062254</v>
      </c>
      <c r="M38" s="824">
        <v>227.881197338849</v>
      </c>
      <c r="N38" s="824">
        <v>17.2552362709175</v>
      </c>
      <c r="O38" s="824">
        <v>5.80946722826435</v>
      </c>
      <c r="P38" s="824"/>
      <c r="Q38" s="894"/>
      <c r="R38" s="893"/>
      <c r="S38" s="824">
        <v>12.3329639206994</v>
      </c>
      <c r="T38" s="824">
        <v>13.5372513061501</v>
      </c>
      <c r="U38" s="824">
        <v>13.9277446255959</v>
      </c>
      <c r="V38" s="824"/>
      <c r="W38" s="894"/>
      <c r="X38" s="893">
        <v>8.59181584622719</v>
      </c>
      <c r="Y38" s="824">
        <v>23.018192883873</v>
      </c>
      <c r="Z38" s="824">
        <v>9.26574811650349</v>
      </c>
      <c r="AA38" s="824">
        <v>4.74991601261717</v>
      </c>
      <c r="AB38" s="824"/>
      <c r="AC38" s="894"/>
      <c r="AD38" s="824"/>
      <c r="AE38" s="824"/>
      <c r="AF38" s="824"/>
      <c r="AG38" s="824"/>
      <c r="AH38" s="824"/>
      <c r="AI38" s="894"/>
      <c r="AJ38" s="8"/>
      <c r="AK38" s="341" t="str">
        <f t="shared" si="19"/>
        <v>1Q13</v>
      </c>
      <c r="AL38" s="893">
        <f t="shared" si="20"/>
        <v>37.5938703062254</v>
      </c>
      <c r="AM38" s="824">
        <v>10.5377576439906</v>
      </c>
      <c r="AN38" s="824">
        <v>27.4851857570911</v>
      </c>
      <c r="AO38" s="824">
        <v>10.2080314672093</v>
      </c>
      <c r="AP38" s="824">
        <v>10.1572327044025</v>
      </c>
      <c r="AQ38" s="894">
        <v>11.3376623376623</v>
      </c>
      <c r="AR38" s="893">
        <f t="shared" si="21"/>
        <v>0</v>
      </c>
      <c r="AS38" s="824">
        <v>10.5899905058999</v>
      </c>
      <c r="AT38" s="824">
        <v>9.63399473117176</v>
      </c>
      <c r="AU38" s="824">
        <v>10.025078369906</v>
      </c>
      <c r="AV38" s="824">
        <v>10.4683195592286</v>
      </c>
      <c r="AW38" s="894">
        <v>8.64356435643564</v>
      </c>
      <c r="AX38" s="893">
        <f t="shared" si="22"/>
        <v>8.59181584622719</v>
      </c>
      <c r="AY38" s="824">
        <v>5.75086825776484</v>
      </c>
      <c r="AZ38" s="824">
        <v>5.76379770975627</v>
      </c>
      <c r="BA38" s="824">
        <v>5.67244769955988</v>
      </c>
      <c r="BB38" s="824">
        <v>6.41895446200724</v>
      </c>
      <c r="BC38" s="894">
        <v>4.78298077282033</v>
      </c>
      <c r="BD38" s="893">
        <f t="shared" si="31"/>
        <v>0</v>
      </c>
      <c r="BE38" s="824">
        <v>5.82626829111257</v>
      </c>
      <c r="BF38" s="824">
        <v>5.64016330373248</v>
      </c>
      <c r="BG38" s="824">
        <v>5.50800076174861</v>
      </c>
      <c r="BH38" s="824">
        <v>6.54640211913482</v>
      </c>
      <c r="BI38" s="894">
        <v>4.90525100638369</v>
      </c>
      <c r="BJ38" s="8"/>
      <c r="BK38" s="341" t="str">
        <f t="shared" si="23"/>
        <v>1Q13</v>
      </c>
      <c r="BL38" s="893">
        <f t="shared" si="24"/>
        <v>37.5938703062254</v>
      </c>
      <c r="BM38" s="824">
        <v>19.4664826079701</v>
      </c>
      <c r="BN38" s="824">
        <v>12.1118500568766</v>
      </c>
      <c r="BO38" s="824">
        <v>12.9341481944021</v>
      </c>
      <c r="BP38" s="824">
        <v>10.6991838719928</v>
      </c>
      <c r="BQ38" s="894">
        <v>13.6541211445259</v>
      </c>
      <c r="BR38" s="893">
        <f t="shared" si="25"/>
        <v>0</v>
      </c>
      <c r="BS38" s="824">
        <v>35.2783505154639</v>
      </c>
      <c r="BT38" s="824">
        <v>16.3007975693126</v>
      </c>
      <c r="BU38" s="824">
        <v>16.1718729385246</v>
      </c>
      <c r="BV38" s="824">
        <v>12.6626890556961</v>
      </c>
      <c r="BW38" s="894">
        <v>14.9191968658178</v>
      </c>
      <c r="BX38" s="893">
        <f t="shared" si="26"/>
        <v>8.59181584622719</v>
      </c>
      <c r="BY38" s="824">
        <v>8.42885511890875</v>
      </c>
      <c r="BZ38" s="824">
        <v>4.11881142036482</v>
      </c>
      <c r="CA38" s="824">
        <v>8.4896052720449</v>
      </c>
      <c r="CB38" s="824">
        <v>7.89812505069555</v>
      </c>
      <c r="CC38" s="894">
        <v>8.31292487435405</v>
      </c>
      <c r="CD38" s="893">
        <f t="shared" si="32"/>
        <v>0</v>
      </c>
      <c r="CE38" s="824">
        <v>13.4717395070908</v>
      </c>
      <c r="CF38" s="824">
        <v>8.52424333939433</v>
      </c>
      <c r="CG38" s="824">
        <v>6.84037574361095</v>
      </c>
      <c r="CH38" s="824">
        <v>7.62192591280778</v>
      </c>
      <c r="CI38" s="894">
        <v>8.47323729728315</v>
      </c>
    </row>
    <row r="39" ht="14.25" customHeight="1" spans="1:87" x14ac:dyDescent="0.25">
      <c r="A39" s="8"/>
      <c r="B39" s="8"/>
      <c r="C39" s="8" t="s">
        <v>1064</v>
      </c>
      <c r="D39" s="8"/>
      <c r="E39" s="774">
        <f t="shared" ref="E39:H39" si="34">AVERAGE(E43,E47)</f>
        <v>17.86867323576868</v>
      </c>
      <c r="F39" s="774">
        <f t="shared" si="34"/>
        <v>16.963466455064655</v>
      </c>
      <c r="G39" s="774">
        <f t="shared" si="34"/>
        <v>10.910193649835529</v>
      </c>
      <c r="H39" s="774">
        <f t="shared" si="34"/>
        <v>9.463515201777138</v>
      </c>
      <c r="I39" s="75">
        <f>IF(I38=4,1,I38+1)</f>
        <v>2</v>
      </c>
      <c r="J39" s="7">
        <f t="shared" si="27"/>
        <v>2013</v>
      </c>
      <c r="K39" s="341" t="str">
        <f t="shared" si="18"/>
        <v>2Q13</v>
      </c>
      <c r="L39" s="893">
        <v>9.58137468651887</v>
      </c>
      <c r="M39" s="824">
        <v>32.0794427981501</v>
      </c>
      <c r="N39" s="824">
        <v>15.3027864761086</v>
      </c>
      <c r="O39" s="824">
        <v>5.82667479850488</v>
      </c>
      <c r="P39" s="824"/>
      <c r="Q39" s="894"/>
      <c r="R39" s="893"/>
      <c r="S39" s="824">
        <v>12.9107032954736</v>
      </c>
      <c r="T39" s="824">
        <v>14.6116745928202</v>
      </c>
      <c r="U39" s="824">
        <v>13.4825433599819</v>
      </c>
      <c r="V39" s="824"/>
      <c r="W39" s="894"/>
      <c r="X39" s="893">
        <v>6.71461514670346</v>
      </c>
      <c r="Y39" s="824">
        <v>17.6564891741544</v>
      </c>
      <c r="Z39" s="824">
        <v>8.29363837751868</v>
      </c>
      <c r="AA39" s="824">
        <v>4.54148632242205</v>
      </c>
      <c r="AB39" s="824"/>
      <c r="AC39" s="894"/>
      <c r="AD39" s="824"/>
      <c r="AE39" s="824"/>
      <c r="AF39" s="824"/>
      <c r="AG39" s="824"/>
      <c r="AH39" s="824"/>
      <c r="AI39" s="894"/>
      <c r="AJ39" s="8"/>
      <c r="AK39" s="341" t="str">
        <f t="shared" si="19"/>
        <v>2Q13</v>
      </c>
      <c r="AL39" s="893">
        <f t="shared" si="20"/>
        <v>9.58137468651887</v>
      </c>
      <c r="AM39" s="824">
        <v>10.1197188934144</v>
      </c>
      <c r="AN39" s="824">
        <v>11.7970385363965</v>
      </c>
      <c r="AO39" s="824">
        <v>10.5807044670822</v>
      </c>
      <c r="AP39" s="824">
        <v>10.9774557165862</v>
      </c>
      <c r="AQ39" s="894">
        <v>11.6558441558442</v>
      </c>
      <c r="AR39" s="893">
        <f t="shared" si="21"/>
        <v>0</v>
      </c>
      <c r="AS39" s="824">
        <v>9.93277089375165</v>
      </c>
      <c r="AT39" s="824">
        <v>9.80566783723631</v>
      </c>
      <c r="AU39" s="824">
        <v>10.6732960430909</v>
      </c>
      <c r="AV39" s="824">
        <v>11.0147035062207</v>
      </c>
      <c r="AW39" s="894">
        <v>8.89851485148515</v>
      </c>
      <c r="AX39" s="893">
        <f t="shared" si="22"/>
        <v>6.71461514670346</v>
      </c>
      <c r="AY39" s="824">
        <v>5.91454019307236</v>
      </c>
      <c r="AZ39" s="824">
        <v>6.57052903854619</v>
      </c>
      <c r="BA39" s="824">
        <v>5.67431486087671</v>
      </c>
      <c r="BB39" s="824">
        <v>6.58510139823663</v>
      </c>
      <c r="BC39" s="894">
        <v>5.03048952812205</v>
      </c>
      <c r="BD39" s="893">
        <f t="shared" si="31"/>
        <v>0</v>
      </c>
      <c r="BE39" s="824">
        <v>6.0064613737832</v>
      </c>
      <c r="BF39" s="824">
        <v>5.03010214457906</v>
      </c>
      <c r="BG39" s="824">
        <v>5.86572589595718</v>
      </c>
      <c r="BH39" s="824">
        <v>6.45559338832222</v>
      </c>
      <c r="BI39" s="894">
        <v>4.62066972486577</v>
      </c>
      <c r="BJ39" s="8"/>
      <c r="BK39" s="341" t="str">
        <f t="shared" si="23"/>
        <v>2Q13</v>
      </c>
      <c r="BL39" s="893">
        <f t="shared" si="24"/>
        <v>9.58137468651887</v>
      </c>
      <c r="BM39" s="824">
        <v>28.6224270452053</v>
      </c>
      <c r="BN39" s="824">
        <v>25.6560579886675</v>
      </c>
      <c r="BO39" s="824">
        <v>14.7276675216782</v>
      </c>
      <c r="BP39" s="824">
        <v>13.5143829788318</v>
      </c>
      <c r="BQ39" s="894">
        <v>15.4123269305155</v>
      </c>
      <c r="BR39" s="893">
        <f t="shared" si="25"/>
        <v>0</v>
      </c>
      <c r="BS39" s="824">
        <v>28.2128712871287</v>
      </c>
      <c r="BT39" s="824">
        <v>21.5326433121019</v>
      </c>
      <c r="BU39" s="824">
        <v>14.5874961705115</v>
      </c>
      <c r="BV39" s="824">
        <v>13.126449359233</v>
      </c>
      <c r="BW39" s="894">
        <v>16.8634596695821</v>
      </c>
      <c r="BX39" s="893">
        <f t="shared" si="26"/>
        <v>6.71461514670346</v>
      </c>
      <c r="BY39" s="824">
        <v>14.1545619542665</v>
      </c>
      <c r="BZ39" s="824">
        <v>6.03047033443133</v>
      </c>
      <c r="CA39" s="824">
        <v>7.96553378664613</v>
      </c>
      <c r="CB39" s="824">
        <v>9.80775472028126</v>
      </c>
      <c r="CC39" s="894">
        <v>9.2828708723069</v>
      </c>
      <c r="CD39" s="893">
        <f t="shared" si="32"/>
        <v>0</v>
      </c>
      <c r="CE39" s="824">
        <v>9.83100998373389</v>
      </c>
      <c r="CF39" s="824">
        <v>8.1240381305083</v>
      </c>
      <c r="CG39" s="824">
        <v>7.31440259308921</v>
      </c>
      <c r="CH39" s="824">
        <v>8.17767144467011</v>
      </c>
      <c r="CI39" s="894">
        <v>8.48806467440511</v>
      </c>
    </row>
    <row r="40" ht="14.25" customHeight="1" spans="1:87" x14ac:dyDescent="0.25">
      <c r="A40" s="8"/>
      <c r="B40" s="8"/>
      <c r="C40" s="8" t="s">
        <v>1065</v>
      </c>
      <c r="D40" s="8"/>
      <c r="E40" s="774">
        <f t="shared" ref="E40:H40" si="35">AVERAGE(E44,E48)</f>
        <v>22.395126764099622</v>
      </c>
      <c r="F40" s="774">
        <f t="shared" si="35"/>
        <v>12.963181960452417</v>
      </c>
      <c r="G40" s="774">
        <f t="shared" si="35"/>
        <v>11.725772578763117</v>
      </c>
      <c r="H40" s="774">
        <f t="shared" si="35"/>
        <v>11.496277779504926</v>
      </c>
      <c r="I40" s="75">
        <f>I36</f>
        <v>3</v>
      </c>
      <c r="J40" s="7">
        <f t="shared" si="27"/>
        <v>2013</v>
      </c>
      <c r="K40" s="341" t="str">
        <f t="shared" si="18"/>
        <v>3Q13</v>
      </c>
      <c r="L40" s="893">
        <v>6.86355569053882</v>
      </c>
      <c r="M40" s="824">
        <v>14.7967219437112</v>
      </c>
      <c r="N40" s="824">
        <v>15.7590909090909</v>
      </c>
      <c r="O40" s="824">
        <v>18.8481683955057</v>
      </c>
      <c r="P40" s="824"/>
      <c r="Q40" s="894"/>
      <c r="R40" s="893"/>
      <c r="S40" s="824">
        <v>14.9494750421041</v>
      </c>
      <c r="T40" s="824">
        <v>16.1947202712521</v>
      </c>
      <c r="U40" s="824">
        <v>13.6772428884026</v>
      </c>
      <c r="V40" s="824"/>
      <c r="W40" s="894"/>
      <c r="X40" s="893">
        <v>7.6499153769753</v>
      </c>
      <c r="Y40" s="824">
        <v>12.7083838760249</v>
      </c>
      <c r="Z40" s="824">
        <v>10.2009672716739</v>
      </c>
      <c r="AA40" s="824">
        <v>4.74522983803961</v>
      </c>
      <c r="AB40" s="824"/>
      <c r="AC40" s="894"/>
      <c r="AD40" s="824"/>
      <c r="AE40" s="824"/>
      <c r="AF40" s="824"/>
      <c r="AG40" s="824"/>
      <c r="AH40" s="824"/>
      <c r="AI40" s="894"/>
      <c r="AJ40" s="8"/>
      <c r="AK40" s="341" t="str">
        <f t="shared" si="19"/>
        <v>3Q13</v>
      </c>
      <c r="AL40" s="893">
        <f t="shared" si="20"/>
        <v>6.86355569053882</v>
      </c>
      <c r="AM40" s="824">
        <v>11.2459018741683</v>
      </c>
      <c r="AN40" s="824">
        <v>13.1752667734563</v>
      </c>
      <c r="AO40" s="824">
        <v>11.5195012733566</v>
      </c>
      <c r="AP40" s="824">
        <v>12.4315619967794</v>
      </c>
      <c r="AQ40" s="894"/>
      <c r="AR40" s="893">
        <f t="shared" si="21"/>
        <v>0</v>
      </c>
      <c r="AS40" s="824">
        <v>11.1375802997859</v>
      </c>
      <c r="AT40" s="824">
        <v>10.206529667639</v>
      </c>
      <c r="AU40" s="824">
        <v>11.4790996784566</v>
      </c>
      <c r="AV40" s="824">
        <v>11.7952635599694</v>
      </c>
      <c r="AW40" s="894">
        <v>8.63488372093023</v>
      </c>
      <c r="AX40" s="893">
        <f t="shared" si="22"/>
        <v>7.6499153769753</v>
      </c>
      <c r="AY40" s="824">
        <v>6.37346540340196</v>
      </c>
      <c r="AZ40" s="824">
        <v>7.79228770791539</v>
      </c>
      <c r="BA40" s="824">
        <v>6.23389074738903</v>
      </c>
      <c r="BB40" s="824">
        <v>7.38346757418372</v>
      </c>
      <c r="BC40" s="894">
        <v>5.16271847804848</v>
      </c>
      <c r="BD40" s="893">
        <f t="shared" si="31"/>
        <v>0</v>
      </c>
      <c r="BE40" s="824">
        <v>6.26735005457296</v>
      </c>
      <c r="BF40" s="824">
        <v>6.12120177969153</v>
      </c>
      <c r="BG40" s="824">
        <v>6.40531229040912</v>
      </c>
      <c r="BH40" s="824">
        <v>7.19464424631259</v>
      </c>
      <c r="BI40" s="894">
        <v>4.60460511198831</v>
      </c>
      <c r="BJ40" s="8"/>
      <c r="BK40" s="341" t="str">
        <f t="shared" si="23"/>
        <v>3Q13</v>
      </c>
      <c r="BL40" s="893">
        <f t="shared" si="24"/>
        <v>6.86355569053882</v>
      </c>
      <c r="BM40" s="824">
        <v>30.6330289851329</v>
      </c>
      <c r="BN40" s="824">
        <v>27.9859571305592</v>
      </c>
      <c r="BO40" s="824">
        <v>18.4238341654617</v>
      </c>
      <c r="BP40" s="824">
        <v>14.9901358803284</v>
      </c>
      <c r="BQ40" s="894">
        <v>16.0648337493764</v>
      </c>
      <c r="BR40" s="893">
        <f t="shared" si="25"/>
        <v>0</v>
      </c>
      <c r="BS40" s="824">
        <v>23.8068181818182</v>
      </c>
      <c r="BT40" s="824">
        <v>18.6103286384977</v>
      </c>
      <c r="BU40" s="824">
        <v>17.1854376031434</v>
      </c>
      <c r="BV40" s="824">
        <v>17.8308441541432</v>
      </c>
      <c r="BW40" s="894">
        <v>15.8335125833513</v>
      </c>
      <c r="BX40" s="893">
        <f t="shared" si="26"/>
        <v>7.6499153769753</v>
      </c>
      <c r="BY40" s="824">
        <v>12.476167804583</v>
      </c>
      <c r="BZ40" s="824">
        <v>7.63827368985477</v>
      </c>
      <c r="CA40" s="824">
        <v>9.43856452292771</v>
      </c>
      <c r="CB40" s="824">
        <v>10.6734174337219</v>
      </c>
      <c r="CC40" s="894">
        <v>9.66733389012338</v>
      </c>
      <c r="CD40" s="893">
        <f t="shared" si="32"/>
        <v>0</v>
      </c>
      <c r="CE40" s="824">
        <v>10.4278073137258</v>
      </c>
      <c r="CF40" s="824">
        <v>8.88010584888657</v>
      </c>
      <c r="CG40" s="824">
        <v>8.9840782933758</v>
      </c>
      <c r="CH40" s="824">
        <v>9.31664203954609</v>
      </c>
      <c r="CI40" s="894">
        <v>8.85374365092694</v>
      </c>
    </row>
    <row r="41" ht="14.25" customHeight="1" spans="1:87" x14ac:dyDescent="0.25">
      <c r="A41" s="8"/>
      <c r="B41" s="8"/>
      <c r="C41" s="8" t="s">
        <v>1066</v>
      </c>
      <c r="D41" s="8"/>
      <c r="E41" s="774">
        <f>AVERAGE(M8:Q35)</f>
        <v>23.394863307489285</v>
      </c>
      <c r="F41" s="774">
        <f>AVERAGE(S8:W35)</f>
        <v>17.3478747324375</v>
      </c>
      <c r="G41" s="774">
        <f>AVERAGE(Y8:AC35)</f>
        <v>13.136155309264884</v>
      </c>
      <c r="H41" s="774">
        <f>AVERAGE(AE8:AI35)</f>
        <v>11.365345634555851</v>
      </c>
      <c r="I41" s="75">
        <f>IF(I40=4,1,I40+1)</f>
        <v>4</v>
      </c>
      <c r="J41" s="7">
        <f t="shared" si="27"/>
        <v>2013</v>
      </c>
      <c r="K41" s="341" t="str">
        <f t="shared" si="18"/>
        <v>4Q13</v>
      </c>
      <c r="L41" s="893">
        <v>9.0109962475894</v>
      </c>
      <c r="M41" s="824">
        <v>14.1375659861165</v>
      </c>
      <c r="N41" s="824">
        <v>18.3095468348661</v>
      </c>
      <c r="O41" s="824">
        <v>16.3642940090236</v>
      </c>
      <c r="P41" s="824"/>
      <c r="Q41" s="894"/>
      <c r="R41" s="893"/>
      <c r="S41" s="824">
        <v>17.9772727272727</v>
      </c>
      <c r="T41" s="824">
        <v>17.6849874785818</v>
      </c>
      <c r="U41" s="824">
        <v>16.1610361514778</v>
      </c>
      <c r="V41" s="824"/>
      <c r="W41" s="894"/>
      <c r="X41" s="893">
        <v>8.34069081290935</v>
      </c>
      <c r="Y41" s="824">
        <v>16.1755666435197</v>
      </c>
      <c r="Z41" s="824">
        <v>12.7688738088423</v>
      </c>
      <c r="AA41" s="824">
        <v>4.32080543601893</v>
      </c>
      <c r="AB41" s="824"/>
      <c r="AC41" s="894"/>
      <c r="AD41" s="824"/>
      <c r="AE41" s="824"/>
      <c r="AF41" s="824"/>
      <c r="AG41" s="824"/>
      <c r="AH41" s="824"/>
      <c r="AI41" s="894"/>
      <c r="AJ41" s="8"/>
      <c r="AK41" s="341" t="str">
        <f t="shared" si="19"/>
        <v>4Q13</v>
      </c>
      <c r="AL41" s="893">
        <f t="shared" si="20"/>
        <v>9.0109962475894</v>
      </c>
      <c r="AM41" s="824">
        <v>9.99996107397703</v>
      </c>
      <c r="AN41" s="824">
        <v>9.85670908369511</v>
      </c>
      <c r="AO41" s="824">
        <v>9.66791056853068</v>
      </c>
      <c r="AP41" s="824">
        <v>9.42995169082126</v>
      </c>
      <c r="AQ41" s="894">
        <v>20.3891830018601</v>
      </c>
      <c r="AR41" s="893">
        <f t="shared" si="21"/>
        <v>0</v>
      </c>
      <c r="AS41" s="824">
        <v>10.1734261914516</v>
      </c>
      <c r="AT41" s="824">
        <v>8.23661855837225</v>
      </c>
      <c r="AU41" s="824">
        <v>9.65868263473054</v>
      </c>
      <c r="AV41" s="824">
        <v>8.90375551163144</v>
      </c>
      <c r="AW41" s="894">
        <v>7.27378190255221</v>
      </c>
      <c r="AX41" s="893">
        <f t="shared" si="22"/>
        <v>8.34069081290935</v>
      </c>
      <c r="AY41" s="824">
        <v>5.57867980886728</v>
      </c>
      <c r="AZ41" s="824">
        <v>6.34889563397409</v>
      </c>
      <c r="BA41" s="824">
        <v>6.10014357670282</v>
      </c>
      <c r="BB41" s="824">
        <v>5.74195406620974</v>
      </c>
      <c r="BC41" s="894">
        <v>4.55449762754802</v>
      </c>
      <c r="BD41" s="893">
        <f t="shared" si="31"/>
        <v>0</v>
      </c>
      <c r="BE41" s="824">
        <v>5.48624360801162</v>
      </c>
      <c r="BF41" s="824">
        <v>5.01723905576566</v>
      </c>
      <c r="BG41" s="824">
        <v>5.49481693377574</v>
      </c>
      <c r="BH41" s="824">
        <v>5.51320902779737</v>
      </c>
      <c r="BI41" s="894">
        <v>4.30941821783298</v>
      </c>
      <c r="BJ41" s="8"/>
      <c r="BK41" s="341" t="str">
        <f t="shared" si="23"/>
        <v>4Q13</v>
      </c>
      <c r="BL41" s="893">
        <f t="shared" si="24"/>
        <v>9.0109962475894</v>
      </c>
      <c r="BM41" s="824">
        <v>24.3601654723143</v>
      </c>
      <c r="BN41" s="824">
        <v>24.2652759456071</v>
      </c>
      <c r="BO41" s="824">
        <v>13.810354033387</v>
      </c>
      <c r="BP41" s="824">
        <v>12.5183083648824</v>
      </c>
      <c r="BQ41" s="894">
        <v>13.9457009277726</v>
      </c>
      <c r="BR41" s="893">
        <f t="shared" si="25"/>
        <v>0</v>
      </c>
      <c r="BS41" s="824">
        <v>18.8721332076657</v>
      </c>
      <c r="BT41" s="824">
        <v>13.2539871459176</v>
      </c>
      <c r="BU41" s="824">
        <v>12.7284161505969</v>
      </c>
      <c r="BV41" s="824">
        <v>14.9644201023031</v>
      </c>
      <c r="BW41" s="894">
        <v>13.9172384219554</v>
      </c>
      <c r="BX41" s="893">
        <f t="shared" si="26"/>
        <v>8.34069081290935</v>
      </c>
      <c r="BY41" s="824">
        <v>10.085262951603</v>
      </c>
      <c r="BZ41" s="824">
        <v>5.69241256770504</v>
      </c>
      <c r="CA41" s="824">
        <v>6.97192353485524</v>
      </c>
      <c r="CB41" s="824">
        <v>9.34802359765625</v>
      </c>
      <c r="CC41" s="894">
        <v>8.30648684877004</v>
      </c>
      <c r="CD41" s="893">
        <f t="shared" si="32"/>
        <v>0</v>
      </c>
      <c r="CE41" s="824">
        <v>8.86619078776349</v>
      </c>
      <c r="CF41" s="824">
        <v>6.44518685988233</v>
      </c>
      <c r="CG41" s="824">
        <v>6.05585644966015</v>
      </c>
      <c r="CH41" s="824">
        <v>8.02558484769993</v>
      </c>
      <c r="CI41" s="894">
        <v>7.91463424216468</v>
      </c>
    </row>
    <row r="42" ht="14.25" customHeight="1" spans="1:87" x14ac:dyDescent="0.25">
      <c r="A42" s="8"/>
      <c r="B42" s="8"/>
      <c r="C42" s="8" t="s">
        <v>1067</v>
      </c>
      <c r="D42" s="8"/>
      <c r="E42" s="774">
        <f>AVERAGE(M8:Q19)</f>
        <v>18.206110146913975</v>
      </c>
      <c r="F42" s="774">
        <f>AVERAGE(S8:W19)</f>
        <v>15.44333587014323</v>
      </c>
      <c r="G42" s="774">
        <f>AVERAGE(Y8:AC19)</f>
        <v>12.578544263895221</v>
      </c>
      <c r="H42" s="774">
        <f>AVERAGE(AE8:AI19)</f>
        <v>9.07660779176515</v>
      </c>
      <c r="I42" s="75">
        <f>IF(I41+1=5,1,I41+1)</f>
        <v>1</v>
      </c>
      <c r="J42" s="7">
        <f t="shared" si="27"/>
        <v>2014</v>
      </c>
      <c r="K42" s="341" t="str">
        <f t="shared" si="18"/>
        <v>1Q14</v>
      </c>
      <c r="L42" s="893">
        <v>6.80274919577963</v>
      </c>
      <c r="M42" s="824">
        <v>14.147510384743</v>
      </c>
      <c r="N42" s="824">
        <v>19.5133589818969</v>
      </c>
      <c r="O42" s="824">
        <v>15.634626251014</v>
      </c>
      <c r="P42" s="824"/>
      <c r="Q42" s="894"/>
      <c r="R42" s="893"/>
      <c r="S42" s="824">
        <v>15.2614401460687</v>
      </c>
      <c r="T42" s="824">
        <v>16.7348879127777</v>
      </c>
      <c r="U42" s="824">
        <v>15.9188789812891</v>
      </c>
      <c r="V42" s="824"/>
      <c r="W42" s="894"/>
      <c r="X42" s="893">
        <v>9.13084380546018</v>
      </c>
      <c r="Y42" s="824">
        <v>15.5804555914333</v>
      </c>
      <c r="Z42" s="824">
        <v>13.0007328004567</v>
      </c>
      <c r="AA42" s="824">
        <v>6.21095496136672</v>
      </c>
      <c r="AB42" s="824"/>
      <c r="AC42" s="894"/>
      <c r="AD42" s="824"/>
      <c r="AE42" s="824"/>
      <c r="AF42" s="824"/>
      <c r="AG42" s="824">
        <v>8.7169431540158</v>
      </c>
      <c r="AH42" s="824"/>
      <c r="AI42" s="894"/>
      <c r="AJ42" s="8"/>
      <c r="AK42" s="341" t="str">
        <f t="shared" si="19"/>
        <v>1Q14</v>
      </c>
      <c r="AL42" s="893">
        <f t="shared" si="20"/>
        <v>6.80274919577963</v>
      </c>
      <c r="AM42" s="824">
        <v>9.62040432691451</v>
      </c>
      <c r="AN42" s="824">
        <v>10.3691488431885</v>
      </c>
      <c r="AO42" s="824">
        <v>9.12142389198446</v>
      </c>
      <c r="AP42" s="824">
        <v>10.0015923566879</v>
      </c>
      <c r="AQ42" s="894">
        <v>22.2622562728443</v>
      </c>
      <c r="AR42" s="893">
        <f t="shared" si="21"/>
        <v>0</v>
      </c>
      <c r="AS42" s="824">
        <v>9.74169741697417</v>
      </c>
      <c r="AT42" s="824">
        <v>8.02132070541053</v>
      </c>
      <c r="AU42" s="824">
        <v>10.8368895211</v>
      </c>
      <c r="AV42" s="824">
        <v>9.42244224422442</v>
      </c>
      <c r="AW42" s="894">
        <v>7.97902097902098</v>
      </c>
      <c r="AX42" s="893">
        <f t="shared" si="22"/>
        <v>9.13084380546018</v>
      </c>
      <c r="AY42" s="824">
        <v>5.46947202107553</v>
      </c>
      <c r="AZ42" s="824">
        <v>6.54580673361049</v>
      </c>
      <c r="BA42" s="824">
        <v>5.76122459373739</v>
      </c>
      <c r="BB42" s="824">
        <v>6.03174555515099</v>
      </c>
      <c r="BC42" s="894">
        <v>4.92733810453777</v>
      </c>
      <c r="BD42" s="893">
        <f t="shared" si="31"/>
        <v>0</v>
      </c>
      <c r="BE42" s="824">
        <v>5.24216521595774</v>
      </c>
      <c r="BF42" s="824">
        <v>5.25786728179236</v>
      </c>
      <c r="BG42" s="824">
        <v>5.75195786783777</v>
      </c>
      <c r="BH42" s="824">
        <v>5.80837472527022</v>
      </c>
      <c r="BI42" s="894">
        <v>4.63549621133982</v>
      </c>
      <c r="BJ42" s="8"/>
      <c r="BK42" s="341" t="str">
        <f t="shared" si="23"/>
        <v>1Q14</v>
      </c>
      <c r="BL42" s="893">
        <f t="shared" si="24"/>
        <v>6.80274919577963</v>
      </c>
      <c r="BM42" s="824">
        <v>24.1651089979097</v>
      </c>
      <c r="BN42" s="824">
        <v>25.4241271250078</v>
      </c>
      <c r="BO42" s="824">
        <v>14.8512626154585</v>
      </c>
      <c r="BP42" s="824">
        <v>14.0012354399375</v>
      </c>
      <c r="BQ42" s="894">
        <v>14.8656322568568</v>
      </c>
      <c r="BR42" s="893">
        <f t="shared" si="25"/>
        <v>0</v>
      </c>
      <c r="BS42" s="824">
        <v>20.9981318388044</v>
      </c>
      <c r="BT42" s="824">
        <v>15.5793703951775</v>
      </c>
      <c r="BU42" s="824">
        <v>14.0344431716083</v>
      </c>
      <c r="BV42" s="824">
        <v>16.625988505336</v>
      </c>
      <c r="BW42" s="894">
        <v>15.0974989402289</v>
      </c>
      <c r="BX42" s="893">
        <f t="shared" si="26"/>
        <v>9.13084380546018</v>
      </c>
      <c r="BY42" s="824">
        <v>10.6384200202094</v>
      </c>
      <c r="BZ42" s="824">
        <v>6.7226025644169</v>
      </c>
      <c r="CA42" s="824">
        <v>7.2666825847505</v>
      </c>
      <c r="CB42" s="824">
        <v>10.3942191863169</v>
      </c>
      <c r="CC42" s="894">
        <v>8.7331252074087</v>
      </c>
      <c r="CD42" s="893">
        <f t="shared" si="32"/>
        <v>0</v>
      </c>
      <c r="CE42" s="824">
        <v>9.94026232129299</v>
      </c>
      <c r="CF42" s="824">
        <v>7.97901468449838</v>
      </c>
      <c r="CG42" s="824">
        <v>6.45567601185599</v>
      </c>
      <c r="CH42" s="824">
        <v>8.65400002064891</v>
      </c>
      <c r="CI42" s="894">
        <v>8.35655127966832</v>
      </c>
    </row>
    <row r="43" ht="14.25" customHeight="1" spans="1:87" x14ac:dyDescent="0.25">
      <c r="A43" s="8"/>
      <c r="B43" s="8"/>
      <c r="C43" s="8" t="s">
        <v>1068</v>
      </c>
      <c r="D43" s="8"/>
      <c r="E43" s="774">
        <f>AVERAGE(M16:Q27)</f>
        <v>19.923830206458867</v>
      </c>
      <c r="F43" s="774">
        <f>AVERAGE(S16:W27)</f>
        <v>21.025028871572633</v>
      </c>
      <c r="G43" s="774">
        <f>AVERAGE(Y16:AC27)</f>
        <v>11.068905997519437</v>
      </c>
      <c r="H43" s="774">
        <f>AVERAGE(AE16:AI27)</f>
        <v>10.055659342741663</v>
      </c>
      <c r="I43" s="75">
        <f>IF(I42=4,1,I42+1)</f>
        <v>2</v>
      </c>
      <c r="J43" s="7">
        <f t="shared" si="27"/>
        <v>2014</v>
      </c>
      <c r="K43" s="341" t="str">
        <f t="shared" si="18"/>
        <v>2Q14</v>
      </c>
      <c r="L43" s="893">
        <v>7.98470768343916</v>
      </c>
      <c r="M43" s="824">
        <v>16.8937173738748</v>
      </c>
      <c r="N43" s="824">
        <v>17.0112642826994</v>
      </c>
      <c r="O43" s="824">
        <v>17.6258318571967</v>
      </c>
      <c r="P43" s="824"/>
      <c r="Q43" s="894"/>
      <c r="R43" s="893"/>
      <c r="S43" s="824">
        <v>14.2336692880171</v>
      </c>
      <c r="T43" s="824">
        <v>15.6139630840672</v>
      </c>
      <c r="U43" s="824">
        <v>14.7139438764412</v>
      </c>
      <c r="V43" s="824"/>
      <c r="W43" s="894"/>
      <c r="X43" s="893">
        <v>11.0510033622521</v>
      </c>
      <c r="Y43" s="824">
        <v>18.2951776289213</v>
      </c>
      <c r="Z43" s="824">
        <v>12.2483994403334</v>
      </c>
      <c r="AA43" s="824">
        <v>7.56640411008113</v>
      </c>
      <c r="AB43" s="824"/>
      <c r="AC43" s="894"/>
      <c r="AD43" s="824"/>
      <c r="AE43" s="824"/>
      <c r="AF43" s="824"/>
      <c r="AG43" s="824"/>
      <c r="AH43" s="824"/>
      <c r="AI43" s="894"/>
      <c r="AJ43" s="8"/>
      <c r="AK43" s="341" t="str">
        <f t="shared" si="19"/>
        <v>2Q14</v>
      </c>
      <c r="AL43" s="893">
        <f t="shared" si="20"/>
        <v>7.98470768343916</v>
      </c>
      <c r="AM43" s="824">
        <v>9.06200062426827</v>
      </c>
      <c r="AN43" s="824">
        <v>9.63178918427491</v>
      </c>
      <c r="AO43" s="824">
        <v>8.89285662197338</v>
      </c>
      <c r="AP43" s="824">
        <v>10.389458272328</v>
      </c>
      <c r="AQ43" s="894">
        <v>11.8536611648916</v>
      </c>
      <c r="AR43" s="893">
        <f t="shared" si="21"/>
        <v>0</v>
      </c>
      <c r="AS43" s="824">
        <v>9.99142489638416</v>
      </c>
      <c r="AT43" s="824">
        <v>8.83315562332782</v>
      </c>
      <c r="AU43" s="824">
        <v>10.0892662747659</v>
      </c>
      <c r="AV43" s="824">
        <v>10.5048112509252</v>
      </c>
      <c r="AW43" s="894">
        <v>7.80141843971631</v>
      </c>
      <c r="AX43" s="893">
        <f t="shared" si="22"/>
        <v>11.0510033622521</v>
      </c>
      <c r="AY43" s="824">
        <v>5.37935561442249</v>
      </c>
      <c r="AZ43" s="824">
        <v>5.89533430770612</v>
      </c>
      <c r="BA43" s="824">
        <v>5.61642635813002</v>
      </c>
      <c r="BB43" s="824">
        <v>6.0688318330818</v>
      </c>
      <c r="BC43" s="894">
        <v>4.64361067804519</v>
      </c>
      <c r="BD43" s="893">
        <f t="shared" si="31"/>
        <v>0</v>
      </c>
      <c r="BE43" s="824">
        <v>5.48536072155875</v>
      </c>
      <c r="BF43" s="824">
        <v>5.31834143798385</v>
      </c>
      <c r="BG43" s="824">
        <v>5.78754811440326</v>
      </c>
      <c r="BH43" s="824">
        <v>6.12172221106844</v>
      </c>
      <c r="BI43" s="894">
        <v>4.12038909541942</v>
      </c>
      <c r="BJ43" s="8"/>
      <c r="BK43" s="341" t="str">
        <f t="shared" si="23"/>
        <v>2Q14</v>
      </c>
      <c r="BL43" s="893">
        <f t="shared" si="24"/>
        <v>7.98470768343916</v>
      </c>
      <c r="BM43" s="824">
        <v>21.6053469427488</v>
      </c>
      <c r="BN43" s="824">
        <v>18.758399494054</v>
      </c>
      <c r="BO43" s="824">
        <v>15.2439619136967</v>
      </c>
      <c r="BP43" s="824">
        <v>16.7696200950246</v>
      </c>
      <c r="BQ43" s="894">
        <v>15.9786464227176</v>
      </c>
      <c r="BR43" s="893">
        <f t="shared" si="25"/>
        <v>0</v>
      </c>
      <c r="BS43" s="824">
        <v>23.4384384384384</v>
      </c>
      <c r="BT43" s="824">
        <v>15.297476515012</v>
      </c>
      <c r="BU43" s="824">
        <v>15.6835754736842</v>
      </c>
      <c r="BV43" s="824">
        <v>16.8976459259003</v>
      </c>
      <c r="BW43" s="894">
        <v>16.6744333827579</v>
      </c>
      <c r="BX43" s="893">
        <f t="shared" si="26"/>
        <v>11.0510033622521</v>
      </c>
      <c r="BY43" s="824">
        <v>10.1400009753533</v>
      </c>
      <c r="BZ43" s="824">
        <v>11.1988774428578</v>
      </c>
      <c r="CA43" s="824">
        <v>7.68797062316564</v>
      </c>
      <c r="CB43" s="824">
        <v>11.3236402907469</v>
      </c>
      <c r="CC43" s="894">
        <v>9.44621815527045</v>
      </c>
      <c r="CD43" s="893">
        <f t="shared" si="32"/>
        <v>0</v>
      </c>
      <c r="CE43" s="824">
        <v>11.0350072347685</v>
      </c>
      <c r="CF43" s="824">
        <v>12.8452543560021</v>
      </c>
      <c r="CG43" s="824">
        <v>6.94898491531654</v>
      </c>
      <c r="CH43" s="824">
        <v>10.3703628458668</v>
      </c>
      <c r="CI43" s="894">
        <v>9.12801964987489</v>
      </c>
    </row>
    <row r="44" ht="14.25" customHeight="1" spans="1:87" x14ac:dyDescent="0.25">
      <c r="A44" s="261"/>
      <c r="B44" s="8"/>
      <c r="C44" s="8" t="s">
        <v>1069</v>
      </c>
      <c r="D44" s="8"/>
      <c r="E44" s="774">
        <f>AVERAGE(M24:Q35)</f>
        <v>31.427282108500318</v>
      </c>
      <c r="F44" s="774">
        <f>AVERAGE(S24:W35)</f>
        <v>13.721527051760964</v>
      </c>
      <c r="G44" s="774">
        <f>AVERAGE(Y24:AC35)</f>
        <v>14.661018219457912</v>
      </c>
      <c r="H44" s="774">
        <f>AVERAGE(AE24:AI35)</f>
        <v>11.832155509527109</v>
      </c>
      <c r="I44" s="75">
        <f>I40</f>
        <v>3</v>
      </c>
      <c r="J44" s="7">
        <f t="shared" si="27"/>
        <v>2014</v>
      </c>
      <c r="K44" s="341" t="str">
        <f t="shared" si="18"/>
        <v>3Q14</v>
      </c>
      <c r="L44" s="893">
        <v>19.1297734086264</v>
      </c>
      <c r="M44" s="824">
        <v>14.4469195571546</v>
      </c>
      <c r="N44" s="824">
        <v>16.9210491594564</v>
      </c>
      <c r="O44" s="824">
        <v>19.4236391905347</v>
      </c>
      <c r="P44" s="824"/>
      <c r="Q44" s="894"/>
      <c r="R44" s="893"/>
      <c r="S44" s="824">
        <v>13.1602795272194</v>
      </c>
      <c r="T44" s="824">
        <v>15.2572935784417</v>
      </c>
      <c r="U44" s="824">
        <v>14.8292682926829</v>
      </c>
      <c r="V44" s="824"/>
      <c r="W44" s="894"/>
      <c r="X44" s="893">
        <v>15.4392733111795</v>
      </c>
      <c r="Y44" s="824">
        <v>14.9979993818348</v>
      </c>
      <c r="Z44" s="824">
        <v>10.577659205573</v>
      </c>
      <c r="AA44" s="824">
        <v>7.85368709775322</v>
      </c>
      <c r="AB44" s="824"/>
      <c r="AC44" s="894"/>
      <c r="AD44" s="824"/>
      <c r="AE44" s="824"/>
      <c r="AF44" s="824"/>
      <c r="AG44" s="824">
        <v>5.72759728507558</v>
      </c>
      <c r="AH44" s="824"/>
      <c r="AI44" s="894"/>
      <c r="AJ44" s="8"/>
      <c r="AK44" s="341" t="str">
        <f t="shared" si="19"/>
        <v>3Q14</v>
      </c>
      <c r="AL44" s="893">
        <f t="shared" si="20"/>
        <v>19.1297734086264</v>
      </c>
      <c r="AM44" s="824">
        <v>10.5091692501708</v>
      </c>
      <c r="AN44" s="824">
        <v>9.75066381791588</v>
      </c>
      <c r="AO44" s="824">
        <v>9.76218421147574</v>
      </c>
      <c r="AP44" s="824">
        <v>11.2093704245974</v>
      </c>
      <c r="AQ44" s="894">
        <v>11.670468219616</v>
      </c>
      <c r="AR44" s="893">
        <f t="shared" si="21"/>
        <v>0</v>
      </c>
      <c r="AS44" s="824">
        <v>11.5301878674889</v>
      </c>
      <c r="AT44" s="824">
        <v>9.29450125981918</v>
      </c>
      <c r="AU44" s="824">
        <v>10.174</v>
      </c>
      <c r="AV44" s="824">
        <v>10.7061949377709</v>
      </c>
      <c r="AW44" s="894">
        <v>7.75417661097852</v>
      </c>
      <c r="AX44" s="893">
        <f t="shared" si="22"/>
        <v>15.4392733111795</v>
      </c>
      <c r="AY44" s="824">
        <v>5.7719211459489</v>
      </c>
      <c r="AZ44" s="824">
        <v>5.19886979324506</v>
      </c>
      <c r="BA44" s="824">
        <v>6.08048688220001</v>
      </c>
      <c r="BB44" s="824">
        <v>6.46307310037609</v>
      </c>
      <c r="BC44" s="894">
        <v>4.57502620920203</v>
      </c>
      <c r="BD44" s="893">
        <f t="shared" si="31"/>
        <v>0</v>
      </c>
      <c r="BE44" s="824">
        <v>6.27598014282426</v>
      </c>
      <c r="BF44" s="824">
        <v>4.62767057952832</v>
      </c>
      <c r="BG44" s="824">
        <v>5.70927463609689</v>
      </c>
      <c r="BH44" s="824">
        <v>6.36502714720231</v>
      </c>
      <c r="BI44" s="894">
        <v>4.16147661595403</v>
      </c>
      <c r="BJ44" s="8"/>
      <c r="BK44" s="341" t="str">
        <f t="shared" si="23"/>
        <v>3Q14</v>
      </c>
      <c r="BL44" s="893">
        <f t="shared" si="24"/>
        <v>19.1297734086264</v>
      </c>
      <c r="BM44" s="824">
        <v>19.5893812359237</v>
      </c>
      <c r="BN44" s="824">
        <v>19.1582548172462</v>
      </c>
      <c r="BO44" s="824">
        <v>15.8492421790324</v>
      </c>
      <c r="BP44" s="824">
        <v>17.5627157944909</v>
      </c>
      <c r="BQ44" s="894">
        <v>16.7394614065933</v>
      </c>
      <c r="BR44" s="893">
        <f t="shared" si="25"/>
        <v>0</v>
      </c>
      <c r="BS44" s="824">
        <v>17.939423231835</v>
      </c>
      <c r="BT44" s="824">
        <v>15.6957719099303</v>
      </c>
      <c r="BU44" s="824">
        <v>14.3829034104478</v>
      </c>
      <c r="BV44" s="824">
        <v>14.8263081664242</v>
      </c>
      <c r="BW44" s="894">
        <v>15.7693740685544</v>
      </c>
      <c r="BX44" s="893">
        <f t="shared" si="26"/>
        <v>15.4392733111795</v>
      </c>
      <c r="BY44" s="824">
        <v>9.60840326774442</v>
      </c>
      <c r="BZ44" s="824">
        <v>8.16922604900108</v>
      </c>
      <c r="CA44" s="824">
        <v>8.18729190293281</v>
      </c>
      <c r="CB44" s="824">
        <v>12.1352364269548</v>
      </c>
      <c r="CC44" s="894">
        <v>9.8779039587798</v>
      </c>
      <c r="CD44" s="893">
        <f t="shared" si="32"/>
        <v>0</v>
      </c>
      <c r="CE44" s="824">
        <v>8.92820985953084</v>
      </c>
      <c r="CF44" s="824">
        <v>9.19884162373248</v>
      </c>
      <c r="CG44" s="824">
        <v>6.32416201011649</v>
      </c>
      <c r="CH44" s="824">
        <v>8.8863638105699</v>
      </c>
      <c r="CI44" s="894">
        <v>8.84993577634552</v>
      </c>
    </row>
    <row r="45" ht="14.25" customHeight="1" spans="1:87" x14ac:dyDescent="0.25">
      <c r="A45" s="8"/>
      <c r="B45" s="8"/>
      <c r="C45" s="8" t="s">
        <v>1070</v>
      </c>
      <c r="D45" s="8"/>
      <c r="E45" s="774">
        <f>AVERAGE(M36:Q75)</f>
        <v>16.68377312155128</v>
      </c>
      <c r="F45" s="774">
        <f>AVERAGE(S36:W75)</f>
        <v>13.177877933686728</v>
      </c>
      <c r="G45" s="774">
        <f>AVERAGE(Y36:AC75)</f>
        <v>10.005551532892795</v>
      </c>
      <c r="H45" s="774">
        <f>AVERAGE(AE36:AI75)</f>
        <v>10.098525556273957</v>
      </c>
      <c r="I45" s="75">
        <f>IF(I44=4,1,I44+1)</f>
        <v>4</v>
      </c>
      <c r="J45" s="7">
        <f t="shared" si="27"/>
        <v>2014</v>
      </c>
      <c r="K45" s="341" t="str">
        <f t="shared" si="18"/>
        <v>4Q14</v>
      </c>
      <c r="L45" s="893">
        <v>37.1963406985128</v>
      </c>
      <c r="M45" s="824">
        <v>13.9391566715976</v>
      </c>
      <c r="N45" s="824">
        <v>14.3505722044419</v>
      </c>
      <c r="O45" s="824">
        <v>16.6903494379468</v>
      </c>
      <c r="P45" s="824"/>
      <c r="Q45" s="894"/>
      <c r="R45" s="893"/>
      <c r="S45" s="824">
        <v>14.1223662884927</v>
      </c>
      <c r="T45" s="824">
        <v>16.5860907929873</v>
      </c>
      <c r="U45" s="824">
        <v>15.1712510941533</v>
      </c>
      <c r="V45" s="824"/>
      <c r="W45" s="894"/>
      <c r="X45" s="893">
        <v>31.4513122636362</v>
      </c>
      <c r="Y45" s="824">
        <v>14.2880686908737</v>
      </c>
      <c r="Z45" s="824">
        <v>10.7253221311356</v>
      </c>
      <c r="AA45" s="824">
        <v>7.76932751586413</v>
      </c>
      <c r="AB45" s="824"/>
      <c r="AC45" s="894"/>
      <c r="AD45" s="824"/>
      <c r="AE45" s="824"/>
      <c r="AF45" s="824">
        <v>10.0776103627357</v>
      </c>
      <c r="AG45" s="824">
        <v>6.30342407498105</v>
      </c>
      <c r="AH45" s="824">
        <v>8.83666707879429</v>
      </c>
      <c r="AI45" s="894"/>
      <c r="AJ45" s="8"/>
      <c r="AK45" s="341" t="str">
        <f t="shared" si="19"/>
        <v>4Q14</v>
      </c>
      <c r="AL45" s="893">
        <f t="shared" si="20"/>
        <v>37.1963406985128</v>
      </c>
      <c r="AM45" s="824">
        <v>10.3602506215894</v>
      </c>
      <c r="AN45" s="824">
        <v>10.610981378837</v>
      </c>
      <c r="AO45" s="824">
        <v>9.78501046318922</v>
      </c>
      <c r="AP45" s="824">
        <v>10.7532467532468</v>
      </c>
      <c r="AQ45" s="894">
        <v>11.911217487238</v>
      </c>
      <c r="AR45" s="893">
        <f t="shared" si="21"/>
        <v>0</v>
      </c>
      <c r="AS45" s="824">
        <v>11.1498209859543</v>
      </c>
      <c r="AT45" s="824">
        <v>10.333780360602</v>
      </c>
      <c r="AU45" s="824">
        <v>10.1321138211382</v>
      </c>
      <c r="AV45" s="824">
        <v>10.4574796519787</v>
      </c>
      <c r="AW45" s="894">
        <v>7.73058252427184</v>
      </c>
      <c r="AX45" s="893">
        <f t="shared" si="22"/>
        <v>31.4513122636362</v>
      </c>
      <c r="AY45" s="824">
        <v>5.9342711326619</v>
      </c>
      <c r="AZ45" s="824">
        <v>5.66188219786021</v>
      </c>
      <c r="BA45" s="824">
        <v>6.48128357458311</v>
      </c>
      <c r="BB45" s="824">
        <v>6.28518664402408</v>
      </c>
      <c r="BC45" s="894">
        <v>5.05828311740116</v>
      </c>
      <c r="BD45" s="893">
        <f t="shared" si="31"/>
        <v>0</v>
      </c>
      <c r="BE45" s="824">
        <v>6.38573615633208</v>
      </c>
      <c r="BF45" s="824">
        <v>5.46057925530489</v>
      </c>
      <c r="BG45" s="824">
        <v>6.03688149144837</v>
      </c>
      <c r="BH45" s="824">
        <v>6.25303430168215</v>
      </c>
      <c r="BI45" s="894">
        <v>4.43980479601535</v>
      </c>
      <c r="BJ45" s="8"/>
      <c r="BK45" s="341" t="str">
        <f t="shared" si="23"/>
        <v>4Q14</v>
      </c>
      <c r="BL45" s="893">
        <f t="shared" si="24"/>
        <v>37.1963406985128</v>
      </c>
      <c r="BM45" s="824">
        <v>16.68959147028</v>
      </c>
      <c r="BN45" s="824">
        <v>13.9808558081172</v>
      </c>
      <c r="BO45" s="824">
        <v>14.46875186873</v>
      </c>
      <c r="BP45" s="824">
        <v>16.2050489802576</v>
      </c>
      <c r="BQ45" s="894">
        <v>17.1849095098311</v>
      </c>
      <c r="BR45" s="893">
        <f t="shared" si="25"/>
        <v>0</v>
      </c>
      <c r="BS45" s="824">
        <v>15.2412312097351</v>
      </c>
      <c r="BT45" s="824">
        <v>12.9049929566442</v>
      </c>
      <c r="BU45" s="824">
        <v>13.1086054981923</v>
      </c>
      <c r="BV45" s="824">
        <v>14.3004348922704</v>
      </c>
      <c r="BW45" s="894">
        <v>16.252295262578</v>
      </c>
      <c r="BX45" s="893">
        <f t="shared" si="26"/>
        <v>31.4513122636362</v>
      </c>
      <c r="BY45" s="824">
        <v>8.36946250489108</v>
      </c>
      <c r="BZ45" s="824">
        <v>5.88717727923427</v>
      </c>
      <c r="CA45" s="824">
        <v>7.73022880757182</v>
      </c>
      <c r="CB45" s="824">
        <v>11.2146878954447</v>
      </c>
      <c r="CC45" s="894">
        <v>9.93992146414024</v>
      </c>
      <c r="CD45" s="893">
        <f t="shared" si="32"/>
        <v>0</v>
      </c>
      <c r="CE45" s="824">
        <v>7.78784011197483</v>
      </c>
      <c r="CF45" s="824">
        <v>7.09815111740564</v>
      </c>
      <c r="CG45" s="824">
        <v>6.0878290524665</v>
      </c>
      <c r="CH45" s="824">
        <v>8.44947361558363</v>
      </c>
      <c r="CI45" s="894">
        <v>9.14745418425886</v>
      </c>
    </row>
    <row r="46" ht="14.25" customHeight="1" spans="1:87" x14ac:dyDescent="0.25">
      <c r="A46" s="8"/>
      <c r="B46" s="8"/>
      <c r="C46" s="8" t="s">
        <v>1071</v>
      </c>
      <c r="D46" s="8"/>
      <c r="E46" s="774">
        <f>AVERAGE(M36:Q51)</f>
        <v>20.92153139617423</v>
      </c>
      <c r="F46" s="774">
        <f>AVERAGE(S36:W51)</f>
        <v>13.705279057276064</v>
      </c>
      <c r="G46" s="774">
        <f>AVERAGE(Y36:AC51)</f>
        <v>10.92825342879771</v>
      </c>
      <c r="H46" s="774">
        <f>AVERAGE(AE36:AI51)</f>
        <v>9.542183351680576</v>
      </c>
      <c r="I46" s="75">
        <f>IF(I45+1=5,1,I45+1)</f>
        <v>1</v>
      </c>
      <c r="J46" s="7">
        <f t="shared" si="27"/>
        <v>2015</v>
      </c>
      <c r="K46" s="341" t="str">
        <f t="shared" si="18"/>
        <v>1Q15</v>
      </c>
      <c r="L46" s="893">
        <v>34.0983598257618</v>
      </c>
      <c r="M46" s="824">
        <v>11.4210806388634</v>
      </c>
      <c r="N46" s="824">
        <v>13.8292434970261</v>
      </c>
      <c r="O46" s="824">
        <v>16.2389175752186</v>
      </c>
      <c r="P46" s="824"/>
      <c r="Q46" s="894"/>
      <c r="R46" s="893"/>
      <c r="S46" s="824">
        <v>12.363446583072</v>
      </c>
      <c r="T46" s="824">
        <v>16.3561654053934</v>
      </c>
      <c r="U46" s="824">
        <v>14.4471916527959</v>
      </c>
      <c r="V46" s="824"/>
      <c r="W46" s="894"/>
      <c r="X46" s="893">
        <v>27.0343134696646</v>
      </c>
      <c r="Y46" s="824">
        <v>12.3200734602453</v>
      </c>
      <c r="Z46" s="824">
        <v>10.8334181301819</v>
      </c>
      <c r="AA46" s="824">
        <v>7.79127446897373</v>
      </c>
      <c r="AB46" s="824"/>
      <c r="AC46" s="894"/>
      <c r="AD46" s="824"/>
      <c r="AE46" s="824"/>
      <c r="AF46" s="824">
        <v>9.78911744367116</v>
      </c>
      <c r="AG46" s="824">
        <v>5.88932051625205</v>
      </c>
      <c r="AH46" s="824">
        <v>9.7727500471112</v>
      </c>
      <c r="AI46" s="894"/>
      <c r="AJ46" s="8"/>
      <c r="AK46" s="341" t="str">
        <f t="shared" si="19"/>
        <v>1Q15</v>
      </c>
      <c r="AL46" s="893">
        <f t="shared" si="20"/>
        <v>34.0983598257618</v>
      </c>
      <c r="AM46" s="824">
        <v>9.04425371771246</v>
      </c>
      <c r="AN46" s="824">
        <v>7.57659154169478</v>
      </c>
      <c r="AO46" s="824">
        <v>7.88501727102388</v>
      </c>
      <c r="AP46" s="824">
        <v>7.99251241094299</v>
      </c>
      <c r="AQ46" s="894">
        <v>9.99644720357523</v>
      </c>
      <c r="AR46" s="893">
        <f t="shared" si="21"/>
        <v>0</v>
      </c>
      <c r="AS46" s="824">
        <v>9.68533333333333</v>
      </c>
      <c r="AT46" s="824">
        <v>7.58726003490401</v>
      </c>
      <c r="AU46" s="824">
        <v>8.15931323617489</v>
      </c>
      <c r="AV46" s="824">
        <v>7.91898663697105</v>
      </c>
      <c r="AW46" s="894">
        <v>6.6825</v>
      </c>
      <c r="AX46" s="893">
        <f t="shared" si="22"/>
        <v>27.0343134696646</v>
      </c>
      <c r="AY46" s="824">
        <v>5.17253288820194</v>
      </c>
      <c r="AZ46" s="824">
        <v>4.19984269413635</v>
      </c>
      <c r="BA46" s="824">
        <v>4.9072512661101</v>
      </c>
      <c r="BB46" s="824">
        <v>5.11248886371017</v>
      </c>
      <c r="BC46" s="894">
        <v>4.17560435412474</v>
      </c>
      <c r="BD46" s="893">
        <f t="shared" si="31"/>
        <v>0</v>
      </c>
      <c r="BE46" s="824">
        <v>5.73955958020657</v>
      </c>
      <c r="BF46" s="824">
        <v>4.13814087690871</v>
      </c>
      <c r="BG46" s="824">
        <v>5.1077271800271</v>
      </c>
      <c r="BH46" s="824">
        <v>5.11346710201057</v>
      </c>
      <c r="BI46" s="894">
        <v>3.80655337899628</v>
      </c>
      <c r="BJ46" s="8"/>
      <c r="BK46" s="341" t="str">
        <f t="shared" si="23"/>
        <v>1Q15</v>
      </c>
      <c r="BL46" s="893">
        <f t="shared" si="24"/>
        <v>34.0983598257618</v>
      </c>
      <c r="BM46" s="824">
        <v>10.518527508713</v>
      </c>
      <c r="BN46" s="824">
        <v>10.5037129820166</v>
      </c>
      <c r="BO46" s="824">
        <v>12.2308782324965</v>
      </c>
      <c r="BP46" s="824">
        <v>11.8037669920092</v>
      </c>
      <c r="BQ46" s="894">
        <v>13.3534736207215</v>
      </c>
      <c r="BR46" s="893">
        <f t="shared" si="25"/>
        <v>0</v>
      </c>
      <c r="BS46" s="824">
        <v>11.1121143717081</v>
      </c>
      <c r="BT46" s="824">
        <v>10.02484086322</v>
      </c>
      <c r="BU46" s="824">
        <v>10.586285316932</v>
      </c>
      <c r="BV46" s="824">
        <v>10.5668420137303</v>
      </c>
      <c r="BW46" s="894">
        <v>12.8911689263466</v>
      </c>
      <c r="BX46" s="893">
        <f t="shared" si="26"/>
        <v>27.0343134696646</v>
      </c>
      <c r="BY46" s="824">
        <v>6.2721458318025</v>
      </c>
      <c r="BZ46" s="824">
        <v>4.42812180634823</v>
      </c>
      <c r="CA46" s="824">
        <v>6.45564856024358</v>
      </c>
      <c r="CB46" s="824">
        <v>8.29363910369546</v>
      </c>
      <c r="CC46" s="894">
        <v>7.75376264505377</v>
      </c>
      <c r="CD46" s="893">
        <f t="shared" si="32"/>
        <v>0</v>
      </c>
      <c r="CE46" s="824">
        <v>6.19665638883915</v>
      </c>
      <c r="CF46" s="824">
        <v>5.63644248650866</v>
      </c>
      <c r="CG46" s="824">
        <v>5.04933041465077</v>
      </c>
      <c r="CH46" s="824">
        <v>6.59517977339049</v>
      </c>
      <c r="CI46" s="894">
        <v>7.20004497573731</v>
      </c>
    </row>
    <row r="47" ht="14.25" customHeight="1" spans="1:87" x14ac:dyDescent="0.25">
      <c r="A47" s="8"/>
      <c r="B47" s="8"/>
      <c r="C47" s="8" t="s">
        <v>1072</v>
      </c>
      <c r="D47" s="8"/>
      <c r="E47" s="774">
        <f>AVERAGE(M48:Q63)</f>
        <v>15.813516265078492</v>
      </c>
      <c r="F47" s="774">
        <f>AVERAGE(S48:W63)</f>
        <v>12.901904038556673</v>
      </c>
      <c r="G47" s="774">
        <f>AVERAGE(Y48:AC63)</f>
        <v>10.751481302151621</v>
      </c>
      <c r="H47" s="774">
        <f>AVERAGE(AE48:AI63)</f>
        <v>8.871371060812614</v>
      </c>
      <c r="I47" s="75">
        <f>IF(I46=4,1,I46+1)</f>
        <v>2</v>
      </c>
      <c r="J47" s="7">
        <f t="shared" si="27"/>
        <v>2015</v>
      </c>
      <c r="K47" s="341" t="str">
        <f t="shared" si="18"/>
        <v>2Q15</v>
      </c>
      <c r="L47" s="893">
        <v>23.1921407727915</v>
      </c>
      <c r="M47" s="824">
        <v>11.8629848732137</v>
      </c>
      <c r="N47" s="824">
        <v>18.7695255305279</v>
      </c>
      <c r="O47" s="824">
        <v>17.2560240963855</v>
      </c>
      <c r="P47" s="824"/>
      <c r="Q47" s="894"/>
      <c r="R47" s="893"/>
      <c r="S47" s="824">
        <v>10.1946621984625</v>
      </c>
      <c r="T47" s="824">
        <v>16.486010415997</v>
      </c>
      <c r="U47" s="824">
        <v>14.78020328088</v>
      </c>
      <c r="V47" s="824"/>
      <c r="W47" s="894"/>
      <c r="X47" s="893">
        <v>16.5648580963173</v>
      </c>
      <c r="Y47" s="824">
        <v>12.8640700970085</v>
      </c>
      <c r="Z47" s="824">
        <v>10.5715738310599</v>
      </c>
      <c r="AA47" s="824">
        <v>9.03306011074397</v>
      </c>
      <c r="AB47" s="824"/>
      <c r="AC47" s="894"/>
      <c r="AD47" s="824"/>
      <c r="AE47" s="824">
        <v>12.6415803495</v>
      </c>
      <c r="AF47" s="824">
        <v>9.335519547851</v>
      </c>
      <c r="AG47" s="824">
        <v>7.2000777390595</v>
      </c>
      <c r="AH47" s="824">
        <v>10.576338757945</v>
      </c>
      <c r="AI47" s="894"/>
      <c r="AJ47" s="8"/>
      <c r="AK47" s="341" t="str">
        <f t="shared" si="19"/>
        <v>2Q15</v>
      </c>
      <c r="AL47" s="893">
        <f t="shared" si="20"/>
        <v>23.1921407727915</v>
      </c>
      <c r="AM47" s="824">
        <v>10.2927177685897</v>
      </c>
      <c r="AN47" s="824">
        <v>7.86693684375211</v>
      </c>
      <c r="AO47" s="824">
        <v>9.19345748111427</v>
      </c>
      <c r="AP47" s="824">
        <v>9.16962241204287</v>
      </c>
      <c r="AQ47" s="894">
        <v>7.68521613491045</v>
      </c>
      <c r="AR47" s="893">
        <f t="shared" si="21"/>
        <v>0</v>
      </c>
      <c r="AS47" s="824">
        <v>10.6363397317907</v>
      </c>
      <c r="AT47" s="824">
        <v>8.33998859098688</v>
      </c>
      <c r="AU47" s="824">
        <v>9.57830132647001</v>
      </c>
      <c r="AV47" s="824">
        <v>9.17265193370166</v>
      </c>
      <c r="AW47" s="894">
        <v>7.09203980099503</v>
      </c>
      <c r="AX47" s="893">
        <f t="shared" si="22"/>
        <v>16.5648580963173</v>
      </c>
      <c r="AY47" s="824">
        <v>5.07278733970358</v>
      </c>
      <c r="AZ47" s="824">
        <v>4.24756283297713</v>
      </c>
      <c r="BA47" s="824">
        <v>5.34768426856692</v>
      </c>
      <c r="BB47" s="824">
        <v>5.64292679516856</v>
      </c>
      <c r="BC47" s="894">
        <v>4.66421621992631</v>
      </c>
      <c r="BD47" s="893">
        <f t="shared" si="31"/>
        <v>0</v>
      </c>
      <c r="BE47" s="824">
        <v>6.07540150394393</v>
      </c>
      <c r="BF47" s="824">
        <v>4.65268102660666</v>
      </c>
      <c r="BG47" s="824">
        <v>5.46753756842904</v>
      </c>
      <c r="BH47" s="824">
        <v>5.31948909525611</v>
      </c>
      <c r="BI47" s="894">
        <v>4.19598269631482</v>
      </c>
      <c r="BJ47" s="8"/>
      <c r="BK47" s="341" t="str">
        <f t="shared" si="23"/>
        <v>2Q15</v>
      </c>
      <c r="BL47" s="893">
        <f t="shared" si="24"/>
        <v>23.1921407727915</v>
      </c>
      <c r="BM47" s="824">
        <v>11.136940235073</v>
      </c>
      <c r="BN47" s="824">
        <v>11.6666666666667</v>
      </c>
      <c r="BO47" s="824">
        <v>17.1928194605477</v>
      </c>
      <c r="BP47" s="824">
        <v>19.4974550891937</v>
      </c>
      <c r="BQ47" s="894">
        <v>13.7129944740891</v>
      </c>
      <c r="BR47" s="893">
        <f t="shared" si="25"/>
        <v>0</v>
      </c>
      <c r="BS47" s="824">
        <v>13.3372589430296</v>
      </c>
      <c r="BT47" s="824">
        <v>9.89889941131303</v>
      </c>
      <c r="BU47" s="824">
        <v>12.5756118144631</v>
      </c>
      <c r="BV47" s="824">
        <v>12.8358552339463</v>
      </c>
      <c r="BW47" s="894">
        <v>13.3302936348714</v>
      </c>
      <c r="BX47" s="893">
        <f t="shared" si="26"/>
        <v>16.5648580963173</v>
      </c>
      <c r="BY47" s="824">
        <v>6.85328618451584</v>
      </c>
      <c r="BZ47" s="824">
        <v>4.81163814208943</v>
      </c>
      <c r="CA47" s="824">
        <v>7.47677448960995</v>
      </c>
      <c r="CB47" s="824">
        <v>13.0253702514268</v>
      </c>
      <c r="CC47" s="894">
        <v>7.88061779049841</v>
      </c>
      <c r="CD47" s="893">
        <f t="shared" si="32"/>
        <v>0</v>
      </c>
      <c r="CE47" s="824">
        <v>5.85992946565517</v>
      </c>
      <c r="CF47" s="824">
        <v>5.4586822092923</v>
      </c>
      <c r="CG47" s="824">
        <v>6.43430463007913</v>
      </c>
      <c r="CH47" s="824">
        <v>7.21769284670727</v>
      </c>
      <c r="CI47" s="894">
        <v>6.87365323404273</v>
      </c>
    </row>
    <row r="48" ht="14.25" customHeight="1" spans="1:87" x14ac:dyDescent="0.25">
      <c r="A48" s="8"/>
      <c r="B48" s="8"/>
      <c r="C48" s="8" t="s">
        <v>1073</v>
      </c>
      <c r="D48" s="8"/>
      <c r="E48" s="774">
        <f>AVERAGE(M60:Q75)</f>
        <v>13.362971419698923</v>
      </c>
      <c r="F48" s="774">
        <f>AVERAGE(S60:W75)</f>
        <v>12.204836869143872</v>
      </c>
      <c r="G48" s="774">
        <f>AVERAGE(Y60:AC75)</f>
        <v>8.790526938068322</v>
      </c>
      <c r="H48" s="774">
        <f>AVERAGE(AE60:AI75)</f>
        <v>11.16040004948274</v>
      </c>
      <c r="I48" s="75">
        <f>I44</f>
        <v>3</v>
      </c>
      <c r="J48" s="7">
        <f t="shared" si="27"/>
        <v>2015</v>
      </c>
      <c r="K48" s="341" t="str">
        <f t="shared" si="18"/>
        <v>3Q15</v>
      </c>
      <c r="L48" s="893">
        <v>27.2066092798023</v>
      </c>
      <c r="M48" s="824">
        <v>13.5555555555556</v>
      </c>
      <c r="N48" s="824">
        <v>20.5849219416068</v>
      </c>
      <c r="O48" s="824">
        <v>16.7988165680473</v>
      </c>
      <c r="P48" s="824"/>
      <c r="Q48" s="894"/>
      <c r="R48" s="893"/>
      <c r="S48" s="824">
        <v>8.3444478077397</v>
      </c>
      <c r="T48" s="824">
        <v>11.6161003917849</v>
      </c>
      <c r="U48" s="824">
        <v>12.1317777777778</v>
      </c>
      <c r="V48" s="824">
        <v>12.798623146737</v>
      </c>
      <c r="W48" s="894"/>
      <c r="X48" s="893">
        <v>20.2207364280995</v>
      </c>
      <c r="Y48" s="824">
        <v>13.8239175678639</v>
      </c>
      <c r="Z48" s="824">
        <v>10.6924625321416</v>
      </c>
      <c r="AA48" s="824">
        <v>8.20780386838475</v>
      </c>
      <c r="AB48" s="824"/>
      <c r="AC48" s="894"/>
      <c r="AD48" s="824"/>
      <c r="AE48" s="824"/>
      <c r="AF48" s="824">
        <v>12.4299845979872</v>
      </c>
      <c r="AG48" s="824">
        <v>5.76711427043031</v>
      </c>
      <c r="AH48" s="824">
        <v>10.9855195361333</v>
      </c>
      <c r="AI48" s="894"/>
      <c r="AJ48" s="8"/>
      <c r="AK48" s="341" t="str">
        <f t="shared" si="19"/>
        <v>3Q15</v>
      </c>
      <c r="AL48" s="893">
        <f t="shared" si="20"/>
        <v>27.2066092798023</v>
      </c>
      <c r="AM48" s="824">
        <v>10.8005768320536</v>
      </c>
      <c r="AN48" s="824">
        <v>7.90818529546226</v>
      </c>
      <c r="AO48" s="824">
        <v>9.5463149108266</v>
      </c>
      <c r="AP48" s="824">
        <v>10.2308964708008</v>
      </c>
      <c r="AQ48" s="894">
        <v>8.08416807737511</v>
      </c>
      <c r="AR48" s="893">
        <f t="shared" si="21"/>
        <v>0</v>
      </c>
      <c r="AS48" s="824">
        <v>11.4122428244856</v>
      </c>
      <c r="AT48" s="824">
        <v>9.2925604746691</v>
      </c>
      <c r="AU48" s="824">
        <v>10.414364640884</v>
      </c>
      <c r="AV48" s="824">
        <v>10.0027262813522</v>
      </c>
      <c r="AW48" s="894">
        <v>7.40493827160494</v>
      </c>
      <c r="AX48" s="893">
        <f t="shared" si="22"/>
        <v>20.2207364280995</v>
      </c>
      <c r="AY48" s="824">
        <v>5.45960287918951</v>
      </c>
      <c r="AZ48" s="824">
        <v>4.38531826368266</v>
      </c>
      <c r="BA48" s="824">
        <v>5.63891016583893</v>
      </c>
      <c r="BB48" s="824">
        <v>6.34456824794384</v>
      </c>
      <c r="BC48" s="894">
        <v>4.89789496193626</v>
      </c>
      <c r="BD48" s="893">
        <f t="shared" si="31"/>
        <v>0</v>
      </c>
      <c r="BE48" s="824">
        <v>6.72381189121008</v>
      </c>
      <c r="BF48" s="824">
        <v>5.03245583564808</v>
      </c>
      <c r="BG48" s="824">
        <v>6.03177403608887</v>
      </c>
      <c r="BH48" s="824">
        <v>6.08587259966105</v>
      </c>
      <c r="BI48" s="894">
        <v>4.49590768173475</v>
      </c>
      <c r="BJ48" s="8"/>
      <c r="BK48" s="341" t="str">
        <f t="shared" si="23"/>
        <v>3Q15</v>
      </c>
      <c r="BL48" s="893">
        <f t="shared" si="24"/>
        <v>27.2066092798023</v>
      </c>
      <c r="BM48" s="824">
        <v>12.2734575189388</v>
      </c>
      <c r="BN48" s="824">
        <v>12.0208023774146</v>
      </c>
      <c r="BO48" s="824">
        <v>18.8921422410501</v>
      </c>
      <c r="BP48" s="824">
        <v>20.5661114791311</v>
      </c>
      <c r="BQ48" s="894">
        <v>15.5022531910082</v>
      </c>
      <c r="BR48" s="893">
        <f t="shared" si="25"/>
        <v>0</v>
      </c>
      <c r="BS48" s="824">
        <v>11.1855507718156</v>
      </c>
      <c r="BT48" s="824">
        <v>10.1049213090182</v>
      </c>
      <c r="BU48" s="824">
        <v>12.5356176725146</v>
      </c>
      <c r="BV48" s="824">
        <v>13.0753090608726</v>
      </c>
      <c r="BW48" s="894">
        <v>15.0280847979706</v>
      </c>
      <c r="BX48" s="893">
        <f t="shared" si="26"/>
        <v>20.2207364280995</v>
      </c>
      <c r="BY48" s="824">
        <v>7.56652201636161</v>
      </c>
      <c r="BZ48" s="824">
        <v>5.69160000786954</v>
      </c>
      <c r="CA48" s="824">
        <v>8.57187044792342</v>
      </c>
      <c r="CB48" s="824">
        <v>13.8815772921564</v>
      </c>
      <c r="CC48" s="894">
        <v>8.77225038791144</v>
      </c>
      <c r="CD48" s="893">
        <f t="shared" si="32"/>
        <v>0</v>
      </c>
      <c r="CE48" s="824">
        <v>6.50489804620697</v>
      </c>
      <c r="CF48" s="824">
        <v>6.40484134479815</v>
      </c>
      <c r="CG48" s="824">
        <v>6.98060565859495</v>
      </c>
      <c r="CH48" s="824">
        <v>8.15894519046955</v>
      </c>
      <c r="CI48" s="894">
        <v>8.01958260038547</v>
      </c>
    </row>
    <row r="49" ht="14.25" customHeight="1" spans="1:87" x14ac:dyDescent="0.25">
      <c r="A49" s="8"/>
      <c r="B49" s="8"/>
      <c r="C49" s="8"/>
      <c r="D49" s="8"/>
      <c r="E49" s="8"/>
      <c r="F49" s="8"/>
      <c r="G49" s="8"/>
      <c r="H49" s="8"/>
      <c r="I49" s="75">
        <f>IF(I48=4,1,I48+1)</f>
        <v>4</v>
      </c>
      <c r="J49" s="7">
        <f t="shared" si="27"/>
        <v>2015</v>
      </c>
      <c r="K49" s="341" t="str">
        <f t="shared" si="18"/>
        <v>4Q15</v>
      </c>
      <c r="L49" s="893">
        <v>16.5528640056606</v>
      </c>
      <c r="M49" s="824">
        <v>11.4540682414698</v>
      </c>
      <c r="N49" s="824">
        <v>21.4169298345177</v>
      </c>
      <c r="O49" s="824">
        <v>17.3702623906706</v>
      </c>
      <c r="P49" s="824"/>
      <c r="Q49" s="894"/>
      <c r="R49" s="893">
        <v>16.9043141673171</v>
      </c>
      <c r="S49" s="824">
        <v>10.1955835962145</v>
      </c>
      <c r="T49" s="824">
        <v>12.0683760683761</v>
      </c>
      <c r="U49" s="824">
        <v>14.5317278479666</v>
      </c>
      <c r="V49" s="824">
        <v>14.9438108064333</v>
      </c>
      <c r="W49" s="894"/>
      <c r="X49" s="893">
        <v>13.0468403906062</v>
      </c>
      <c r="Y49" s="824">
        <v>14.9758055187725</v>
      </c>
      <c r="Z49" s="824">
        <v>11.5261331469235</v>
      </c>
      <c r="AA49" s="824">
        <v>8.69102814304284</v>
      </c>
      <c r="AB49" s="824"/>
      <c r="AC49" s="894"/>
      <c r="AD49" s="824"/>
      <c r="AE49" s="824"/>
      <c r="AF49" s="824"/>
      <c r="AG49" s="824">
        <v>2.20704243303263</v>
      </c>
      <c r="AH49" s="824">
        <v>14.5567473506752</v>
      </c>
      <c r="AI49" s="894"/>
      <c r="AJ49" s="8"/>
      <c r="AK49" s="341" t="str">
        <f t="shared" si="19"/>
        <v>4Q15</v>
      </c>
      <c r="AL49" s="893">
        <f t="shared" si="20"/>
        <v>16.5528640056606</v>
      </c>
      <c r="AM49" s="824">
        <v>10.1080216461171</v>
      </c>
      <c r="AN49" s="824">
        <v>8.18487580198375</v>
      </c>
      <c r="AO49" s="824">
        <v>9.8608863994173</v>
      </c>
      <c r="AP49" s="824">
        <v>9.13270838802435</v>
      </c>
      <c r="AQ49" s="894">
        <v>8.1531872577492</v>
      </c>
      <c r="AR49" s="893">
        <f t="shared" si="21"/>
        <v>16.9043141673171</v>
      </c>
      <c r="AS49" s="824">
        <v>11.0437539632213</v>
      </c>
      <c r="AT49" s="824">
        <v>9.24358788581365</v>
      </c>
      <c r="AU49" s="824">
        <v>10.886879569065</v>
      </c>
      <c r="AV49" s="824">
        <v>9.19559459082671</v>
      </c>
      <c r="AW49" s="894">
        <v>7.12592592592593</v>
      </c>
      <c r="AX49" s="893">
        <f t="shared" si="22"/>
        <v>13.0468403906062</v>
      </c>
      <c r="AY49" s="824">
        <v>5.09384229041825</v>
      </c>
      <c r="AZ49" s="824">
        <v>4.51621775796576</v>
      </c>
      <c r="BA49" s="824">
        <v>5.9616220191104</v>
      </c>
      <c r="BB49" s="824">
        <v>5.74067742761281</v>
      </c>
      <c r="BC49" s="894">
        <v>4.69190112304688</v>
      </c>
      <c r="BD49" s="893">
        <f t="shared" si="31"/>
        <v>0</v>
      </c>
      <c r="BE49" s="824">
        <v>6.36674768430075</v>
      </c>
      <c r="BF49" s="824">
        <v>4.98548193136238</v>
      </c>
      <c r="BG49" s="824">
        <v>6.42986450834854</v>
      </c>
      <c r="BH49" s="824">
        <v>5.61897147902472</v>
      </c>
      <c r="BI49" s="894">
        <v>4.2346854791345</v>
      </c>
      <c r="BJ49" s="8"/>
      <c r="BK49" s="341" t="str">
        <f t="shared" si="23"/>
        <v>4Q15</v>
      </c>
      <c r="BL49" s="893">
        <f t="shared" si="24"/>
        <v>16.5528640056606</v>
      </c>
      <c r="BM49" s="824">
        <v>9.0476464984031</v>
      </c>
      <c r="BN49" s="824">
        <v>11.2008310249307</v>
      </c>
      <c r="BO49" s="824">
        <v>19.0565186308401</v>
      </c>
      <c r="BP49" s="824">
        <v>17.7444200779301</v>
      </c>
      <c r="BQ49" s="894">
        <v>13.557266662622</v>
      </c>
      <c r="BR49" s="893">
        <f t="shared" si="25"/>
        <v>16.9043141673171</v>
      </c>
      <c r="BS49" s="824">
        <v>8.73829371205104</v>
      </c>
      <c r="BT49" s="824">
        <v>9.80123621379227</v>
      </c>
      <c r="BU49" s="824">
        <v>12.9325236772111</v>
      </c>
      <c r="BV49" s="824">
        <v>11.7818741310035</v>
      </c>
      <c r="BW49" s="894">
        <v>13.7377228082939</v>
      </c>
      <c r="BX49" s="893">
        <f t="shared" si="26"/>
        <v>13.0468403906062</v>
      </c>
      <c r="BY49" s="824">
        <v>5.60872942522665</v>
      </c>
      <c r="BZ49" s="824">
        <v>4.98025707935359</v>
      </c>
      <c r="CA49" s="824">
        <v>9.22266505630733</v>
      </c>
      <c r="CB49" s="824">
        <v>12.458154399644</v>
      </c>
      <c r="CC49" s="894">
        <v>9.2789607868955</v>
      </c>
      <c r="CD49" s="893">
        <f t="shared" si="32"/>
        <v>0</v>
      </c>
      <c r="CE49" s="824">
        <v>5.27651474375429</v>
      </c>
      <c r="CF49" s="824">
        <v>5.61804636350975</v>
      </c>
      <c r="CG49" s="824">
        <v>8.32664327429542</v>
      </c>
      <c r="CH49" s="824">
        <v>7.46946887391111</v>
      </c>
      <c r="CI49" s="894">
        <v>8.6931720305652</v>
      </c>
    </row>
    <row r="50" ht="14.25" customHeight="1" spans="1:87" x14ac:dyDescent="0.25">
      <c r="A50" s="261" t="s">
        <v>3</v>
      </c>
      <c r="B50" s="8"/>
      <c r="C50" s="882" t="s">
        <v>708</v>
      </c>
      <c r="D50" s="101"/>
      <c r="E50" s="101"/>
      <c r="F50" s="101"/>
      <c r="G50" s="101"/>
      <c r="H50" s="102"/>
      <c r="I50" s="75">
        <f>IF(I49+1=5,1,I49+1)</f>
        <v>1</v>
      </c>
      <c r="J50" s="7">
        <f t="shared" si="27"/>
        <v>2016</v>
      </c>
      <c r="K50" s="341" t="str">
        <f t="shared" si="18"/>
        <v>1Q16</v>
      </c>
      <c r="L50" s="893">
        <v>14.9883527220322</v>
      </c>
      <c r="M50" s="824">
        <v>9.56878306878307</v>
      </c>
      <c r="N50" s="824">
        <v>15.3229149643733</v>
      </c>
      <c r="O50" s="824">
        <v>14.2206303724928</v>
      </c>
      <c r="P50" s="824">
        <v>17.44</v>
      </c>
      <c r="Q50" s="894"/>
      <c r="R50" s="893"/>
      <c r="S50" s="824">
        <v>11.1383527293986</v>
      </c>
      <c r="T50" s="824">
        <v>11.0145016853079</v>
      </c>
      <c r="U50" s="824">
        <v>13.0603458804181</v>
      </c>
      <c r="V50" s="824">
        <v>13.9887640449438</v>
      </c>
      <c r="W50" s="894"/>
      <c r="X50" s="893">
        <v>13.1360205676398</v>
      </c>
      <c r="Y50" s="824">
        <v>12.2850339565567</v>
      </c>
      <c r="Z50" s="824">
        <v>10.0809504434877</v>
      </c>
      <c r="AA50" s="824">
        <v>6.88302209591139</v>
      </c>
      <c r="AB50" s="824">
        <v>10.5819477844535</v>
      </c>
      <c r="AC50" s="894"/>
      <c r="AD50" s="824"/>
      <c r="AE50" s="824"/>
      <c r="AF50" s="824">
        <v>8.75151183758715</v>
      </c>
      <c r="AG50" s="824">
        <v>7.4983254841489</v>
      </c>
      <c r="AH50" s="824">
        <v>12.9763642937846</v>
      </c>
      <c r="AI50" s="894"/>
      <c r="AJ50" s="8"/>
      <c r="AK50" s="341" t="str">
        <f t="shared" si="19"/>
        <v>1Q16</v>
      </c>
      <c r="AL50" s="893">
        <f t="shared" si="20"/>
        <v>14.9883527220322</v>
      </c>
      <c r="AM50" s="824">
        <v>10.6045068586335</v>
      </c>
      <c r="AN50" s="824">
        <v>8.56758558525328</v>
      </c>
      <c r="AO50" s="824">
        <v>9.80641929304912</v>
      </c>
      <c r="AP50" s="824">
        <v>9.34626997319944</v>
      </c>
      <c r="AQ50" s="894">
        <v>9.18434226435989</v>
      </c>
      <c r="AR50" s="893">
        <f t="shared" si="21"/>
        <v>0</v>
      </c>
      <c r="AS50" s="824">
        <v>11.5326664196616</v>
      </c>
      <c r="AT50" s="824">
        <v>9.20465567410281</v>
      </c>
      <c r="AU50" s="824">
        <v>10.7262150497279</v>
      </c>
      <c r="AV50" s="824">
        <v>9.3113645965357</v>
      </c>
      <c r="AW50" s="894">
        <v>8.02716049382716</v>
      </c>
      <c r="AX50" s="893">
        <f t="shared" si="22"/>
        <v>13.1360205676398</v>
      </c>
      <c r="AY50" s="824">
        <v>5.20991143288719</v>
      </c>
      <c r="AZ50" s="824">
        <v>4.63203413299972</v>
      </c>
      <c r="BA50" s="824">
        <v>5.67915444963531</v>
      </c>
      <c r="BB50" s="824">
        <v>5.66900012121866</v>
      </c>
      <c r="BC50" s="894">
        <v>5.23832863134496</v>
      </c>
      <c r="BD50" s="893">
        <f t="shared" si="31"/>
        <v>0</v>
      </c>
      <c r="BE50" s="824">
        <v>6.40014317784417</v>
      </c>
      <c r="BF50" s="824">
        <v>4.83632597350223</v>
      </c>
      <c r="BG50" s="824">
        <v>6.17153294639134</v>
      </c>
      <c r="BH50" s="824">
        <v>5.47483447978444</v>
      </c>
      <c r="BI50" s="894">
        <v>4.73882668145305</v>
      </c>
      <c r="BJ50" s="8"/>
      <c r="BK50" s="341" t="str">
        <f t="shared" si="23"/>
        <v>1Q16</v>
      </c>
      <c r="BL50" s="893">
        <f t="shared" si="24"/>
        <v>14.9883527220322</v>
      </c>
      <c r="BM50" s="824">
        <v>8.7278773820466</v>
      </c>
      <c r="BN50" s="824">
        <v>10.9813581890812</v>
      </c>
      <c r="BO50" s="824">
        <v>18.6636395296049</v>
      </c>
      <c r="BP50" s="824">
        <v>17.1441961813853</v>
      </c>
      <c r="BQ50" s="894">
        <v>14.213143045327</v>
      </c>
      <c r="BR50" s="893">
        <f t="shared" si="25"/>
        <v>0</v>
      </c>
      <c r="BS50" s="824">
        <v>9.06829679595278</v>
      </c>
      <c r="BT50" s="824">
        <v>10.6098031648012</v>
      </c>
      <c r="BU50" s="824">
        <v>14.1845479493177</v>
      </c>
      <c r="BV50" s="824">
        <v>12.6292508009654</v>
      </c>
      <c r="BW50" s="894">
        <v>14.7355543007717</v>
      </c>
      <c r="BX50" s="893">
        <f t="shared" si="26"/>
        <v>13.1360205676398</v>
      </c>
      <c r="BY50" s="824">
        <v>5.20222161078648</v>
      </c>
      <c r="BZ50" s="824">
        <v>4.88940153984057</v>
      </c>
      <c r="CA50" s="824">
        <v>10.3988669282679</v>
      </c>
      <c r="CB50" s="824">
        <v>12.060953090903</v>
      </c>
      <c r="CC50" s="894">
        <v>10.4329188660323</v>
      </c>
      <c r="CD50" s="893">
        <f t="shared" si="32"/>
        <v>0</v>
      </c>
      <c r="CE50" s="824">
        <v>5.40052665911043</v>
      </c>
      <c r="CF50" s="824">
        <v>6.01212995806737</v>
      </c>
      <c r="CG50" s="824">
        <v>9.28148033731055</v>
      </c>
      <c r="CH50" s="824">
        <v>7.9211118503344</v>
      </c>
      <c r="CI50" s="894">
        <v>10.09882653422</v>
      </c>
    </row>
    <row r="51" ht="14.25" customHeight="1" spans="1:87" x14ac:dyDescent="0.25">
      <c r="A51" s="8"/>
      <c r="B51" s="8"/>
      <c r="C51" s="892" t="s">
        <v>1060</v>
      </c>
      <c r="D51" s="892"/>
      <c r="E51" s="892"/>
      <c r="F51" s="892"/>
      <c r="G51" s="892"/>
      <c r="H51" s="892"/>
      <c r="I51" s="75">
        <f>IF(I50=4,1,I50+1)</f>
        <v>2</v>
      </c>
      <c r="J51" s="7">
        <f t="shared" si="27"/>
        <v>2016</v>
      </c>
      <c r="K51" s="341" t="str">
        <f t="shared" si="18"/>
        <v>2Q16</v>
      </c>
      <c r="L51" s="893">
        <v>24.3662353902283</v>
      </c>
      <c r="M51" s="824">
        <v>12.2891715060349</v>
      </c>
      <c r="N51" s="824">
        <v>15.4634884987566</v>
      </c>
      <c r="O51" s="824">
        <v>16.9008746355685</v>
      </c>
      <c r="P51" s="824">
        <v>22.7581763589349</v>
      </c>
      <c r="Q51" s="894"/>
      <c r="R51" s="893"/>
      <c r="S51" s="824">
        <v>9.268386026574</v>
      </c>
      <c r="T51" s="824">
        <v>11.6705438452007</v>
      </c>
      <c r="U51" s="824">
        <v>12.7571426774619</v>
      </c>
      <c r="V51" s="824">
        <v>12.533014403029</v>
      </c>
      <c r="W51" s="894"/>
      <c r="X51" s="893">
        <v>30.5747276559417</v>
      </c>
      <c r="Y51" s="824">
        <v>11.5791943807274</v>
      </c>
      <c r="Z51" s="824">
        <v>9.429787194703</v>
      </c>
      <c r="AA51" s="824">
        <v>8.18611582372685</v>
      </c>
      <c r="AB51" s="824">
        <v>14.08052364437</v>
      </c>
      <c r="AC51" s="894"/>
      <c r="AD51" s="824"/>
      <c r="AE51" s="824"/>
      <c r="AF51" s="824">
        <v>11.2594360431734</v>
      </c>
      <c r="AG51" s="824">
        <v>8.08850612903854</v>
      </c>
      <c r="AH51" s="824">
        <v>12.1977259912464</v>
      </c>
      <c r="AI51" s="894"/>
      <c r="AJ51" s="8"/>
      <c r="AK51" s="341" t="str">
        <f t="shared" si="19"/>
        <v>2Q16</v>
      </c>
      <c r="AL51" s="893">
        <f t="shared" si="20"/>
        <v>24.3662353902283</v>
      </c>
      <c r="AM51" s="824">
        <v>10.939313538814</v>
      </c>
      <c r="AN51" s="824">
        <v>8.65965505408376</v>
      </c>
      <c r="AO51" s="824">
        <v>10.0778388743355</v>
      </c>
      <c r="AP51" s="824">
        <v>10.9430778279215</v>
      </c>
      <c r="AQ51" s="894">
        <v>11.5336818429242</v>
      </c>
      <c r="AR51" s="893">
        <f t="shared" si="21"/>
        <v>0</v>
      </c>
      <c r="AS51" s="824">
        <v>10.9842894548917</v>
      </c>
      <c r="AT51" s="824">
        <v>9.13737155219037</v>
      </c>
      <c r="AU51" s="824">
        <v>10.4030363274896</v>
      </c>
      <c r="AV51" s="824">
        <v>9.9056199056199</v>
      </c>
      <c r="AW51" s="894">
        <v>8.48614609571788</v>
      </c>
      <c r="AX51" s="893">
        <f t="shared" si="22"/>
        <v>30.5747276559417</v>
      </c>
      <c r="AY51" s="824">
        <v>6.32126177836678</v>
      </c>
      <c r="AZ51" s="824">
        <v>4.57695008741106</v>
      </c>
      <c r="BA51" s="824">
        <v>5.76020463790628</v>
      </c>
      <c r="BB51" s="824">
        <v>17.2533686233174</v>
      </c>
      <c r="BC51" s="894">
        <v>4.84202675761119</v>
      </c>
      <c r="BD51" s="893">
        <f t="shared" si="31"/>
        <v>0</v>
      </c>
      <c r="BE51" s="824">
        <v>6.78215566248927</v>
      </c>
      <c r="BF51" s="824">
        <v>5.09924907976123</v>
      </c>
      <c r="BG51" s="824">
        <v>6.10279206481292</v>
      </c>
      <c r="BH51" s="824">
        <v>5.62315387593203</v>
      </c>
      <c r="BI51" s="894">
        <v>4.41711007599884</v>
      </c>
      <c r="BJ51" s="8"/>
      <c r="BK51" s="341" t="str">
        <f t="shared" si="23"/>
        <v>2Q16</v>
      </c>
      <c r="BL51" s="893">
        <f t="shared" si="24"/>
        <v>24.3662353902283</v>
      </c>
      <c r="BM51" s="824">
        <v>10.410691881697</v>
      </c>
      <c r="BN51" s="824">
        <v>11.1961858862244</v>
      </c>
      <c r="BO51" s="824">
        <v>14.1480637413155</v>
      </c>
      <c r="BP51" s="824">
        <v>14.8818083973992</v>
      </c>
      <c r="BQ51" s="894">
        <v>15.0859111459884</v>
      </c>
      <c r="BR51" s="893">
        <f t="shared" si="25"/>
        <v>0</v>
      </c>
      <c r="BS51" s="824">
        <v>9.84059960465627</v>
      </c>
      <c r="BT51" s="824">
        <v>10.3459834789896</v>
      </c>
      <c r="BU51" s="824">
        <v>13.4242627318696</v>
      </c>
      <c r="BV51" s="824">
        <v>13.4783838217687</v>
      </c>
      <c r="BW51" s="894">
        <v>15.4038317054846</v>
      </c>
      <c r="BX51" s="893">
        <f t="shared" si="26"/>
        <v>30.5747276559417</v>
      </c>
      <c r="BY51" s="824">
        <v>5.78148773705291</v>
      </c>
      <c r="BZ51" s="824">
        <v>4.72035075619799</v>
      </c>
      <c r="CA51" s="824">
        <v>9.15838226846345</v>
      </c>
      <c r="CB51" s="824">
        <v>9.03030245541161</v>
      </c>
      <c r="CC51" s="894">
        <v>10.3128599049214</v>
      </c>
      <c r="CD51" s="893">
        <f t="shared" si="32"/>
        <v>0</v>
      </c>
      <c r="CE51" s="824">
        <v>5.90612163514183</v>
      </c>
      <c r="CF51" s="824">
        <v>5.299003534864</v>
      </c>
      <c r="CG51" s="824">
        <v>7.82073296342177</v>
      </c>
      <c r="CH51" s="824">
        <v>7.50386760768766</v>
      </c>
      <c r="CI51" s="894">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3">
        <v>15.9173895564626</v>
      </c>
      <c r="M52" s="824">
        <v>12.477306835253</v>
      </c>
      <c r="N52" s="824">
        <v>11.9159234981609</v>
      </c>
      <c r="O52" s="824">
        <v>14.4345950036473</v>
      </c>
      <c r="P52" s="824">
        <v>21.0029631891439</v>
      </c>
      <c r="Q52" s="894"/>
      <c r="R52" s="893"/>
      <c r="S52" s="824">
        <v>10.8828791236482</v>
      </c>
      <c r="T52" s="824">
        <v>13.8492246425709</v>
      </c>
      <c r="U52" s="824">
        <v>14.1572760437779</v>
      </c>
      <c r="V52" s="824">
        <v>13.8866950782026</v>
      </c>
      <c r="W52" s="894"/>
      <c r="X52" s="893">
        <v>20.216052500018</v>
      </c>
      <c r="Y52" s="824">
        <v>10.7235414504075</v>
      </c>
      <c r="Z52" s="824">
        <v>9.13414249872432</v>
      </c>
      <c r="AA52" s="824">
        <v>6.74450477825946</v>
      </c>
      <c r="AB52" s="824">
        <v>11.8570886466205</v>
      </c>
      <c r="AC52" s="894"/>
      <c r="AD52" s="824"/>
      <c r="AE52" s="824"/>
      <c r="AF52" s="824"/>
      <c r="AG52" s="824">
        <v>9.97766994757223</v>
      </c>
      <c r="AH52" s="824">
        <v>11.0210053114973</v>
      </c>
      <c r="AI52" s="894"/>
      <c r="AJ52" s="8"/>
      <c r="AK52" s="341" t="str">
        <f t="shared" si="19"/>
        <v>3Q16</v>
      </c>
      <c r="AL52" s="893">
        <f t="shared" si="20"/>
        <v>15.9173895564626</v>
      </c>
      <c r="AM52" s="824">
        <v>10.9747005408781</v>
      </c>
      <c r="AN52" s="824">
        <v>8.90906102941755</v>
      </c>
      <c r="AO52" s="824">
        <v>9.99584455790109</v>
      </c>
      <c r="AP52" s="824">
        <v>11.0516739030497</v>
      </c>
      <c r="AQ52" s="894">
        <v>13.4987555674236</v>
      </c>
      <c r="AR52" s="893">
        <f t="shared" si="21"/>
        <v>0</v>
      </c>
      <c r="AS52" s="824">
        <v>10.7964205816555</v>
      </c>
      <c r="AT52" s="824">
        <v>9.9545906059316</v>
      </c>
      <c r="AU52" s="824">
        <v>11.0217472815898</v>
      </c>
      <c r="AV52" s="824">
        <v>10.4104532703381</v>
      </c>
      <c r="AW52" s="894">
        <v>9.43301435406699</v>
      </c>
      <c r="AX52" s="893">
        <f t="shared" si="22"/>
        <v>20.216052500018</v>
      </c>
      <c r="AY52" s="824">
        <v>6.25222651321006</v>
      </c>
      <c r="AZ52" s="824">
        <v>4.83952787353108</v>
      </c>
      <c r="BA52" s="824">
        <v>5.83587531857158</v>
      </c>
      <c r="BB52" s="824">
        <v>17.5958788491898</v>
      </c>
      <c r="BC52" s="894">
        <v>5.68527472329238</v>
      </c>
      <c r="BD52" s="893">
        <f t="shared" si="31"/>
        <v>0</v>
      </c>
      <c r="BE52" s="824">
        <v>6.40065941153131</v>
      </c>
      <c r="BF52" s="824">
        <v>5.38918917105491</v>
      </c>
      <c r="BG52" s="824">
        <v>6.37096811530985</v>
      </c>
      <c r="BH52" s="824">
        <v>6.06595367790709</v>
      </c>
      <c r="BI52" s="894">
        <v>5.2266664649216</v>
      </c>
      <c r="BJ52" s="8"/>
      <c r="BK52" s="341" t="str">
        <f t="shared" si="23"/>
        <v>3Q16</v>
      </c>
      <c r="BL52" s="893">
        <f t="shared" si="24"/>
        <v>15.9173895564626</v>
      </c>
      <c r="BM52" s="824">
        <v>11.3979492341081</v>
      </c>
      <c r="BN52" s="824">
        <v>10.6559916715208</v>
      </c>
      <c r="BO52" s="824">
        <v>16.3110862969049</v>
      </c>
      <c r="BP52" s="824">
        <v>16.9422737201693</v>
      </c>
      <c r="BQ52" s="894">
        <v>16.5946552528309</v>
      </c>
      <c r="BR52" s="893">
        <f t="shared" si="25"/>
        <v>0</v>
      </c>
      <c r="BS52" s="824">
        <v>10.8617459722743</v>
      </c>
      <c r="BT52" s="824">
        <v>10.0128100617212</v>
      </c>
      <c r="BU52" s="824">
        <v>13.2523150673822</v>
      </c>
      <c r="BV52" s="824">
        <v>14.4974502069346</v>
      </c>
      <c r="BW52" s="894">
        <v>15.2838213643056</v>
      </c>
      <c r="BX52" s="893">
        <f t="shared" si="26"/>
        <v>20.216052500018</v>
      </c>
      <c r="BY52" s="824">
        <v>6.17824326026236</v>
      </c>
      <c r="BZ52" s="824">
        <v>5.36871235891615</v>
      </c>
      <c r="CA52" s="824">
        <v>9.74395550475693</v>
      </c>
      <c r="CB52" s="824">
        <v>10.5591287033373</v>
      </c>
      <c r="CC52" s="894">
        <v>10.940341244788</v>
      </c>
      <c r="CD52" s="893">
        <f t="shared" si="32"/>
        <v>0</v>
      </c>
      <c r="CE52" s="824">
        <v>6.05796027145949</v>
      </c>
      <c r="CF52" s="824">
        <v>6.03868418220498</v>
      </c>
      <c r="CG52" s="824">
        <v>7.77903050962802</v>
      </c>
      <c r="CH52" s="824">
        <v>9.0216648635804</v>
      </c>
      <c r="CI52" s="894">
        <v>9.76738277151971</v>
      </c>
    </row>
    <row r="53" ht="14.25" customHeight="1" spans="1:87" x14ac:dyDescent="0.25">
      <c r="A53" s="8"/>
      <c r="B53" s="8"/>
      <c r="C53" s="8" t="s">
        <v>1029</v>
      </c>
      <c r="D53" s="8"/>
      <c r="E53" s="774">
        <f>AVERAGE(AM81:AQ86)</f>
        <v>16.2811317957635</v>
      </c>
      <c r="F53" s="774">
        <f>AVERAGE(AS81:AW86)</f>
        <v>16.207046180263625</v>
      </c>
      <c r="G53" s="774">
        <f>AVERAGE(AY81:BC86)</f>
        <v>12.026952580590283</v>
      </c>
      <c r="H53" s="774">
        <f>AVERAGE(BE81:BI86)</f>
        <v>12.189450395723325</v>
      </c>
      <c r="I53" s="75">
        <f>IF(I52=4,1,I52+1)</f>
        <v>4</v>
      </c>
      <c r="J53" s="7">
        <f t="shared" si="27"/>
        <v>2016</v>
      </c>
      <c r="K53" s="341" t="str">
        <f t="shared" si="18"/>
        <v>4Q16</v>
      </c>
      <c r="L53" s="893"/>
      <c r="M53" s="824">
        <v>10.8884797285101</v>
      </c>
      <c r="N53" s="824">
        <v>12.9327644287707</v>
      </c>
      <c r="O53" s="824">
        <v>14.3949297144928</v>
      </c>
      <c r="P53" s="824">
        <v>17.7835793249395</v>
      </c>
      <c r="Q53" s="894"/>
      <c r="R53" s="893">
        <v>15.0671000341239</v>
      </c>
      <c r="S53" s="824">
        <v>12.8774422735346</v>
      </c>
      <c r="T53" s="824">
        <v>16.6025641025641</v>
      </c>
      <c r="U53" s="824">
        <v>15.457811464717</v>
      </c>
      <c r="V53" s="824">
        <v>17.1156483085964</v>
      </c>
      <c r="W53" s="894"/>
      <c r="X53" s="893"/>
      <c r="Y53" s="824">
        <v>13.5530780899785</v>
      </c>
      <c r="Z53" s="824">
        <v>11.0079201306858</v>
      </c>
      <c r="AA53" s="824">
        <v>8.54685422486896</v>
      </c>
      <c r="AB53" s="824">
        <v>9.43049955043272</v>
      </c>
      <c r="AC53" s="894"/>
      <c r="AD53" s="824"/>
      <c r="AE53" s="824"/>
      <c r="AF53" s="824">
        <v>10.1010653368917</v>
      </c>
      <c r="AG53" s="824">
        <v>8.67674506602226</v>
      </c>
      <c r="AH53" s="824">
        <v>11.8116790463369</v>
      </c>
      <c r="AI53" s="894"/>
      <c r="AJ53" s="8"/>
      <c r="AK53" s="341" t="str">
        <f t="shared" si="19"/>
        <v>4Q16</v>
      </c>
      <c r="AL53" s="893">
        <f t="shared" si="20"/>
        <v>0</v>
      </c>
      <c r="AM53" s="824">
        <v>11.9782130374776</v>
      </c>
      <c r="AN53" s="824">
        <v>10.1920161063397</v>
      </c>
      <c r="AO53" s="824">
        <v>11.0652994919033</v>
      </c>
      <c r="AP53" s="824">
        <v>12.1382016308239</v>
      </c>
      <c r="AQ53" s="894">
        <v>13.1569455274973</v>
      </c>
      <c r="AR53" s="893">
        <f t="shared" si="21"/>
        <v>15.0671000341239</v>
      </c>
      <c r="AS53" s="824">
        <v>12.041745309204</v>
      </c>
      <c r="AT53" s="824">
        <v>11.5031953320367</v>
      </c>
      <c r="AU53" s="824">
        <v>12.081125525306</v>
      </c>
      <c r="AV53" s="824">
        <v>11.6027255221449</v>
      </c>
      <c r="AW53" s="894">
        <v>9.05437352245863</v>
      </c>
      <c r="AX53" s="893">
        <f t="shared" si="22"/>
        <v>0</v>
      </c>
      <c r="AY53" s="824">
        <v>6.78063849169565</v>
      </c>
      <c r="AZ53" s="824">
        <v>5.66684750026189</v>
      </c>
      <c r="BA53" s="824">
        <v>6.6173009488542</v>
      </c>
      <c r="BB53" s="824">
        <v>19.9828410370048</v>
      </c>
      <c r="BC53" s="894">
        <v>6.51827173074468</v>
      </c>
      <c r="BD53" s="893">
        <f t="shared" si="31"/>
        <v>0</v>
      </c>
      <c r="BE53" s="824">
        <v>7.09397312761365</v>
      </c>
      <c r="BF53" s="824">
        <v>6.33862033674069</v>
      </c>
      <c r="BG53" s="824">
        <v>7.28432496531872</v>
      </c>
      <c r="BH53" s="824">
        <v>6.68105898371528</v>
      </c>
      <c r="BI53" s="894">
        <v>5.73741529842785</v>
      </c>
      <c r="BJ53" s="8"/>
      <c r="BK53" s="341" t="str">
        <f t="shared" si="23"/>
        <v>4Q16</v>
      </c>
      <c r="BL53" s="893">
        <f t="shared" si="24"/>
        <v>0</v>
      </c>
      <c r="BM53" s="824">
        <v>12.7998713961279</v>
      </c>
      <c r="BN53" s="824">
        <v>9.88599170185066</v>
      </c>
      <c r="BO53" s="824">
        <v>16.8796644924156</v>
      </c>
      <c r="BP53" s="824">
        <v>17.1543540948171</v>
      </c>
      <c r="BQ53" s="894">
        <v>16.2968345494295</v>
      </c>
      <c r="BR53" s="893">
        <f t="shared" si="25"/>
        <v>15.0671000341239</v>
      </c>
      <c r="BS53" s="824">
        <v>12.0599415204678</v>
      </c>
      <c r="BT53" s="824">
        <v>9.54310547333803</v>
      </c>
      <c r="BU53" s="824">
        <v>13.4285662445783</v>
      </c>
      <c r="BV53" s="824">
        <v>15.2589643125916</v>
      </c>
      <c r="BW53" s="894">
        <v>15.2111292962357</v>
      </c>
      <c r="BX53" s="893">
        <f t="shared" si="26"/>
        <v>0</v>
      </c>
      <c r="BY53" s="824">
        <v>8.31815669163724</v>
      </c>
      <c r="BZ53" s="824">
        <v>4.36124069424063</v>
      </c>
      <c r="CA53" s="824">
        <v>9.98979284446393</v>
      </c>
      <c r="CB53" s="824">
        <v>10.9047396522652</v>
      </c>
      <c r="CC53" s="894">
        <v>10.2848031066489</v>
      </c>
      <c r="CD53" s="893">
        <f t="shared" si="32"/>
        <v>0</v>
      </c>
      <c r="CE53" s="824">
        <v>8.60527544095053</v>
      </c>
      <c r="CF53" s="824">
        <v>5.30711310091909</v>
      </c>
      <c r="CG53" s="824">
        <v>8.22929198083086</v>
      </c>
      <c r="CH53" s="824">
        <v>9.50349294444337</v>
      </c>
      <c r="CI53" s="894">
        <v>9.46146004385748</v>
      </c>
    </row>
    <row r="54" ht="14.25" customHeight="1" spans="1:87" x14ac:dyDescent="0.25">
      <c r="A54" s="8"/>
      <c r="B54" s="8"/>
      <c r="C54" s="8" t="s">
        <v>1025</v>
      </c>
      <c r="D54" s="8"/>
      <c r="E54" s="774">
        <f>AVERAGE(AM77:AQ86)</f>
        <v>16.167189775700525</v>
      </c>
      <c r="F54" s="774">
        <f>AVERAGE(AS77:AW86)</f>
        <v>16.123041845273583</v>
      </c>
      <c r="G54" s="774">
        <f>AVERAGE(AY77:BC86)</f>
        <v>11.95618302887918</v>
      </c>
      <c r="H54" s="774">
        <f>AVERAGE(BE77:BI86)</f>
        <v>12.1269722740679</v>
      </c>
      <c r="I54" s="75">
        <f>IF(I53+1=5,1,I53+1)</f>
        <v>1</v>
      </c>
      <c r="J54" s="7">
        <f t="shared" si="27"/>
        <v>2017</v>
      </c>
      <c r="K54" s="341" t="str">
        <f t="shared" si="18"/>
        <v>1Q17</v>
      </c>
      <c r="L54" s="893"/>
      <c r="M54" s="824">
        <v>14.9242570778984</v>
      </c>
      <c r="N54" s="824">
        <v>16.0572967781003</v>
      </c>
      <c r="O54" s="824">
        <v>16.9016374640866</v>
      </c>
      <c r="P54" s="824">
        <v>19.2763036898924</v>
      </c>
      <c r="Q54" s="894"/>
      <c r="R54" s="893"/>
      <c r="S54" s="824">
        <v>11.5655939058584</v>
      </c>
      <c r="T54" s="824">
        <v>14.5158376418851</v>
      </c>
      <c r="U54" s="824">
        <v>15.2876310002434</v>
      </c>
      <c r="V54" s="824">
        <v>17.9801670146138</v>
      </c>
      <c r="W54" s="894"/>
      <c r="X54" s="893"/>
      <c r="Y54" s="824">
        <v>13.2157667095425</v>
      </c>
      <c r="Z54" s="824">
        <v>13.4906686192187</v>
      </c>
      <c r="AA54" s="824">
        <v>8.9854179262786</v>
      </c>
      <c r="AB54" s="824">
        <v>10.4162996468769</v>
      </c>
      <c r="AC54" s="894"/>
      <c r="AD54" s="824">
        <v>5.70985895377382</v>
      </c>
      <c r="AE54" s="824">
        <v>7.1771908356627</v>
      </c>
      <c r="AF54" s="824">
        <v>8.45344879050002</v>
      </c>
      <c r="AG54" s="824">
        <v>8.84868965400191</v>
      </c>
      <c r="AH54" s="824">
        <v>12.4412188628986</v>
      </c>
      <c r="AI54" s="894"/>
      <c r="AJ54" s="8"/>
      <c r="AK54" s="341" t="str">
        <f t="shared" si="19"/>
        <v>1Q17</v>
      </c>
      <c r="AL54" s="893">
        <f t="shared" si="20"/>
        <v>0</v>
      </c>
      <c r="AM54" s="824">
        <v>13.61392571717</v>
      </c>
      <c r="AN54" s="824">
        <v>11.2813752145605</v>
      </c>
      <c r="AO54" s="824">
        <v>12.8588618530776</v>
      </c>
      <c r="AP54" s="824">
        <v>13.2005714616677</v>
      </c>
      <c r="AQ54" s="894">
        <v>15.6097024743989</v>
      </c>
      <c r="AR54" s="893">
        <f t="shared" si="21"/>
        <v>0</v>
      </c>
      <c r="AS54" s="824">
        <v>13.3532244556114</v>
      </c>
      <c r="AT54" s="824">
        <v>12.3698221010258</v>
      </c>
      <c r="AU54" s="824">
        <v>13.5614992081647</v>
      </c>
      <c r="AV54" s="824">
        <v>12.5729061916391</v>
      </c>
      <c r="AW54" s="894">
        <v>10.6168224299065</v>
      </c>
      <c r="AX54" s="893">
        <f t="shared" si="22"/>
        <v>0</v>
      </c>
      <c r="AY54" s="824">
        <v>7.77708057929062</v>
      </c>
      <c r="AZ54" s="824">
        <v>6.25430883142553</v>
      </c>
      <c r="BA54" s="824">
        <v>7.53946972682942</v>
      </c>
      <c r="BB54" s="824">
        <v>21.4577285987806</v>
      </c>
      <c r="BC54" s="894">
        <v>7.61177518320519</v>
      </c>
      <c r="BD54" s="893">
        <f t="shared" si="31"/>
        <v>5.70985895377382</v>
      </c>
      <c r="BE54" s="824">
        <v>7.84948878142277</v>
      </c>
      <c r="BF54" s="824">
        <v>6.6309938124452</v>
      </c>
      <c r="BG54" s="824">
        <v>7.96930082065482</v>
      </c>
      <c r="BH54" s="824">
        <v>7.18444358023124</v>
      </c>
      <c r="BI54" s="894">
        <v>6.62350163338909</v>
      </c>
      <c r="BJ54" s="8"/>
      <c r="BK54" s="341" t="str">
        <f t="shared" si="23"/>
        <v>1Q17</v>
      </c>
      <c r="BL54" s="893">
        <f t="shared" si="24"/>
        <v>0</v>
      </c>
      <c r="BM54" s="824">
        <v>14.9862401518031</v>
      </c>
      <c r="BN54" s="824">
        <v>9.13300318819126</v>
      </c>
      <c r="BO54" s="824">
        <v>17.6015046977109</v>
      </c>
      <c r="BP54" s="824">
        <v>17.71647607207</v>
      </c>
      <c r="BQ54" s="894">
        <v>18.2145269890738</v>
      </c>
      <c r="BR54" s="893">
        <f t="shared" si="25"/>
        <v>0</v>
      </c>
      <c r="BS54" s="824">
        <v>13.2654684269127</v>
      </c>
      <c r="BT54" s="824">
        <v>9.18415707515233</v>
      </c>
      <c r="BU54" s="824">
        <v>13.8673284698068</v>
      </c>
      <c r="BV54" s="824">
        <v>15.9802470919811</v>
      </c>
      <c r="BW54" s="894">
        <v>17.5203119922002</v>
      </c>
      <c r="BX54" s="893">
        <f t="shared" si="26"/>
        <v>0</v>
      </c>
      <c r="BY54" s="824">
        <v>7.22081451044756</v>
      </c>
      <c r="BZ54" s="824">
        <v>4.05393973980648</v>
      </c>
      <c r="CA54" s="824">
        <v>10.6003988879441</v>
      </c>
      <c r="CB54" s="824">
        <v>11.0192322082175</v>
      </c>
      <c r="CC54" s="894">
        <v>11.2008098892945</v>
      </c>
      <c r="CD54" s="893">
        <f t="shared" si="32"/>
        <v>5.70985895377382</v>
      </c>
      <c r="CE54" s="824">
        <v>6.9112131795103</v>
      </c>
      <c r="CF54" s="824">
        <v>4.86796467959036</v>
      </c>
      <c r="CG54" s="824">
        <v>9.24679972699082</v>
      </c>
      <c r="CH54" s="824">
        <v>10.1547982579153</v>
      </c>
      <c r="CI54" s="894">
        <v>10.8621545004283</v>
      </c>
    </row>
    <row r="55" ht="14.25" customHeight="1" spans="1:87" x14ac:dyDescent="0.25">
      <c r="A55" s="8"/>
      <c r="B55" s="8"/>
      <c r="C55" s="8" t="s">
        <v>1028</v>
      </c>
      <c r="D55" s="8"/>
      <c r="E55" s="774">
        <f>AVERAGE(AM73:AQ86)</f>
        <v>16.693825092020955</v>
      </c>
      <c r="F55" s="774">
        <f>AVERAGE(AS73:AW86)</f>
        <v>16.078511393647254</v>
      </c>
      <c r="G55" s="774">
        <f>AVERAGE(AY73:BC86)</f>
        <v>11.965668501832177</v>
      </c>
      <c r="H55" s="774">
        <f>AVERAGE(BE73:BI86)</f>
        <v>11.89400826050088</v>
      </c>
      <c r="I55" s="75">
        <f>IF(I54=4,1,I54+1)</f>
        <v>2</v>
      </c>
      <c r="J55" s="7">
        <f t="shared" si="27"/>
        <v>2017</v>
      </c>
      <c r="K55" s="341" t="str">
        <f t="shared" si="18"/>
        <v>2Q17</v>
      </c>
      <c r="L55" s="893">
        <v>101.744950318511</v>
      </c>
      <c r="M55" s="824">
        <v>18.26535555845</v>
      </c>
      <c r="N55" s="824">
        <v>19.6173690103695</v>
      </c>
      <c r="O55" s="824">
        <v>18.0567807160777</v>
      </c>
      <c r="P55" s="824">
        <v>22.5859292273682</v>
      </c>
      <c r="Q55" s="894"/>
      <c r="R55" s="893"/>
      <c r="S55" s="824"/>
      <c r="T55" s="824">
        <v>13.0455875958598</v>
      </c>
      <c r="U55" s="824">
        <v>14.4916647797505</v>
      </c>
      <c r="V55" s="824">
        <v>17.6358284831401</v>
      </c>
      <c r="W55" s="894"/>
      <c r="X55" s="893">
        <v>59.6685327912096</v>
      </c>
      <c r="Y55" s="824">
        <v>14.5166782638566</v>
      </c>
      <c r="Z55" s="824">
        <v>13.633086264019</v>
      </c>
      <c r="AA55" s="824">
        <v>10.8957265966598</v>
      </c>
      <c r="AB55" s="824">
        <v>11.6472304132318</v>
      </c>
      <c r="AC55" s="894"/>
      <c r="AD55" s="824">
        <v>5.7306721997495</v>
      </c>
      <c r="AE55" s="824">
        <v>7.48633802304878</v>
      </c>
      <c r="AF55" s="824">
        <v>7.77635774239367</v>
      </c>
      <c r="AG55" s="824">
        <v>10.0966832500622</v>
      </c>
      <c r="AH55" s="824">
        <v>10.4754748253905</v>
      </c>
      <c r="AI55" s="894"/>
      <c r="AJ55" s="8"/>
      <c r="AK55" s="341" t="str">
        <f t="shared" si="19"/>
        <v>2Q17</v>
      </c>
      <c r="AL55" s="893">
        <f t="shared" si="20"/>
        <v>101.744950318511</v>
      </c>
      <c r="AM55" s="824">
        <v>14.899093867298</v>
      </c>
      <c r="AN55" s="824">
        <v>13.4652467749377</v>
      </c>
      <c r="AO55" s="824">
        <v>14.8842735424243</v>
      </c>
      <c r="AP55" s="824">
        <v>13.4577711198626</v>
      </c>
      <c r="AQ55" s="894">
        <v>83.6538461538461</v>
      </c>
      <c r="AR55" s="893">
        <f t="shared" si="21"/>
        <v>0</v>
      </c>
      <c r="AS55" s="824">
        <v>15.3669629935911</v>
      </c>
      <c r="AT55" s="824">
        <v>14.1145320197044</v>
      </c>
      <c r="AU55" s="824">
        <v>15.56547108289</v>
      </c>
      <c r="AV55" s="824">
        <v>13.5956175298805</v>
      </c>
      <c r="AW55" s="894">
        <v>10.0694444444444</v>
      </c>
      <c r="AX55" s="893">
        <f t="shared" si="22"/>
        <v>59.6685327912096</v>
      </c>
      <c r="AY55" s="824">
        <v>9.30880362696557</v>
      </c>
      <c r="AZ55" s="824">
        <v>7.2477448823506</v>
      </c>
      <c r="BA55" s="824">
        <v>8.74227284277257</v>
      </c>
      <c r="BB55" s="824">
        <v>7.69023648176773</v>
      </c>
      <c r="BC55" s="894">
        <v>6.98574669803306</v>
      </c>
      <c r="BD55" s="893">
        <f t="shared" si="31"/>
        <v>5.7306721997495</v>
      </c>
      <c r="BE55" s="824">
        <v>8.47633778801312</v>
      </c>
      <c r="BF55" s="824">
        <v>7.47266848603473</v>
      </c>
      <c r="BG55" s="824">
        <v>8.54010978861887</v>
      </c>
      <c r="BH55" s="824">
        <v>7.44769376803239</v>
      </c>
      <c r="BI55" s="894">
        <v>6.37364243076596</v>
      </c>
      <c r="BJ55" s="8"/>
      <c r="BK55" s="341" t="str">
        <f t="shared" si="23"/>
        <v>2Q17</v>
      </c>
      <c r="BL55" s="893">
        <f t="shared" si="24"/>
        <v>101.744950318511</v>
      </c>
      <c r="BM55" s="824">
        <v>16.2012154925796</v>
      </c>
      <c r="BN55" s="824">
        <v>9.78991294877581</v>
      </c>
      <c r="BO55" s="824">
        <v>20.0747118434189</v>
      </c>
      <c r="BP55" s="824">
        <v>16.4086024096269</v>
      </c>
      <c r="BQ55" s="894">
        <v>18.1950160365563</v>
      </c>
      <c r="BR55" s="893">
        <f t="shared" si="25"/>
        <v>0</v>
      </c>
      <c r="BS55" s="824">
        <v>16.6014625228519</v>
      </c>
      <c r="BT55" s="824">
        <v>10.9508393285372</v>
      </c>
      <c r="BU55" s="824">
        <v>16.4593016139279</v>
      </c>
      <c r="BV55" s="824">
        <v>17.5868302999988</v>
      </c>
      <c r="BW55" s="894">
        <v>18.5040650406504</v>
      </c>
      <c r="BX55" s="893">
        <f t="shared" si="26"/>
        <v>59.6685327912096</v>
      </c>
      <c r="BY55" s="824">
        <v>7.11789902474014</v>
      </c>
      <c r="BZ55" s="824">
        <v>4.28902815945814</v>
      </c>
      <c r="CA55" s="824">
        <v>15.144914733762</v>
      </c>
      <c r="CB55" s="824">
        <v>11.4352152994917</v>
      </c>
      <c r="CC55" s="894">
        <v>11.1025976069489</v>
      </c>
      <c r="CD55" s="893">
        <f t="shared" si="32"/>
        <v>5.7306721997495</v>
      </c>
      <c r="CE55" s="824">
        <v>7.513322197713</v>
      </c>
      <c r="CF55" s="824">
        <v>5.63279108316854</v>
      </c>
      <c r="CG55" s="824">
        <v>9.16310246193321</v>
      </c>
      <c r="CH55" s="824">
        <v>9.45976313593936</v>
      </c>
      <c r="CI55" s="894">
        <v>10.199800616474</v>
      </c>
    </row>
    <row r="56" ht="14.25" customHeight="1" spans="1:87" x14ac:dyDescent="0.25">
      <c r="A56" s="8"/>
      <c r="B56" s="8"/>
      <c r="C56" s="8" t="s">
        <v>1031</v>
      </c>
      <c r="D56" s="8"/>
      <c r="E56" s="774">
        <f>AVERAGE(AM65:AQ86)</f>
        <v>18.270614828253066</v>
      </c>
      <c r="F56" s="774">
        <f>AVERAGE(AS65:AW86)</f>
        <v>17.344062816540788</v>
      </c>
      <c r="G56" s="774">
        <f>AVERAGE(AY65:BC86)</f>
        <v>12.110641773518143</v>
      </c>
      <c r="H56" s="774">
        <f>AVERAGE(BE65:BI86)</f>
        <v>11.961096449914985</v>
      </c>
      <c r="I56" s="75">
        <f>I52</f>
        <v>3</v>
      </c>
      <c r="J56" s="7">
        <f t="shared" si="27"/>
        <v>2017</v>
      </c>
      <c r="K56" s="341" t="str">
        <f t="shared" si="18"/>
        <v>3Q17</v>
      </c>
      <c r="L56" s="893">
        <v>79.1730514021758</v>
      </c>
      <c r="M56" s="824">
        <v>13.7115737708438</v>
      </c>
      <c r="N56" s="824">
        <v>19.4164691427468</v>
      </c>
      <c r="O56" s="824">
        <v>18.6709496085123</v>
      </c>
      <c r="P56" s="824">
        <v>22.6053428662919</v>
      </c>
      <c r="Q56" s="894"/>
      <c r="R56" s="893"/>
      <c r="S56" s="824"/>
      <c r="T56" s="824">
        <v>14.1948958346973</v>
      </c>
      <c r="U56" s="824">
        <v>14.6788511749347</v>
      </c>
      <c r="V56" s="824">
        <v>18.5940002045807</v>
      </c>
      <c r="W56" s="894"/>
      <c r="X56" s="893">
        <v>43.4453890612639</v>
      </c>
      <c r="Y56" s="824">
        <v>11.9316553169053</v>
      </c>
      <c r="Z56" s="824">
        <v>12.6048059844776</v>
      </c>
      <c r="AA56" s="824">
        <v>10.0231997816801</v>
      </c>
      <c r="AB56" s="824">
        <v>11.4939384649488</v>
      </c>
      <c r="AC56" s="894"/>
      <c r="AD56" s="824">
        <v>4.01944418612173</v>
      </c>
      <c r="AE56" s="824">
        <v>4.47365094199956</v>
      </c>
      <c r="AF56" s="824">
        <v>7.64351395648099</v>
      </c>
      <c r="AG56" s="824">
        <v>8.00552133504847</v>
      </c>
      <c r="AH56" s="824">
        <v>7.69310887656329</v>
      </c>
      <c r="AI56" s="894"/>
      <c r="AJ56" s="8"/>
      <c r="AK56" s="341" t="str">
        <f t="shared" si="19"/>
        <v>3Q17</v>
      </c>
      <c r="AL56" s="893">
        <f t="shared" si="20"/>
        <v>79.1730514021758</v>
      </c>
      <c r="AM56" s="824">
        <v>15.6067765380931</v>
      </c>
      <c r="AN56" s="824">
        <v>13.8939188373522</v>
      </c>
      <c r="AO56" s="824">
        <v>15.8564149382548</v>
      </c>
      <c r="AP56" s="824">
        <v>15.0353292967643</v>
      </c>
      <c r="AQ56" s="894">
        <v>79.6538461538461</v>
      </c>
      <c r="AR56" s="893">
        <f t="shared" si="21"/>
        <v>0</v>
      </c>
      <c r="AS56" s="824">
        <v>15.3854853911404</v>
      </c>
      <c r="AT56" s="824">
        <v>13.9113767053783</v>
      </c>
      <c r="AU56" s="824">
        <v>14.2184801381693</v>
      </c>
      <c r="AV56" s="824">
        <v>15.1026067665003</v>
      </c>
      <c r="AW56" s="894">
        <v>10.5394402035623</v>
      </c>
      <c r="AX56" s="893">
        <f t="shared" si="22"/>
        <v>43.4453890612639</v>
      </c>
      <c r="AY56" s="824">
        <v>9.52318541881982</v>
      </c>
      <c r="AZ56" s="824">
        <v>7.77289795350423</v>
      </c>
      <c r="BA56" s="824">
        <v>9.07602320303267</v>
      </c>
      <c r="BB56" s="824">
        <v>8.82115813258258</v>
      </c>
      <c r="BC56" s="894">
        <v>6.58313719115977</v>
      </c>
      <c r="BD56" s="893">
        <f t="shared" si="31"/>
        <v>4.01944418612173</v>
      </c>
      <c r="BE56" s="824">
        <v>8.75561902375599</v>
      </c>
      <c r="BF56" s="824">
        <v>7.91193042025454</v>
      </c>
      <c r="BG56" s="824">
        <v>8.47813366479963</v>
      </c>
      <c r="BH56" s="824">
        <v>8.76916252515342</v>
      </c>
      <c r="BI56" s="894">
        <v>6.39860235563282</v>
      </c>
      <c r="BJ56" s="8"/>
      <c r="BK56" s="341" t="str">
        <f t="shared" si="23"/>
        <v>3Q17</v>
      </c>
      <c r="BL56" s="893">
        <f t="shared" si="24"/>
        <v>79.1730514021758</v>
      </c>
      <c r="BM56" s="824">
        <v>17.0516310759413</v>
      </c>
      <c r="BN56" s="824">
        <v>9.49964789575999</v>
      </c>
      <c r="BO56" s="824">
        <v>18.027276007093</v>
      </c>
      <c r="BP56" s="824">
        <v>16.5223404454521</v>
      </c>
      <c r="BQ56" s="894">
        <v>18.3451782515745</v>
      </c>
      <c r="BR56" s="893">
        <f t="shared" si="25"/>
        <v>0</v>
      </c>
      <c r="BS56" s="824">
        <v>17.1121060788703</v>
      </c>
      <c r="BT56" s="824">
        <v>10.8172504169645</v>
      </c>
      <c r="BU56" s="824">
        <v>14.6651730972304</v>
      </c>
      <c r="BV56" s="824">
        <v>15.9141730133627</v>
      </c>
      <c r="BW56" s="894">
        <v>17.0868675051185</v>
      </c>
      <c r="BX56" s="893">
        <f t="shared" si="26"/>
        <v>43.4453890612639</v>
      </c>
      <c r="BY56" s="824">
        <v>7.61704507988604</v>
      </c>
      <c r="BZ56" s="824">
        <v>4.9037833624296</v>
      </c>
      <c r="CA56" s="824">
        <v>13.7003339232748</v>
      </c>
      <c r="CB56" s="824">
        <v>11.524812180156</v>
      </c>
      <c r="CC56" s="894">
        <v>11.2269030250655</v>
      </c>
      <c r="CD56" s="893">
        <f t="shared" si="32"/>
        <v>4.01944418612173</v>
      </c>
      <c r="CE56" s="824">
        <v>8.35980225899281</v>
      </c>
      <c r="CF56" s="824">
        <v>6.56989915929296</v>
      </c>
      <c r="CG56" s="824">
        <v>9.69570425830949</v>
      </c>
      <c r="CH56" s="824">
        <v>9.59166047764717</v>
      </c>
      <c r="CI56" s="894">
        <v>10.1585096304399</v>
      </c>
    </row>
    <row r="57" ht="14.25" customHeight="1" spans="1:87" x14ac:dyDescent="0.25">
      <c r="A57" s="8"/>
      <c r="B57" s="8"/>
      <c r="C57" s="892" t="s">
        <v>1061</v>
      </c>
      <c r="D57" s="892"/>
      <c r="E57" s="892"/>
      <c r="F57" s="892"/>
      <c r="G57" s="892"/>
      <c r="H57" s="892"/>
      <c r="I57" s="75">
        <f>IF(I56=4,1,I56+1)</f>
        <v>4</v>
      </c>
      <c r="J57" s="7">
        <f t="shared" si="27"/>
        <v>2017</v>
      </c>
      <c r="K57" s="341" t="str">
        <f t="shared" si="18"/>
        <v>4Q17</v>
      </c>
      <c r="L57" s="893">
        <v>17.5359236409196</v>
      </c>
      <c r="M57" s="824">
        <v>10.8689149033763</v>
      </c>
      <c r="N57" s="824">
        <v>15.9536781243082</v>
      </c>
      <c r="O57" s="824">
        <v>17.8256763513138</v>
      </c>
      <c r="P57" s="824">
        <v>21.4110429447853</v>
      </c>
      <c r="Q57" s="894"/>
      <c r="R57" s="893"/>
      <c r="S57" s="824">
        <v>13.0582891748675</v>
      </c>
      <c r="T57" s="824">
        <v>14.9133020344288</v>
      </c>
      <c r="U57" s="824">
        <v>14.6624261413094</v>
      </c>
      <c r="V57" s="824">
        <v>19.6309109051549</v>
      </c>
      <c r="W57" s="894"/>
      <c r="X57" s="893">
        <v>13.2667078749744</v>
      </c>
      <c r="Y57" s="824">
        <v>10.8249574763588</v>
      </c>
      <c r="Z57" s="824">
        <v>11.7873793774455</v>
      </c>
      <c r="AA57" s="824">
        <v>9.51692570299403</v>
      </c>
      <c r="AB57" s="824">
        <v>10.8928169286553</v>
      </c>
      <c r="AC57" s="894"/>
      <c r="AD57" s="824">
        <v>5.02778908983556</v>
      </c>
      <c r="AE57" s="824">
        <v>6.24555877655361</v>
      </c>
      <c r="AF57" s="824">
        <v>6.73155362155992</v>
      </c>
      <c r="AG57" s="824">
        <v>6.65149103321768</v>
      </c>
      <c r="AH57" s="824">
        <v>8.14813731224308</v>
      </c>
      <c r="AI57" s="894"/>
      <c r="AJ57" s="8"/>
      <c r="AK57" s="341" t="str">
        <f t="shared" si="19"/>
        <v>4Q17</v>
      </c>
      <c r="AL57" s="893">
        <f t="shared" si="20"/>
        <v>17.5359236409196</v>
      </c>
      <c r="AM57" s="824">
        <v>15.1925047159338</v>
      </c>
      <c r="AN57" s="824">
        <v>13.1171174490227</v>
      </c>
      <c r="AO57" s="824">
        <v>14.5572995033791</v>
      </c>
      <c r="AP57" s="824">
        <v>16.0071527457314</v>
      </c>
      <c r="AQ57" s="894">
        <v>72.15</v>
      </c>
      <c r="AR57" s="893">
        <f t="shared" si="21"/>
        <v>0</v>
      </c>
      <c r="AS57" s="824">
        <v>14.6771984293672</v>
      </c>
      <c r="AT57" s="824">
        <v>13.0886214442013</v>
      </c>
      <c r="AU57" s="824">
        <v>13.2886776145203</v>
      </c>
      <c r="AV57" s="824">
        <v>15.9069196123925</v>
      </c>
      <c r="AW57" s="894">
        <v>11.1285347043702</v>
      </c>
      <c r="AX57" s="893">
        <f t="shared" si="22"/>
        <v>13.2667078749744</v>
      </c>
      <c r="AY57" s="824">
        <v>9.04341450295343</v>
      </c>
      <c r="AZ57" s="824">
        <v>7.56549925881769</v>
      </c>
      <c r="BA57" s="824">
        <v>8.56850789299641</v>
      </c>
      <c r="BB57" s="824">
        <v>9.53762607969839</v>
      </c>
      <c r="BC57" s="894">
        <v>7.3059059511382</v>
      </c>
      <c r="BD57" s="893">
        <f t="shared" si="31"/>
        <v>5.02778908983556</v>
      </c>
      <c r="BE57" s="824">
        <v>8.34191205536816</v>
      </c>
      <c r="BF57" s="824">
        <v>7.68678470437694</v>
      </c>
      <c r="BG57" s="824">
        <v>8.01440888453109</v>
      </c>
      <c r="BH57" s="824">
        <v>9.3871322553164</v>
      </c>
      <c r="BI57" s="894">
        <v>6.98257489680346</v>
      </c>
      <c r="BJ57" s="8"/>
      <c r="BK57" s="341" t="str">
        <f t="shared" si="23"/>
        <v>4Q17</v>
      </c>
      <c r="BL57" s="893">
        <f t="shared" si="24"/>
        <v>17.5359236409196</v>
      </c>
      <c r="BM57" s="824">
        <v>17.5122655959803</v>
      </c>
      <c r="BN57" s="824">
        <v>9.57282674631935</v>
      </c>
      <c r="BO57" s="824">
        <v>18.8148107152353</v>
      </c>
      <c r="BP57" s="824">
        <v>16.3834695861817</v>
      </c>
      <c r="BQ57" s="894">
        <v>18.81446848108</v>
      </c>
      <c r="BR57" s="893">
        <f t="shared" si="25"/>
        <v>0</v>
      </c>
      <c r="BS57" s="824">
        <v>17.5330751855437</v>
      </c>
      <c r="BT57" s="824">
        <v>10.6919352934231</v>
      </c>
      <c r="BU57" s="824">
        <v>14.9212562268163</v>
      </c>
      <c r="BV57" s="824">
        <v>15.9611519686452</v>
      </c>
      <c r="BW57" s="894">
        <v>16.8392648774796</v>
      </c>
      <c r="BX57" s="893">
        <f t="shared" si="26"/>
        <v>13.2667078749744</v>
      </c>
      <c r="BY57" s="824">
        <v>8.01713636023447</v>
      </c>
      <c r="BZ57" s="824">
        <v>4.40170908891738</v>
      </c>
      <c r="CA57" s="824">
        <v>16.4908873645734</v>
      </c>
      <c r="CB57" s="824">
        <v>11.2461348569961</v>
      </c>
      <c r="CC57" s="894">
        <v>11.2015939345566</v>
      </c>
      <c r="CD57" s="893">
        <f t="shared" si="32"/>
        <v>5.02778908983556</v>
      </c>
      <c r="CE57" s="824">
        <v>8.40880387409117</v>
      </c>
      <c r="CF57" s="824">
        <v>5.66171143775593</v>
      </c>
      <c r="CG57" s="824">
        <v>12.2215912297605</v>
      </c>
      <c r="CH57" s="824">
        <v>9.947615731982</v>
      </c>
      <c r="CI57" s="894">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3">
        <v>16.835541393821</v>
      </c>
      <c r="M58" s="824">
        <v>9.94881097879369</v>
      </c>
      <c r="N58" s="824">
        <v>17.3169091552225</v>
      </c>
      <c r="O58" s="824">
        <v>17.2650399626405</v>
      </c>
      <c r="P58" s="824">
        <v>19.7444075592875</v>
      </c>
      <c r="Q58" s="894"/>
      <c r="R58" s="893"/>
      <c r="S58" s="824">
        <v>10.7497606298096</v>
      </c>
      <c r="T58" s="824">
        <v>11.2872612410651</v>
      </c>
      <c r="U58" s="824">
        <v>12.1911758250892</v>
      </c>
      <c r="V58" s="824">
        <v>16.4056752496059</v>
      </c>
      <c r="W58" s="894"/>
      <c r="X58" s="893">
        <v>11.6969392475488</v>
      </c>
      <c r="Y58" s="824">
        <v>9.24978429811784</v>
      </c>
      <c r="Z58" s="824">
        <v>11.3950833743547</v>
      </c>
      <c r="AA58" s="824">
        <v>9.7074469339787</v>
      </c>
      <c r="AB58" s="824">
        <v>11.6479692220779</v>
      </c>
      <c r="AC58" s="894"/>
      <c r="AD58" s="824">
        <v>5.55043150553788</v>
      </c>
      <c r="AE58" s="824">
        <v>5.88585642547631</v>
      </c>
      <c r="AF58" s="824">
        <v>5.92967038784836</v>
      </c>
      <c r="AG58" s="824">
        <v>7.28597200311698</v>
      </c>
      <c r="AH58" s="824">
        <v>8.98197738711868</v>
      </c>
      <c r="AI58" s="894"/>
      <c r="AJ58" s="8"/>
      <c r="AK58" s="341" t="str">
        <f t="shared" si="19"/>
        <v>1Q18</v>
      </c>
      <c r="AL58" s="893">
        <f t="shared" si="20"/>
        <v>16.835541393821</v>
      </c>
      <c r="AM58" s="824">
        <v>16.971911291818</v>
      </c>
      <c r="AN58" s="824">
        <v>14.2595180334852</v>
      </c>
      <c r="AO58" s="824">
        <v>15.677518897643</v>
      </c>
      <c r="AP58" s="824">
        <v>17.0492565080697</v>
      </c>
      <c r="AQ58" s="894">
        <v>78.5833333333333</v>
      </c>
      <c r="AR58" s="893">
        <f t="shared" si="21"/>
        <v>0</v>
      </c>
      <c r="AS58" s="824">
        <v>16.2847469707769</v>
      </c>
      <c r="AT58" s="824">
        <v>14.1723136495644</v>
      </c>
      <c r="AU58" s="824">
        <v>14.7510524023806</v>
      </c>
      <c r="AV58" s="824">
        <v>16.8219722038385</v>
      </c>
      <c r="AW58" s="894">
        <v>12.3429319371728</v>
      </c>
      <c r="AX58" s="893">
        <f t="shared" si="22"/>
        <v>11.6969392475488</v>
      </c>
      <c r="AY58" s="824">
        <v>10.0416969007958</v>
      </c>
      <c r="AZ58" s="824">
        <v>8.14425798294657</v>
      </c>
      <c r="BA58" s="824">
        <v>9.35769418461125</v>
      </c>
      <c r="BB58" s="824">
        <v>9.75761197852728</v>
      </c>
      <c r="BC58" s="894">
        <v>7.89638044866552</v>
      </c>
      <c r="BD58" s="893">
        <f t="shared" si="31"/>
        <v>5.55043150553788</v>
      </c>
      <c r="BE58" s="824">
        <v>9.2948278991057</v>
      </c>
      <c r="BF58" s="824">
        <v>8.12215087658678</v>
      </c>
      <c r="BG58" s="824">
        <v>8.88488425961786</v>
      </c>
      <c r="BH58" s="824">
        <v>9.53304479938265</v>
      </c>
      <c r="BI58" s="894">
        <v>7.74058870834201</v>
      </c>
      <c r="BJ58" s="8"/>
      <c r="BK58" s="341" t="str">
        <f t="shared" si="23"/>
        <v>1Q18</v>
      </c>
      <c r="BL58" s="893">
        <f t="shared" si="24"/>
        <v>16.835541393821</v>
      </c>
      <c r="BM58" s="824">
        <v>15.332360616874</v>
      </c>
      <c r="BN58" s="824">
        <v>8.99394808981443</v>
      </c>
      <c r="BO58" s="824">
        <v>18.9573315361765</v>
      </c>
      <c r="BP58" s="824">
        <v>15.7377424098325</v>
      </c>
      <c r="BQ58" s="894">
        <v>16.4562418244736</v>
      </c>
      <c r="BR58" s="893">
        <f t="shared" si="25"/>
        <v>0</v>
      </c>
      <c r="BS58" s="824">
        <v>15.7565632458234</v>
      </c>
      <c r="BT58" s="824">
        <v>9.79218917950555</v>
      </c>
      <c r="BU58" s="824">
        <v>14.7116253691756</v>
      </c>
      <c r="BV58" s="824">
        <v>16.0047782864145</v>
      </c>
      <c r="BW58" s="894">
        <v>15.4003208400175</v>
      </c>
      <c r="BX58" s="893">
        <f t="shared" si="26"/>
        <v>11.6969392475488</v>
      </c>
      <c r="BY58" s="824">
        <v>7.57544625043682</v>
      </c>
      <c r="BZ58" s="824">
        <v>4.05603816119173</v>
      </c>
      <c r="CA58" s="824">
        <v>17.7328149474707</v>
      </c>
      <c r="CB58" s="824">
        <v>10.9756319204545</v>
      </c>
      <c r="CC58" s="894">
        <v>10.1415569877265</v>
      </c>
      <c r="CD58" s="893">
        <f t="shared" si="32"/>
        <v>5.55043150553788</v>
      </c>
      <c r="CE58" s="824">
        <v>7.96799593359051</v>
      </c>
      <c r="CF58" s="824">
        <v>5.3607663011855</v>
      </c>
      <c r="CG58" s="824">
        <v>9.67451431715901</v>
      </c>
      <c r="CH58" s="824">
        <v>9.9254800396092</v>
      </c>
      <c r="CI58" s="894">
        <v>9.51600454033976</v>
      </c>
    </row>
    <row r="59" ht="14.25" customHeight="1" spans="1:87" x14ac:dyDescent="0.25">
      <c r="A59" s="8"/>
      <c r="B59" s="8"/>
      <c r="C59" s="8" t="s">
        <v>1062</v>
      </c>
      <c r="D59" s="8"/>
      <c r="E59" s="774">
        <f>AVERAGE(AM8:AQ75)</f>
        <v>17.45184436944251</v>
      </c>
      <c r="F59" s="774">
        <f>AVERAGE(AS8:AW75)</f>
        <v>14.789390590177238</v>
      </c>
      <c r="G59" s="774">
        <f>AVERAGE(AY8:BC75)</f>
        <v>9.073633064438093</v>
      </c>
      <c r="H59" s="774">
        <f>AVERAGE(BE8:BI75)</f>
        <v>8.246703176081793</v>
      </c>
      <c r="I59" s="75">
        <f>IF(I58=4,1,I58+1)</f>
        <v>2</v>
      </c>
      <c r="J59" s="7">
        <f t="shared" si="27"/>
        <v>2018</v>
      </c>
      <c r="K59" s="341" t="str">
        <f t="shared" si="18"/>
        <v>2Q18</v>
      </c>
      <c r="L59" s="893">
        <v>19.9712927679741</v>
      </c>
      <c r="M59" s="824">
        <v>12.1957030684955</v>
      </c>
      <c r="N59" s="824">
        <v>18.6523928051119</v>
      </c>
      <c r="O59" s="824">
        <v>17.077025224277</v>
      </c>
      <c r="P59" s="824">
        <v>20.344727365875</v>
      </c>
      <c r="Q59" s="894"/>
      <c r="R59" s="893"/>
      <c r="S59" s="824">
        <v>11.4044645743083</v>
      </c>
      <c r="T59" s="824">
        <v>9.69348337679104</v>
      </c>
      <c r="U59" s="824">
        <v>11.9142881084763</v>
      </c>
      <c r="V59" s="824">
        <v>17.4554717806178</v>
      </c>
      <c r="W59" s="894"/>
      <c r="X59" s="893">
        <v>12.0852191773006</v>
      </c>
      <c r="Y59" s="824">
        <v>10.1823972351722</v>
      </c>
      <c r="Z59" s="824">
        <v>11.5617053706748</v>
      </c>
      <c r="AA59" s="824">
        <v>9.4555656283442</v>
      </c>
      <c r="AB59" s="824">
        <v>11.7299934202428</v>
      </c>
      <c r="AC59" s="894"/>
      <c r="AD59" s="824">
        <v>6.05069420811848</v>
      </c>
      <c r="AE59" s="824">
        <v>7.99074289390048</v>
      </c>
      <c r="AF59" s="824">
        <v>6.99501920034123</v>
      </c>
      <c r="AG59" s="824">
        <v>7.47776785802597</v>
      </c>
      <c r="AH59" s="824">
        <v>11.0028111706549</v>
      </c>
      <c r="AI59" s="894"/>
      <c r="AJ59" s="8"/>
      <c r="AK59" s="341" t="str">
        <f t="shared" si="19"/>
        <v>2Q18</v>
      </c>
      <c r="AL59" s="893">
        <f t="shared" si="20"/>
        <v>19.9712927679741</v>
      </c>
      <c r="AM59" s="824">
        <v>16.6817556410833</v>
      </c>
      <c r="AN59" s="824">
        <v>15.918574316111</v>
      </c>
      <c r="AO59" s="824">
        <v>15.8996603114082</v>
      </c>
      <c r="AP59" s="824">
        <v>17.4549775223724</v>
      </c>
      <c r="AQ59" s="894">
        <v>20.1709401709402</v>
      </c>
      <c r="AR59" s="893">
        <f t="shared" si="21"/>
        <v>0</v>
      </c>
      <c r="AS59" s="824">
        <v>17.1983567026882</v>
      </c>
      <c r="AT59" s="824">
        <v>15.7434308908353</v>
      </c>
      <c r="AU59" s="824">
        <v>15.7041231126597</v>
      </c>
      <c r="AV59" s="824">
        <v>17.745970341715</v>
      </c>
      <c r="AW59" s="894">
        <v>12.4867724867725</v>
      </c>
      <c r="AX59" s="893">
        <f t="shared" si="22"/>
        <v>12.0852191773006</v>
      </c>
      <c r="AY59" s="824">
        <v>9.95045705434438</v>
      </c>
      <c r="AZ59" s="824">
        <v>8.70357416548189</v>
      </c>
      <c r="BA59" s="824">
        <v>9.4411740744081</v>
      </c>
      <c r="BB59" s="824">
        <v>10.2711420804772</v>
      </c>
      <c r="BC59" s="894">
        <v>8.48781093666622</v>
      </c>
      <c r="BD59" s="893">
        <f t="shared" si="31"/>
        <v>6.05069420811848</v>
      </c>
      <c r="BE59" s="824">
        <v>9.93486989815585</v>
      </c>
      <c r="BF59" s="824">
        <v>9.36741340683429</v>
      </c>
      <c r="BG59" s="824">
        <v>9.33322544205644</v>
      </c>
      <c r="BH59" s="824">
        <v>9.84506720804911</v>
      </c>
      <c r="BI59" s="894">
        <v>7.50290457326061</v>
      </c>
      <c r="BJ59" s="8"/>
      <c r="BK59" s="341" t="str">
        <f t="shared" si="23"/>
        <v>2Q18</v>
      </c>
      <c r="BL59" s="893">
        <f t="shared" si="24"/>
        <v>19.9712927679741</v>
      </c>
      <c r="BM59" s="824">
        <v>14.3522461116201</v>
      </c>
      <c r="BN59" s="824">
        <v>10.1688766856749</v>
      </c>
      <c r="BO59" s="824">
        <v>19.5619707538714</v>
      </c>
      <c r="BP59" s="824">
        <v>16.9047152213896</v>
      </c>
      <c r="BQ59" s="894">
        <v>18.0135446191584</v>
      </c>
      <c r="BR59" s="893">
        <f t="shared" si="25"/>
        <v>0</v>
      </c>
      <c r="BS59" s="824">
        <v>14.0146991272393</v>
      </c>
      <c r="BT59" s="824">
        <v>16.0300779126653</v>
      </c>
      <c r="BU59" s="824">
        <v>14.7306384948454</v>
      </c>
      <c r="BV59" s="824">
        <v>17.1642157162912</v>
      </c>
      <c r="BW59" s="894">
        <v>16.8473483738646</v>
      </c>
      <c r="BX59" s="893">
        <f t="shared" si="26"/>
        <v>12.0852191773006</v>
      </c>
      <c r="BY59" s="824">
        <v>6.97434437524555</v>
      </c>
      <c r="BZ59" s="824">
        <v>4.08809822037653</v>
      </c>
      <c r="CA59" s="824">
        <v>14.0383531727903</v>
      </c>
      <c r="CB59" s="824">
        <v>11.5358113174269</v>
      </c>
      <c r="CC59" s="894">
        <v>10.8198573575872</v>
      </c>
      <c r="CD59" s="893">
        <f t="shared" si="32"/>
        <v>6.05069420811848</v>
      </c>
      <c r="CE59" s="824">
        <v>6.52036681165495</v>
      </c>
      <c r="CF59" s="824">
        <v>7.58448179387161</v>
      </c>
      <c r="CG59" s="824">
        <v>8.75010111273845</v>
      </c>
      <c r="CH59" s="824">
        <v>9.67800656373421</v>
      </c>
      <c r="CI59" s="894">
        <v>9.61483174381438</v>
      </c>
    </row>
    <row r="60" ht="14.25" customHeight="1" spans="1:87" x14ac:dyDescent="0.25">
      <c r="A60" s="261"/>
      <c r="B60" s="8"/>
      <c r="C60" s="8" t="s">
        <v>1063</v>
      </c>
      <c r="D60" s="8"/>
      <c r="E60" s="774">
        <f t="shared" ref="E60:H60" si="36">AVERAGE(E64,E68)</f>
        <v>16.511356338309774</v>
      </c>
      <c r="F60" s="774">
        <f t="shared" si="36"/>
        <v>14.249403727801335</v>
      </c>
      <c r="G60" s="774">
        <f t="shared" si="36"/>
        <v>8.008187979985276</v>
      </c>
      <c r="H60" s="774" t="e">
        <f t="shared" si="36"/>
        <v>#DIV/0!</v>
      </c>
      <c r="I60" s="75">
        <f>I56</f>
        <v>3</v>
      </c>
      <c r="J60" s="7">
        <f t="shared" si="27"/>
        <v>2018</v>
      </c>
      <c r="K60" s="341" t="str">
        <f t="shared" si="18"/>
        <v>3Q18</v>
      </c>
      <c r="L60" s="893">
        <v>14.8866082030959</v>
      </c>
      <c r="M60" s="824">
        <v>11.2850943674402</v>
      </c>
      <c r="N60" s="824">
        <v>14.9224626522731</v>
      </c>
      <c r="O60" s="824">
        <v>17.5689494314506</v>
      </c>
      <c r="P60" s="824">
        <v>18.2951391538129</v>
      </c>
      <c r="Q60" s="894"/>
      <c r="R60" s="893"/>
      <c r="S60" s="824">
        <v>11.2050750583519</v>
      </c>
      <c r="T60" s="824">
        <v>9.12973094963616</v>
      </c>
      <c r="U60" s="824">
        <v>11.878377288491</v>
      </c>
      <c r="V60" s="824">
        <v>15.2651815859566</v>
      </c>
      <c r="W60" s="894"/>
      <c r="X60" s="893">
        <v>9.07545999843439</v>
      </c>
      <c r="Y60" s="824">
        <v>11.4949471393394</v>
      </c>
      <c r="Z60" s="824">
        <v>10.8419096151423</v>
      </c>
      <c r="AA60" s="824">
        <v>7.82603804838701</v>
      </c>
      <c r="AB60" s="824">
        <v>12.60546139989</v>
      </c>
      <c r="AC60" s="894"/>
      <c r="AD60" s="824">
        <v>7.31800840491229</v>
      </c>
      <c r="AE60" s="824">
        <v>8.03334781227757</v>
      </c>
      <c r="AF60" s="824">
        <v>6.10739525285533</v>
      </c>
      <c r="AG60" s="824">
        <v>6.40155772169653</v>
      </c>
      <c r="AH60" s="824">
        <v>10.7324694887282</v>
      </c>
      <c r="AI60" s="894"/>
      <c r="AJ60" s="8"/>
      <c r="AK60" s="341" t="str">
        <f t="shared" si="19"/>
        <v>3Q18</v>
      </c>
      <c r="AL60" s="893">
        <f t="shared" si="20"/>
        <v>14.8866082030959</v>
      </c>
      <c r="AM60" s="824">
        <v>17.7316040068742</v>
      </c>
      <c r="AN60" s="824">
        <v>17.362804075599</v>
      </c>
      <c r="AO60" s="824">
        <v>16.7017237249017</v>
      </c>
      <c r="AP60" s="824">
        <v>17.2152601301526</v>
      </c>
      <c r="AQ60" s="894">
        <v>22.3717948717949</v>
      </c>
      <c r="AR60" s="893">
        <f t="shared" si="21"/>
        <v>0</v>
      </c>
      <c r="AS60" s="824">
        <v>18.1945316001793</v>
      </c>
      <c r="AT60" s="824">
        <v>16.9806941660513</v>
      </c>
      <c r="AU60" s="824">
        <v>17.0676456803624</v>
      </c>
      <c r="AV60" s="824">
        <v>16.2726291811533</v>
      </c>
      <c r="AW60" s="894">
        <v>13.2868020304569</v>
      </c>
      <c r="AX60" s="893">
        <f t="shared" si="22"/>
        <v>9.07545999843439</v>
      </c>
      <c r="AY60" s="824">
        <v>10.6046500596097</v>
      </c>
      <c r="AZ60" s="824">
        <v>9.96578183599201</v>
      </c>
      <c r="BA60" s="824">
        <v>9.52725818436542</v>
      </c>
      <c r="BB60" s="824">
        <v>10.0912602544482</v>
      </c>
      <c r="BC60" s="894">
        <v>10.2362649676181</v>
      </c>
      <c r="BD60" s="893">
        <f t="shared" si="31"/>
        <v>7.31800840491229</v>
      </c>
      <c r="BE60" s="824">
        <v>10.6614615642502</v>
      </c>
      <c r="BF60" s="824">
        <v>10.2604777628974</v>
      </c>
      <c r="BG60" s="824">
        <v>10.2780637391009</v>
      </c>
      <c r="BH60" s="824">
        <v>9.71505194619394</v>
      </c>
      <c r="BI60" s="894">
        <v>9.25020942552141</v>
      </c>
      <c r="BJ60" s="8"/>
      <c r="BK60" s="341" t="str">
        <f t="shared" si="23"/>
        <v>3Q18</v>
      </c>
      <c r="BL60" s="893">
        <f t="shared" si="24"/>
        <v>14.8866082030959</v>
      </c>
      <c r="BM60" s="824">
        <v>11.9331635483082</v>
      </c>
      <c r="BN60" s="824">
        <v>11.0429443217241</v>
      </c>
      <c r="BO60" s="824">
        <v>20.8703264304204</v>
      </c>
      <c r="BP60" s="824">
        <v>17.1616901526493</v>
      </c>
      <c r="BQ60" s="894">
        <v>18.1428389425202</v>
      </c>
      <c r="BR60" s="893">
        <f t="shared" si="25"/>
        <v>0</v>
      </c>
      <c r="BS60" s="824">
        <v>16.8236283371873</v>
      </c>
      <c r="BT60" s="824">
        <v>16.4090568862275</v>
      </c>
      <c r="BU60" s="824">
        <v>13.793318238288</v>
      </c>
      <c r="BV60" s="824">
        <v>16.2845808786291</v>
      </c>
      <c r="BW60" s="894">
        <v>16.7740088736224</v>
      </c>
      <c r="BX60" s="893">
        <f t="shared" si="26"/>
        <v>9.07545999843439</v>
      </c>
      <c r="BY60" s="824">
        <v>5.97884227127418</v>
      </c>
      <c r="BZ60" s="824">
        <v>5.09978843482164</v>
      </c>
      <c r="CA60" s="824">
        <v>16.3952157975105</v>
      </c>
      <c r="CB60" s="824">
        <v>12.1321311527739</v>
      </c>
      <c r="CC60" s="894">
        <v>11.1062594072335</v>
      </c>
      <c r="CD60" s="893">
        <f t="shared" si="32"/>
        <v>7.31800840491229</v>
      </c>
      <c r="CE60" s="824">
        <v>7.18756391759842</v>
      </c>
      <c r="CF60" s="824">
        <v>10.405610801995</v>
      </c>
      <c r="CG60" s="824">
        <v>9.48909092212035</v>
      </c>
      <c r="CH60" s="824">
        <v>10.6121068424686</v>
      </c>
      <c r="CI60" s="894">
        <v>10.0928444397349</v>
      </c>
    </row>
    <row r="61" ht="14.25" customHeight="1" spans="1:87" x14ac:dyDescent="0.25">
      <c r="A61" s="8"/>
      <c r="B61" s="8"/>
      <c r="C61" s="8" t="s">
        <v>1064</v>
      </c>
      <c r="D61" s="8"/>
      <c r="E61" s="774">
        <f t="shared" ref="E61:H61" si="37">AVERAGE(E65,E69)</f>
        <v>18.174451528888053</v>
      </c>
      <c r="F61" s="774">
        <f t="shared" si="37"/>
        <v>15.177675768515218</v>
      </c>
      <c r="G61" s="774">
        <f t="shared" si="37"/>
        <v>9.103387224716275</v>
      </c>
      <c r="H61" s="774">
        <f t="shared" si="37"/>
        <v>8.16731017897481</v>
      </c>
      <c r="I61" s="75">
        <f>IF(I60=4,1,I60+1)</f>
        <v>4</v>
      </c>
      <c r="J61" s="7">
        <f t="shared" si="27"/>
        <v>2018</v>
      </c>
      <c r="K61" s="341" t="str">
        <f t="shared" si="18"/>
        <v>4Q18</v>
      </c>
      <c r="L61" s="893">
        <v>15.7702562044945</v>
      </c>
      <c r="M61" s="824">
        <v>11.819858284744</v>
      </c>
      <c r="N61" s="824">
        <v>11.1916265642306</v>
      </c>
      <c r="O61" s="824">
        <v>15.0162237398851</v>
      </c>
      <c r="P61" s="824">
        <v>18.4512146929595</v>
      </c>
      <c r="Q61" s="894"/>
      <c r="R61" s="893"/>
      <c r="S61" s="824">
        <v>9.47338129496403</v>
      </c>
      <c r="T61" s="824">
        <v>7.4429469901168</v>
      </c>
      <c r="U61" s="824">
        <v>10.0511742808056</v>
      </c>
      <c r="V61" s="824">
        <v>12.3708844304573</v>
      </c>
      <c r="W61" s="894"/>
      <c r="X61" s="893">
        <v>11.8481534397229</v>
      </c>
      <c r="Y61" s="824">
        <v>10.7870178805893</v>
      </c>
      <c r="Z61" s="824">
        <v>10.5450358259259</v>
      </c>
      <c r="AA61" s="824">
        <v>8.58564067041638</v>
      </c>
      <c r="AB61" s="824">
        <v>14.3695479253073</v>
      </c>
      <c r="AC61" s="894"/>
      <c r="AD61" s="824">
        <v>10.2243480206634</v>
      </c>
      <c r="AE61" s="824">
        <v>9.30926820656399</v>
      </c>
      <c r="AF61" s="824">
        <v>5.68963849224293</v>
      </c>
      <c r="AG61" s="824">
        <v>7.49424567024812</v>
      </c>
      <c r="AH61" s="824">
        <v>13.029707172175</v>
      </c>
      <c r="AI61" s="894"/>
      <c r="AJ61" s="8"/>
      <c r="AK61" s="341" t="str">
        <f t="shared" si="19"/>
        <v>4Q18</v>
      </c>
      <c r="AL61" s="893">
        <f t="shared" si="20"/>
        <v>15.7702562044945</v>
      </c>
      <c r="AM61" s="824">
        <v>15.9558420569046</v>
      </c>
      <c r="AN61" s="824">
        <v>16.4547250775695</v>
      </c>
      <c r="AO61" s="824">
        <v>15.0718630779208</v>
      </c>
      <c r="AP61" s="824">
        <v>17.1537530266344</v>
      </c>
      <c r="AQ61" s="894">
        <v>20.3243243243243</v>
      </c>
      <c r="AR61" s="893">
        <f t="shared" si="21"/>
        <v>0</v>
      </c>
      <c r="AS61" s="824">
        <v>16.6621851752263</v>
      </c>
      <c r="AT61" s="824">
        <v>16.5153565851119</v>
      </c>
      <c r="AU61" s="824">
        <v>14.0478637498165</v>
      </c>
      <c r="AV61" s="824">
        <v>16.4813306967547</v>
      </c>
      <c r="AW61" s="894">
        <v>11.539641943734</v>
      </c>
      <c r="AX61" s="893">
        <f t="shared" si="22"/>
        <v>11.8481534397229</v>
      </c>
      <c r="AY61" s="824">
        <v>9.74219912234432</v>
      </c>
      <c r="AZ61" s="824">
        <v>9.83265391921465</v>
      </c>
      <c r="BA61" s="824">
        <v>9.13544206295131</v>
      </c>
      <c r="BB61" s="824">
        <v>10.0301823820195</v>
      </c>
      <c r="BC61" s="894">
        <v>8.55752264300847</v>
      </c>
      <c r="BD61" s="893">
        <f t="shared" si="31"/>
        <v>10.2243480206634</v>
      </c>
      <c r="BE61" s="824">
        <v>9.69462873537993</v>
      </c>
      <c r="BF61" s="824">
        <v>10.0388522239177</v>
      </c>
      <c r="BG61" s="824">
        <v>9.46400162584521</v>
      </c>
      <c r="BH61" s="824">
        <v>9.87431638480709</v>
      </c>
      <c r="BI61" s="894">
        <v>7.56791347800371</v>
      </c>
      <c r="BJ61" s="8"/>
      <c r="BK61" s="341" t="str">
        <f t="shared" si="23"/>
        <v>4Q18</v>
      </c>
      <c r="BL61" s="893">
        <f t="shared" si="24"/>
        <v>15.7702562044945</v>
      </c>
      <c r="BM61" s="824">
        <v>13.2951376349264</v>
      </c>
      <c r="BN61" s="824">
        <v>13.2763337893297</v>
      </c>
      <c r="BO61" s="824">
        <v>23.8012672954539</v>
      </c>
      <c r="BP61" s="824">
        <v>16.3799936683191</v>
      </c>
      <c r="BQ61" s="894">
        <v>16.5919433423949</v>
      </c>
      <c r="BR61" s="893">
        <f t="shared" si="25"/>
        <v>0</v>
      </c>
      <c r="BS61" s="824">
        <v>17.0492462311558</v>
      </c>
      <c r="BT61" s="824">
        <v>17.0952968116963</v>
      </c>
      <c r="BU61" s="824">
        <v>19.7987982155039</v>
      </c>
      <c r="BV61" s="824">
        <v>15.924489582583</v>
      </c>
      <c r="BW61" s="894">
        <v>16.0419378163413</v>
      </c>
      <c r="BX61" s="893">
        <f t="shared" si="26"/>
        <v>11.8481534397229</v>
      </c>
      <c r="BY61" s="824">
        <v>6.31985983894386</v>
      </c>
      <c r="BZ61" s="824">
        <v>4.93598776639412</v>
      </c>
      <c r="CA61" s="824">
        <v>17.3830038396827</v>
      </c>
      <c r="CB61" s="824">
        <v>11.7950653273586</v>
      </c>
      <c r="CC61" s="894">
        <v>10.3600924530421</v>
      </c>
      <c r="CD61" s="893">
        <f t="shared" si="32"/>
        <v>10.2243480206634</v>
      </c>
      <c r="CE61" s="824">
        <v>7.72124573116795</v>
      </c>
      <c r="CF61" s="824">
        <v>9.00796693986612</v>
      </c>
      <c r="CG61" s="824">
        <v>12.531851583217</v>
      </c>
      <c r="CH61" s="824">
        <v>10.499869312052</v>
      </c>
      <c r="CI61" s="894">
        <v>9.63552154678311</v>
      </c>
    </row>
    <row r="62" ht="14.25" customHeight="1" spans="1:87" x14ac:dyDescent="0.25">
      <c r="A62" s="8"/>
      <c r="B62" s="8"/>
      <c r="C62" s="8" t="s">
        <v>1065</v>
      </c>
      <c r="D62" s="8"/>
      <c r="E62" s="774">
        <f t="shared" ref="E62:H62" si="38">AVERAGE(E66,E70)</f>
        <v>18.375615705208343</v>
      </c>
      <c r="F62" s="774">
        <f t="shared" si="38"/>
        <v>16.379830180926785</v>
      </c>
      <c r="G62" s="774">
        <f t="shared" si="38"/>
        <v>10.316037257276058</v>
      </c>
      <c r="H62" s="774">
        <f t="shared" si="38"/>
        <v>9.791613882469797</v>
      </c>
      <c r="I62" s="75">
        <f>IF(I61+1=5,1,I61+1)</f>
        <v>1</v>
      </c>
      <c r="J62" s="7">
        <f t="shared" si="27"/>
        <v>2019</v>
      </c>
      <c r="K62" s="341" t="str">
        <f t="shared" si="18"/>
        <v>1Q19</v>
      </c>
      <c r="L62" s="893">
        <v>17.2656737666882</v>
      </c>
      <c r="M62" s="824">
        <v>12.2290351731718</v>
      </c>
      <c r="N62" s="824">
        <v>10.2843483894241</v>
      </c>
      <c r="O62" s="824">
        <v>14.7039302543309</v>
      </c>
      <c r="P62" s="824">
        <v>19.2839652948713</v>
      </c>
      <c r="Q62" s="894"/>
      <c r="R62" s="893">
        <v>15.2101214418296</v>
      </c>
      <c r="S62" s="824">
        <v>11.0140587921152</v>
      </c>
      <c r="T62" s="824">
        <v>9.10713337520044</v>
      </c>
      <c r="U62" s="824">
        <v>10.792494805935</v>
      </c>
      <c r="V62" s="824">
        <v>14.8261924009701</v>
      </c>
      <c r="W62" s="894"/>
      <c r="X62" s="893">
        <v>11.7265170552623</v>
      </c>
      <c r="Y62" s="824">
        <v>10.9511116029043</v>
      </c>
      <c r="Z62" s="824">
        <v>10.2895425522379</v>
      </c>
      <c r="AA62" s="824">
        <v>8.48713674562376</v>
      </c>
      <c r="AB62" s="824">
        <v>12.5591005412578</v>
      </c>
      <c r="AC62" s="894"/>
      <c r="AD62" s="824">
        <v>8.54148811323782</v>
      </c>
      <c r="AE62" s="824">
        <v>10.7652151785381</v>
      </c>
      <c r="AF62" s="824">
        <v>7.40476906346526</v>
      </c>
      <c r="AG62" s="824">
        <v>6.46996908875848</v>
      </c>
      <c r="AH62" s="824">
        <v>14.9233119678793</v>
      </c>
      <c r="AI62" s="894"/>
      <c r="AJ62" s="8"/>
      <c r="AK62" s="341" t="str">
        <f t="shared" si="19"/>
        <v>1Q19</v>
      </c>
      <c r="AL62" s="893">
        <f t="shared" si="20"/>
        <v>17.2656737666882</v>
      </c>
      <c r="AM62" s="824">
        <v>18.277944487279</v>
      </c>
      <c r="AN62" s="824">
        <v>16.3813996536363</v>
      </c>
      <c r="AO62" s="824">
        <v>17.7732866493109</v>
      </c>
      <c r="AP62" s="824">
        <v>15.9479768786127</v>
      </c>
      <c r="AQ62" s="894">
        <v>20.1666666666667</v>
      </c>
      <c r="AR62" s="893">
        <f t="shared" si="21"/>
        <v>15.2101214418296</v>
      </c>
      <c r="AS62" s="824">
        <v>18.2426962337205</v>
      </c>
      <c r="AT62" s="824">
        <v>17.0502414466249</v>
      </c>
      <c r="AU62" s="824">
        <v>16.5320018157059</v>
      </c>
      <c r="AV62" s="824">
        <v>15.6193387681159</v>
      </c>
      <c r="AW62" s="894">
        <v>11.7815789473684</v>
      </c>
      <c r="AX62" s="893">
        <f t="shared" si="22"/>
        <v>11.7265170552623</v>
      </c>
      <c r="AY62" s="824">
        <v>10.9794454706282</v>
      </c>
      <c r="AZ62" s="824">
        <v>10.0118264817743</v>
      </c>
      <c r="BA62" s="824">
        <v>10.2252500521374</v>
      </c>
      <c r="BB62" s="824">
        <v>9.40471583009277</v>
      </c>
      <c r="BC62" s="894">
        <v>8.49838859338693</v>
      </c>
      <c r="BD62" s="893">
        <f t="shared" si="31"/>
        <v>8.54148811323782</v>
      </c>
      <c r="BE62" s="824">
        <v>10.5132240979169</v>
      </c>
      <c r="BF62" s="824">
        <v>10.2990498453441</v>
      </c>
      <c r="BG62" s="824">
        <v>10.3206996601051</v>
      </c>
      <c r="BH62" s="824">
        <v>9.32664018346695</v>
      </c>
      <c r="BI62" s="894">
        <v>7.73541989514516</v>
      </c>
      <c r="BJ62" s="8"/>
      <c r="BK62" s="341" t="str">
        <f t="shared" si="23"/>
        <v>1Q19</v>
      </c>
      <c r="BL62" s="893">
        <f t="shared" si="24"/>
        <v>17.2656737666882</v>
      </c>
      <c r="BM62" s="824">
        <v>11.434005530168</v>
      </c>
      <c r="BN62" s="824">
        <v>11.3671274961598</v>
      </c>
      <c r="BO62" s="824">
        <v>23.189227331859</v>
      </c>
      <c r="BP62" s="824">
        <v>14.8601513451196</v>
      </c>
      <c r="BQ62" s="894">
        <v>13.7774932517532</v>
      </c>
      <c r="BR62" s="893">
        <f t="shared" si="25"/>
        <v>15.2101214418296</v>
      </c>
      <c r="BS62" s="824">
        <v>14.0498710232158</v>
      </c>
      <c r="BT62" s="824">
        <v>13.595443689142</v>
      </c>
      <c r="BU62" s="824">
        <v>18.6196315729647</v>
      </c>
      <c r="BV62" s="824">
        <v>14.7657839073638</v>
      </c>
      <c r="BW62" s="894">
        <v>14.3278055063597</v>
      </c>
      <c r="BX62" s="893">
        <f t="shared" si="26"/>
        <v>11.7265170552623</v>
      </c>
      <c r="BY62" s="824">
        <v>5.46453209740034</v>
      </c>
      <c r="BZ62" s="824">
        <v>3.97258403706561</v>
      </c>
      <c r="CA62" s="824">
        <v>17.6965979263424</v>
      </c>
      <c r="CB62" s="824">
        <v>10.3345445475001</v>
      </c>
      <c r="CC62" s="894">
        <v>8.87964254717651</v>
      </c>
      <c r="CD62" s="893">
        <f t="shared" si="32"/>
        <v>8.54148811323782</v>
      </c>
      <c r="CE62" s="824">
        <v>6.61628996632126</v>
      </c>
      <c r="CF62" s="824">
        <v>7.12796614778785</v>
      </c>
      <c r="CG62" s="824">
        <v>9.52452171133684</v>
      </c>
      <c r="CH62" s="824">
        <v>9.32242854047568</v>
      </c>
      <c r="CI62" s="894">
        <v>8.64771655026807</v>
      </c>
    </row>
    <row r="63" ht="14.25" customHeight="1" spans="1:87" x14ac:dyDescent="0.25">
      <c r="A63" s="8"/>
      <c r="B63" s="8"/>
      <c r="C63" s="8" t="s">
        <v>1066</v>
      </c>
      <c r="D63" s="8"/>
      <c r="E63" s="774">
        <f>AVERAGE(AM8:AQ35)</f>
        <v>19.37217418639285</v>
      </c>
      <c r="F63" s="774">
        <f>AVERAGE(AS8:AW35)</f>
        <v>16.69867055372992</v>
      </c>
      <c r="G63" s="774">
        <f>AVERAGE(AY8:BC35)</f>
        <v>9.62343980262861</v>
      </c>
      <c r="H63" s="774">
        <f>AVERAGE(BE8:BI35)</f>
        <v>8.299118515323439</v>
      </c>
      <c r="I63" s="75">
        <f>IF(I62=4,1,I62+1)</f>
        <v>2</v>
      </c>
      <c r="J63" s="7">
        <f t="shared" si="27"/>
        <v>2019</v>
      </c>
      <c r="K63" s="341" t="str">
        <f t="shared" si="18"/>
        <v>2Q19</v>
      </c>
      <c r="L63" s="893">
        <v>10.8375821451038</v>
      </c>
      <c r="M63" s="824">
        <v>11.4204318185997</v>
      </c>
      <c r="N63" s="824">
        <v>7.58001934716672</v>
      </c>
      <c r="O63" s="824">
        <v>11.4898246107071</v>
      </c>
      <c r="P63" s="824">
        <v>15.2271556459438</v>
      </c>
      <c r="Q63" s="894"/>
      <c r="R63" s="893">
        <v>13.3066304583475</v>
      </c>
      <c r="S63" s="824">
        <v>10.8936429083249</v>
      </c>
      <c r="T63" s="824">
        <v>9.51437793602381</v>
      </c>
      <c r="U63" s="824">
        <v>10.8045204712896</v>
      </c>
      <c r="V63" s="824">
        <v>13.9012713718118</v>
      </c>
      <c r="W63" s="894"/>
      <c r="X63" s="893">
        <v>7.52909287110667</v>
      </c>
      <c r="Y63" s="824">
        <v>9.56463227045431</v>
      </c>
      <c r="Z63" s="824">
        <v>8.70540140476895</v>
      </c>
      <c r="AA63" s="824">
        <v>6.2872824370091</v>
      </c>
      <c r="AB63" s="824">
        <v>9.86418024699094</v>
      </c>
      <c r="AC63" s="894"/>
      <c r="AD63" s="824">
        <v>8.45744072232168</v>
      </c>
      <c r="AE63" s="824">
        <v>12.6151948063309</v>
      </c>
      <c r="AF63" s="824">
        <v>7.16383304038657</v>
      </c>
      <c r="AG63" s="824">
        <v>6.96203715618381</v>
      </c>
      <c r="AH63" s="824">
        <v>15.4906214475104</v>
      </c>
      <c r="AI63" s="894"/>
      <c r="AJ63" s="8"/>
      <c r="AK63" s="341" t="str">
        <f t="shared" si="19"/>
        <v>2Q19</v>
      </c>
      <c r="AL63" s="893">
        <f t="shared" si="20"/>
        <v>10.8375821451038</v>
      </c>
      <c r="AM63" s="824">
        <v>19.615028752299</v>
      </c>
      <c r="AN63" s="824">
        <v>18.7613513578504</v>
      </c>
      <c r="AO63" s="824">
        <v>20.3668719163684</v>
      </c>
      <c r="AP63" s="824">
        <v>14.7496426411567</v>
      </c>
      <c r="AQ63" s="894">
        <v>17.234896180104</v>
      </c>
      <c r="AR63" s="893">
        <f t="shared" si="21"/>
        <v>13.3066304583475</v>
      </c>
      <c r="AS63" s="824">
        <v>19.1136343631723</v>
      </c>
      <c r="AT63" s="824">
        <v>19.1607469048102</v>
      </c>
      <c r="AU63" s="824">
        <v>18.625486090338</v>
      </c>
      <c r="AV63" s="824">
        <v>15.184611983197</v>
      </c>
      <c r="AW63" s="894">
        <v>13.1473684210526</v>
      </c>
      <c r="AX63" s="893">
        <f t="shared" si="22"/>
        <v>7.52909287110667</v>
      </c>
      <c r="AY63" s="824">
        <v>13.2211502199879</v>
      </c>
      <c r="AZ63" s="824">
        <v>10.8983183864816</v>
      </c>
      <c r="BA63" s="824">
        <v>11.4742241395507</v>
      </c>
      <c r="BB63" s="824">
        <v>9.2205540111037</v>
      </c>
      <c r="BC63" s="894">
        <v>9.31182324640591</v>
      </c>
      <c r="BD63" s="893">
        <f t="shared" si="31"/>
        <v>8.45744072232168</v>
      </c>
      <c r="BE63" s="824">
        <v>11.1083674198787</v>
      </c>
      <c r="BF63" s="824">
        <v>10.8722348425467</v>
      </c>
      <c r="BG63" s="824">
        <v>10.7747774030119</v>
      </c>
      <c r="BH63" s="824">
        <v>9.13900902168595</v>
      </c>
      <c r="BI63" s="894">
        <v>8.28239172079743</v>
      </c>
      <c r="BJ63" s="8"/>
      <c r="BK63" s="341" t="str">
        <f t="shared" si="23"/>
        <v>2Q19</v>
      </c>
      <c r="BL63" s="893">
        <f t="shared" si="24"/>
        <v>10.8375821451038</v>
      </c>
      <c r="BM63" s="824">
        <v>13.0477246062308</v>
      </c>
      <c r="BN63" s="824">
        <v>13.0830374054452</v>
      </c>
      <c r="BO63" s="824">
        <v>30.3985335335335</v>
      </c>
      <c r="BP63" s="824">
        <v>15.1654976430214</v>
      </c>
      <c r="BQ63" s="894">
        <v>16.4267964532346</v>
      </c>
      <c r="BR63" s="893">
        <f t="shared" si="25"/>
        <v>13.3066304583475</v>
      </c>
      <c r="BS63" s="824">
        <v>14.8416684865691</v>
      </c>
      <c r="BT63" s="824">
        <v>18.0734597156398</v>
      </c>
      <c r="BU63" s="824">
        <v>23.1577580123743</v>
      </c>
      <c r="BV63" s="824">
        <v>16.1584549974664</v>
      </c>
      <c r="BW63" s="894">
        <v>15.3246131759451</v>
      </c>
      <c r="BX63" s="893">
        <f t="shared" si="26"/>
        <v>7.52909287110667</v>
      </c>
      <c r="BY63" s="824">
        <v>6.33942479775392</v>
      </c>
      <c r="BZ63" s="824">
        <v>5.39930137609857</v>
      </c>
      <c r="CA63" s="824">
        <v>29.4939880182529</v>
      </c>
      <c r="CB63" s="824">
        <v>10.9915068013633</v>
      </c>
      <c r="CC63" s="894">
        <v>10.9432052907012</v>
      </c>
      <c r="CD63" s="893">
        <f t="shared" si="32"/>
        <v>8.45744072232168</v>
      </c>
      <c r="CE63" s="824">
        <v>7.18808379009993</v>
      </c>
      <c r="CF63" s="824">
        <v>11.0027159130296</v>
      </c>
      <c r="CG63" s="824">
        <v>17.9260231275582</v>
      </c>
      <c r="CH63" s="824">
        <v>9.8729907958619</v>
      </c>
      <c r="CI63" s="894">
        <v>9.02738412772735</v>
      </c>
    </row>
    <row r="64" ht="14.25" customHeight="1" spans="1:87" x14ac:dyDescent="0.25">
      <c r="A64" s="8"/>
      <c r="B64" s="8"/>
      <c r="C64" s="8" t="s">
        <v>1067</v>
      </c>
      <c r="D64" s="8"/>
      <c r="E64" s="774">
        <f>AVERAGE(AM8:AQ19)</f>
        <v>22.394953041679578</v>
      </c>
      <c r="F64" s="774">
        <f>AVERAGE(AS8:AW19)</f>
        <v>19.063007806196822</v>
      </c>
      <c r="G64" s="774">
        <f>AVERAGE(AY8:BC19)</f>
        <v>10.384988120065191</v>
      </c>
      <c r="H64" s="774" t="e">
        <f>AVERAGE(BE8:BI19)</f>
        <v>#DIV/0!</v>
      </c>
      <c r="I64" s="75">
        <f>I60</f>
        <v>3</v>
      </c>
      <c r="J64" s="7">
        <f t="shared" si="27"/>
        <v>2019</v>
      </c>
      <c r="K64" s="341" t="str">
        <f t="shared" si="18"/>
        <v>3Q19</v>
      </c>
      <c r="L64" s="893">
        <v>18.6696550748485</v>
      </c>
      <c r="M64" s="824">
        <v>11.9709475638637</v>
      </c>
      <c r="N64" s="824">
        <v>9.98957494320748</v>
      </c>
      <c r="O64" s="824">
        <v>12.0878866477634</v>
      </c>
      <c r="P64" s="824">
        <v>19.4958629226106</v>
      </c>
      <c r="Q64" s="894"/>
      <c r="R64" s="893">
        <v>11.7142804667894</v>
      </c>
      <c r="S64" s="824">
        <v>10.9611255165296</v>
      </c>
      <c r="T64" s="824">
        <v>9.07097862128212</v>
      </c>
      <c r="U64" s="824">
        <v>10.5245692405871</v>
      </c>
      <c r="V64" s="824">
        <v>13.9525182957248</v>
      </c>
      <c r="W64" s="894"/>
      <c r="X64" s="893"/>
      <c r="Y64" s="824">
        <v>9.06434168383758</v>
      </c>
      <c r="Z64" s="824">
        <v>6.41717924944856</v>
      </c>
      <c r="AA64" s="824">
        <v>6.09410481799546</v>
      </c>
      <c r="AB64" s="824">
        <v>11.6422473151898</v>
      </c>
      <c r="AC64" s="894"/>
      <c r="AD64" s="824">
        <v>9.44733805128206</v>
      </c>
      <c r="AE64" s="824">
        <v>11.2734792883046</v>
      </c>
      <c r="AF64" s="824"/>
      <c r="AG64" s="824">
        <v>7.98874620474545</v>
      </c>
      <c r="AH64" s="824">
        <v>15.5325368005816</v>
      </c>
      <c r="AI64" s="894"/>
      <c r="AJ64" s="8"/>
      <c r="AK64" s="341" t="str">
        <f t="shared" si="19"/>
        <v>3Q19</v>
      </c>
      <c r="AL64" s="893">
        <f t="shared" si="20"/>
        <v>18.6696550748485</v>
      </c>
      <c r="AM64" s="824">
        <v>19.997181435646</v>
      </c>
      <c r="AN64" s="824">
        <v>18.5234169124132</v>
      </c>
      <c r="AO64" s="824">
        <v>20.0561270625894</v>
      </c>
      <c r="AP64" s="824">
        <v>14.1064396750783</v>
      </c>
      <c r="AQ64" s="894">
        <v>17.5591716486648</v>
      </c>
      <c r="AR64" s="893">
        <f t="shared" si="21"/>
        <v>11.7142804667894</v>
      </c>
      <c r="AS64" s="824">
        <v>18.771186440678</v>
      </c>
      <c r="AT64" s="824">
        <v>19.3715740015662</v>
      </c>
      <c r="AU64" s="824">
        <v>17.4289368959636</v>
      </c>
      <c r="AV64" s="824">
        <v>14.0337570772353</v>
      </c>
      <c r="AW64" s="894">
        <v>13.0179028132992</v>
      </c>
      <c r="AX64" s="893">
        <f t="shared" si="22"/>
        <v>0</v>
      </c>
      <c r="AY64" s="824">
        <v>13.616533231839</v>
      </c>
      <c r="AZ64" s="824">
        <v>11.6710392592365</v>
      </c>
      <c r="BA64" s="824">
        <v>11.2373280992404</v>
      </c>
      <c r="BB64" s="824">
        <v>8.56363917869938</v>
      </c>
      <c r="BC64" s="894">
        <v>9.4807678314934</v>
      </c>
      <c r="BD64" s="893">
        <f t="shared" si="31"/>
        <v>9.44733805128206</v>
      </c>
      <c r="BE64" s="824">
        <v>11.3551193037914</v>
      </c>
      <c r="BF64" s="824">
        <v>11.8464347473426</v>
      </c>
      <c r="BG64" s="824">
        <v>10.6119302617015</v>
      </c>
      <c r="BH64" s="824">
        <v>8.65438152874439</v>
      </c>
      <c r="BI64" s="894">
        <v>8.23791084216744</v>
      </c>
      <c r="BJ64" s="8"/>
      <c r="BK64" s="341" t="str">
        <f t="shared" si="23"/>
        <v>3Q19</v>
      </c>
      <c r="BL64" s="893">
        <f t="shared" si="24"/>
        <v>18.6696550748485</v>
      </c>
      <c r="BM64" s="824">
        <v>19.3842278637006</v>
      </c>
      <c r="BN64" s="824">
        <v>13.9084771978835</v>
      </c>
      <c r="BO64" s="824">
        <v>33.2283092526121</v>
      </c>
      <c r="BP64" s="824">
        <v>16.0444901612988</v>
      </c>
      <c r="BQ64" s="894">
        <v>17.1915824104522</v>
      </c>
      <c r="BR64" s="893">
        <f t="shared" si="25"/>
        <v>11.7142804667894</v>
      </c>
      <c r="BS64" s="824">
        <v>20.9756097560976</v>
      </c>
      <c r="BT64" s="824">
        <v>18.8101636941119</v>
      </c>
      <c r="BU64" s="824">
        <v>20.2774930364963</v>
      </c>
      <c r="BV64" s="824">
        <v>16.1550617991588</v>
      </c>
      <c r="BW64" s="894">
        <v>15.4</v>
      </c>
      <c r="BX64" s="893">
        <f t="shared" si="26"/>
        <v>0</v>
      </c>
      <c r="BY64" s="824">
        <v>8.81085885582038</v>
      </c>
      <c r="BZ64" s="824">
        <v>5.73087440673644</v>
      </c>
      <c r="CA64" s="824">
        <v>31.5176125920062</v>
      </c>
      <c r="CB64" s="824">
        <v>11.8960133684471</v>
      </c>
      <c r="CC64" s="894">
        <v>11.3467411692216</v>
      </c>
      <c r="CD64" s="893">
        <f t="shared" si="32"/>
        <v>9.44733805128206</v>
      </c>
      <c r="CE64" s="824">
        <v>8.60068479534296</v>
      </c>
      <c r="CF64" s="824">
        <v>11.0552448111699</v>
      </c>
      <c r="CG64" s="824">
        <v>18.195775926978</v>
      </c>
      <c r="CH64" s="824">
        <v>10.8988073314454</v>
      </c>
      <c r="CI64" s="894">
        <v>9.39712296346382</v>
      </c>
    </row>
    <row r="65" ht="14.25" customHeight="1" spans="1:87" x14ac:dyDescent="0.25">
      <c r="A65" s="8"/>
      <c r="B65" s="8"/>
      <c r="C65" s="8" t="s">
        <v>1068</v>
      </c>
      <c r="D65" s="8"/>
      <c r="E65" s="774">
        <f>AVERAGE(AM16:AQ27)</f>
        <v>19.262472338714346</v>
      </c>
      <c r="F65" s="774">
        <f>AVERAGE(AS16:AW27)</f>
        <v>17.294949146403418</v>
      </c>
      <c r="G65" s="774">
        <f>AVERAGE(AY16:BC27)</f>
        <v>9.817765530907938</v>
      </c>
      <c r="H65" s="774">
        <f>AVERAGE(BE16:BI27)</f>
        <v>8.656236152701716</v>
      </c>
      <c r="I65" s="75">
        <f>IF(I64=4,1,I64+1)</f>
        <v>4</v>
      </c>
      <c r="J65" s="7">
        <f t="shared" si="27"/>
        <v>2019</v>
      </c>
      <c r="K65" s="341" t="str">
        <f t="shared" si="18"/>
        <v>4Q19</v>
      </c>
      <c r="L65" s="893">
        <v>19.0134459843736</v>
      </c>
      <c r="M65" s="824">
        <v>11.9254332061737</v>
      </c>
      <c r="N65" s="824">
        <v>10.8606045270663</v>
      </c>
      <c r="O65" s="824">
        <v>12.320085586345</v>
      </c>
      <c r="P65" s="824">
        <v>17.4526567780036</v>
      </c>
      <c r="Q65" s="894"/>
      <c r="R65" s="893">
        <v>14.5137018367648</v>
      </c>
      <c r="S65" s="824">
        <v>10.828310193024</v>
      </c>
      <c r="T65" s="824">
        <v>9.55870764381403</v>
      </c>
      <c r="U65" s="824">
        <v>11.4607693390642</v>
      </c>
      <c r="V65" s="824">
        <v>14.9454837849316</v>
      </c>
      <c r="W65" s="894"/>
      <c r="X65" s="893"/>
      <c r="Y65" s="824">
        <v>8.52633926200059</v>
      </c>
      <c r="Z65" s="824">
        <v>7.54243914296207</v>
      </c>
      <c r="AA65" s="824">
        <v>6.63762360203419</v>
      </c>
      <c r="AB65" s="824">
        <v>10.984819066203</v>
      </c>
      <c r="AC65" s="894"/>
      <c r="AD65" s="824">
        <v>10.8602996942955</v>
      </c>
      <c r="AE65" s="824">
        <v>12.9402675265312</v>
      </c>
      <c r="AF65" s="824">
        <v>7.87285333505595</v>
      </c>
      <c r="AG65" s="824">
        <v>7.59584109493235</v>
      </c>
      <c r="AH65" s="824">
        <v>15.7382782055872</v>
      </c>
      <c r="AI65" s="894"/>
      <c r="AJ65" s="8"/>
      <c r="AK65" s="341" t="str">
        <f t="shared" si="19"/>
        <v>4Q19</v>
      </c>
      <c r="AL65" s="893">
        <f t="shared" si="20"/>
        <v>19.0134459843736</v>
      </c>
      <c r="AM65" s="824">
        <v>22.4753291670761</v>
      </c>
      <c r="AN65" s="824">
        <v>20.5933531682246</v>
      </c>
      <c r="AO65" s="824">
        <v>22.0344570609292</v>
      </c>
      <c r="AP65" s="824">
        <v>15.0484698200582</v>
      </c>
      <c r="AQ65" s="894">
        <v>17.710061951419</v>
      </c>
      <c r="AR65" s="893">
        <f t="shared" si="21"/>
        <v>14.5137018367648</v>
      </c>
      <c r="AS65" s="824">
        <v>20.9585339076092</v>
      </c>
      <c r="AT65" s="824">
        <v>20.7874310296456</v>
      </c>
      <c r="AU65" s="824">
        <v>19.0193060996083</v>
      </c>
      <c r="AV65" s="824">
        <v>14.6337362059905</v>
      </c>
      <c r="AW65" s="894">
        <v>13.4704370179949</v>
      </c>
      <c r="AX65" s="893">
        <f t="shared" si="22"/>
        <v>0</v>
      </c>
      <c r="AY65" s="824">
        <v>14.9640761354733</v>
      </c>
      <c r="AZ65" s="824">
        <v>13.0378810681472</v>
      </c>
      <c r="BA65" s="824">
        <v>13.237373175453</v>
      </c>
      <c r="BB65" s="824">
        <v>9.442933434653</v>
      </c>
      <c r="BC65" s="894">
        <v>9.66265067327401</v>
      </c>
      <c r="BD65" s="893">
        <f t="shared" si="31"/>
        <v>10.8602996942955</v>
      </c>
      <c r="BE65" s="824">
        <v>12.7003470026881</v>
      </c>
      <c r="BF65" s="824">
        <v>13.2737408297492</v>
      </c>
      <c r="BG65" s="824">
        <v>11.9112839944216</v>
      </c>
      <c r="BH65" s="824">
        <v>9.298047334579</v>
      </c>
      <c r="BI65" s="894">
        <v>8.67811593573978</v>
      </c>
      <c r="BJ65" s="8"/>
      <c r="BK65" s="341" t="str">
        <f t="shared" si="23"/>
        <v>4Q19</v>
      </c>
      <c r="BL65" s="893">
        <f t="shared" si="24"/>
        <v>19.0134459843736</v>
      </c>
      <c r="BM65" s="824">
        <v>20.8351025718613</v>
      </c>
      <c r="BN65" s="824">
        <v>15.761428299699</v>
      </c>
      <c r="BO65" s="824">
        <v>32.4832851404415</v>
      </c>
      <c r="BP65" s="824">
        <v>16.1655282015733</v>
      </c>
      <c r="BQ65" s="894">
        <v>17.8036123538146</v>
      </c>
      <c r="BR65" s="893">
        <f t="shared" si="25"/>
        <v>14.5137018367648</v>
      </c>
      <c r="BS65" s="824">
        <v>21.3368983957219</v>
      </c>
      <c r="BT65" s="824">
        <v>20.8168507577704</v>
      </c>
      <c r="BU65" s="824">
        <v>20.1064412438538</v>
      </c>
      <c r="BV65" s="824">
        <v>16.6346587750649</v>
      </c>
      <c r="BW65" s="894">
        <v>15.6780308821281</v>
      </c>
      <c r="BX65" s="893">
        <f t="shared" si="26"/>
        <v>0</v>
      </c>
      <c r="BY65" s="824">
        <v>9.59620619474839</v>
      </c>
      <c r="BZ65" s="824">
        <v>5.11271417938661</v>
      </c>
      <c r="CA65" s="824">
        <v>26.051184266847</v>
      </c>
      <c r="CB65" s="824">
        <v>12.257617505758</v>
      </c>
      <c r="CC65" s="894">
        <v>11.6439186851917</v>
      </c>
      <c r="CD65" s="893">
        <f t="shared" si="32"/>
        <v>10.8602996942955</v>
      </c>
      <c r="CE65" s="824">
        <v>9.44670346922164</v>
      </c>
      <c r="CF65" s="824">
        <v>9.34153896504469</v>
      </c>
      <c r="CG65" s="824">
        <v>17.7225201444995</v>
      </c>
      <c r="CH65" s="824">
        <v>11.4820845836601</v>
      </c>
      <c r="CI65" s="894">
        <v>9.58550665782812</v>
      </c>
    </row>
    <row r="66" ht="14.25" customHeight="1" spans="1:87" x14ac:dyDescent="0.25">
      <c r="A66" s="8"/>
      <c r="B66" s="8"/>
      <c r="C66" s="8" t="s">
        <v>1069</v>
      </c>
      <c r="D66" s="8"/>
      <c r="E66" s="774">
        <f>AVERAGE(AM24:AQ35)</f>
        <v>17.224511078395345</v>
      </c>
      <c r="F66" s="774">
        <f>AVERAGE(AS24:AW35)</f>
        <v>14.896640295870613</v>
      </c>
      <c r="G66" s="774">
        <f>AVERAGE(AY24:BC35)</f>
        <v>8.930783889608419</v>
      </c>
      <c r="H66" s="774">
        <f>AVERAGE(BE24:BI35)</f>
        <v>8.288132003821932</v>
      </c>
      <c r="I66" s="75">
        <f>IF(I65+1=5,1,I65+1)</f>
        <v>1</v>
      </c>
      <c r="J66" s="7">
        <f t="shared" si="27"/>
        <v>2020</v>
      </c>
      <c r="K66" s="341" t="str">
        <f t="shared" si="18"/>
        <v>1Q20</v>
      </c>
      <c r="L66" s="893">
        <v>19.5501112505991</v>
      </c>
      <c r="M66" s="824">
        <v>11.6579656664571</v>
      </c>
      <c r="N66" s="824">
        <v>10.2338391218374</v>
      </c>
      <c r="O66" s="824">
        <v>11.5932216066945</v>
      </c>
      <c r="P66" s="824">
        <v>16.4169841162949</v>
      </c>
      <c r="Q66" s="894"/>
      <c r="R66" s="893">
        <v>42.5920641100011</v>
      </c>
      <c r="S66" s="824">
        <v>6.72404441193796</v>
      </c>
      <c r="T66" s="824">
        <v>7.75931653033768</v>
      </c>
      <c r="U66" s="824">
        <v>10.1570737540084</v>
      </c>
      <c r="V66" s="824">
        <v>15.6516516516517</v>
      </c>
      <c r="W66" s="894"/>
      <c r="X66" s="893"/>
      <c r="Y66" s="824">
        <v>8.23166057353052</v>
      </c>
      <c r="Z66" s="824">
        <v>7.02956856163981</v>
      </c>
      <c r="AA66" s="824">
        <v>6.12063002463511</v>
      </c>
      <c r="AB66" s="824">
        <v>11.0935957291634</v>
      </c>
      <c r="AC66" s="894"/>
      <c r="AD66" s="824">
        <v>10.7414320064838</v>
      </c>
      <c r="AE66" s="824">
        <v>11.9860227169602</v>
      </c>
      <c r="AF66" s="824">
        <v>10.6926141498544</v>
      </c>
      <c r="AG66" s="824">
        <v>7.62072575347464</v>
      </c>
      <c r="AH66" s="824">
        <v>17.9603133099185</v>
      </c>
      <c r="AI66" s="894"/>
      <c r="AJ66" s="8"/>
      <c r="AK66" s="341" t="str">
        <f t="shared" si="19"/>
        <v>1Q20</v>
      </c>
      <c r="AL66" s="893">
        <f t="shared" si="20"/>
        <v>19.5501112505991</v>
      </c>
      <c r="AM66" s="824">
        <v>20.2185342524169</v>
      </c>
      <c r="AN66" s="824">
        <v>18.7777991734784</v>
      </c>
      <c r="AO66" s="824">
        <v>19.449682429963</v>
      </c>
      <c r="AP66" s="824">
        <v>16.5720222908439</v>
      </c>
      <c r="AQ66" s="894">
        <v>17.710061951419</v>
      </c>
      <c r="AR66" s="893">
        <f t="shared" si="21"/>
        <v>42.5920641100011</v>
      </c>
      <c r="AS66" s="824">
        <v>19.8855246785566</v>
      </c>
      <c r="AT66" s="824">
        <v>19.3392389044563</v>
      </c>
      <c r="AU66" s="824">
        <v>18.3909754120508</v>
      </c>
      <c r="AV66" s="824">
        <v>15.9416418370492</v>
      </c>
      <c r="AW66" s="894">
        <v>13.3333333333333</v>
      </c>
      <c r="AX66" s="893">
        <f t="shared" si="22"/>
        <v>0</v>
      </c>
      <c r="AY66" s="824">
        <v>13.1266307559514</v>
      </c>
      <c r="AZ66" s="824">
        <v>12.3867992139277</v>
      </c>
      <c r="BA66" s="824">
        <v>11.4662626507386</v>
      </c>
      <c r="BB66" s="824">
        <v>10.68778808114</v>
      </c>
      <c r="BC66" s="894">
        <v>9.66678091753156</v>
      </c>
      <c r="BD66" s="893">
        <f t="shared" si="31"/>
        <v>10.7414320064838</v>
      </c>
      <c r="BE66" s="824">
        <v>12.4195386896497</v>
      </c>
      <c r="BF66" s="824">
        <v>12.6633183328757</v>
      </c>
      <c r="BG66" s="824">
        <v>11.5418562781193</v>
      </c>
      <c r="BH66" s="824">
        <v>10.2055491446263</v>
      </c>
      <c r="BI66" s="894">
        <v>8.58308292297046</v>
      </c>
      <c r="BJ66" s="8"/>
      <c r="BK66" s="341" t="str">
        <f t="shared" si="23"/>
        <v>1Q20</v>
      </c>
      <c r="BL66" s="893">
        <f t="shared" si="24"/>
        <v>19.5501112505991</v>
      </c>
      <c r="BM66" s="824">
        <v>25.8159566866585</v>
      </c>
      <c r="BN66" s="824">
        <v>17.0264463502361</v>
      </c>
      <c r="BO66" s="824">
        <v>29.0251668717398</v>
      </c>
      <c r="BP66" s="824">
        <v>16.2119049357539</v>
      </c>
      <c r="BQ66" s="894">
        <v>17.3509445420435</v>
      </c>
      <c r="BR66" s="893">
        <f t="shared" si="25"/>
        <v>42.5920641100011</v>
      </c>
      <c r="BS66" s="824">
        <v>25.1758366420873</v>
      </c>
      <c r="BT66" s="824">
        <v>19.871944121071</v>
      </c>
      <c r="BU66" s="824">
        <v>18.9310282367021</v>
      </c>
      <c r="BV66" s="824">
        <v>16.6382797367085</v>
      </c>
      <c r="BW66" s="894">
        <v>15.468940316687</v>
      </c>
      <c r="BX66" s="893">
        <f t="shared" si="26"/>
        <v>0</v>
      </c>
      <c r="BY66" s="824">
        <v>12.1990038422253</v>
      </c>
      <c r="BZ66" s="824">
        <v>5.03332491979714</v>
      </c>
      <c r="CA66" s="824">
        <v>24.0965972999172</v>
      </c>
      <c r="CB66" s="824">
        <v>12.3276969312074</v>
      </c>
      <c r="CC66" s="894">
        <v>11.5890282932563</v>
      </c>
      <c r="CD66" s="893">
        <f t="shared" si="32"/>
        <v>10.7414320064838</v>
      </c>
      <c r="CE66" s="824">
        <v>10.9486870372588</v>
      </c>
      <c r="CF66" s="824">
        <v>8.42518492172013</v>
      </c>
      <c r="CG66" s="824">
        <v>16.1964084418045</v>
      </c>
      <c r="CH66" s="824">
        <v>11.2866211924263</v>
      </c>
      <c r="CI66" s="894">
        <v>9.39984198094617</v>
      </c>
    </row>
    <row r="67" ht="14.25" customHeight="1" spans="1:87" x14ac:dyDescent="0.25">
      <c r="A67" s="8"/>
      <c r="B67" s="8"/>
      <c r="C67" s="8" t="s">
        <v>1070</v>
      </c>
      <c r="D67" s="8"/>
      <c r="E67" s="774">
        <f>AVERAGE(AM36:AQ75)</f>
        <v>16.187707655771675</v>
      </c>
      <c r="F67" s="774">
        <f>AVERAGE(AS36:AW75)</f>
        <v>13.567451413503498</v>
      </c>
      <c r="G67" s="774">
        <f>AVERAGE(AY36:BC75)</f>
        <v>8.694266415086647</v>
      </c>
      <c r="H67" s="774">
        <f>AVERAGE(BE36:BI75)</f>
        <v>8.227833653954802</v>
      </c>
      <c r="I67" s="75">
        <f>IF(I66=4,1,I66+1)</f>
        <v>2</v>
      </c>
      <c r="J67" s="7">
        <f t="shared" si="27"/>
        <v>2020</v>
      </c>
      <c r="K67" s="341" t="str">
        <f t="shared" si="18"/>
        <v>2Q20</v>
      </c>
      <c r="L67" s="893">
        <v>27.2736959094321</v>
      </c>
      <c r="M67" s="824">
        <v>12.7904695801545</v>
      </c>
      <c r="N67" s="824">
        <v>10.5956150750184</v>
      </c>
      <c r="O67" s="824">
        <v>12.0792140436458</v>
      </c>
      <c r="P67" s="824">
        <v>18.2593022682335</v>
      </c>
      <c r="Q67" s="894"/>
      <c r="R67" s="893">
        <v>16.1948091116873</v>
      </c>
      <c r="S67" s="824">
        <v>12.9559379100412</v>
      </c>
      <c r="T67" s="824">
        <v>10.8327455071625</v>
      </c>
      <c r="U67" s="824">
        <v>13.1233032976326</v>
      </c>
      <c r="V67" s="824">
        <v>18.4559320236887</v>
      </c>
      <c r="W67" s="894"/>
      <c r="X67" s="893"/>
      <c r="Y67" s="824">
        <v>9.7416222919033</v>
      </c>
      <c r="Z67" s="824">
        <v>6.54889753079114</v>
      </c>
      <c r="AA67" s="824">
        <v>6.30054332361419</v>
      </c>
      <c r="AB67" s="824">
        <v>12.4523716746304</v>
      </c>
      <c r="AC67" s="894"/>
      <c r="AD67" s="824">
        <v>11.6340913603202</v>
      </c>
      <c r="AE67" s="824">
        <v>13.7762068335938</v>
      </c>
      <c r="AF67" s="824">
        <v>21.7850954612675</v>
      </c>
      <c r="AG67" s="824">
        <v>9.15337569542705</v>
      </c>
      <c r="AH67" s="824">
        <v>18.0343874608967</v>
      </c>
      <c r="AI67" s="894"/>
      <c r="AJ67" s="8"/>
      <c r="AK67" s="341" t="str">
        <f t="shared" si="19"/>
        <v>2Q20</v>
      </c>
      <c r="AL67" s="893">
        <f t="shared" si="20"/>
        <v>27.2736959094321</v>
      </c>
      <c r="AM67" s="824">
        <v>20.6688097373794</v>
      </c>
      <c r="AN67" s="824">
        <v>15.9005325905884</v>
      </c>
      <c r="AO67" s="824">
        <v>20.3173920023305</v>
      </c>
      <c r="AP67" s="824">
        <v>20.0069524913094</v>
      </c>
      <c r="AQ67" s="894">
        <v>20.5307092900158</v>
      </c>
      <c r="AR67" s="893">
        <f t="shared" si="21"/>
        <v>16.1948091116873</v>
      </c>
      <c r="AS67" s="824">
        <v>20.4015998693984</v>
      </c>
      <c r="AT67" s="824">
        <v>19.8956372968349</v>
      </c>
      <c r="AU67" s="824">
        <v>19.1117092866756</v>
      </c>
      <c r="AV67" s="824">
        <v>17.6399673069064</v>
      </c>
      <c r="AW67" s="894">
        <v>14.7506234413965</v>
      </c>
      <c r="AX67" s="893">
        <f t="shared" si="22"/>
        <v>0</v>
      </c>
      <c r="AY67" s="824">
        <v>12.0747234053077</v>
      </c>
      <c r="AZ67" s="824">
        <v>12.1950184249163</v>
      </c>
      <c r="BA67" s="824">
        <v>11.5692583860062</v>
      </c>
      <c r="BB67" s="824">
        <v>12.9286714914712</v>
      </c>
      <c r="BC67" s="894">
        <v>10.2228268024595</v>
      </c>
      <c r="BD67" s="893">
        <f t="shared" si="31"/>
        <v>11.6340913603202</v>
      </c>
      <c r="BE67" s="824">
        <v>11.8871481239925</v>
      </c>
      <c r="BF67" s="824">
        <v>11.9642585493331</v>
      </c>
      <c r="BG67" s="824">
        <v>11.817655580723</v>
      </c>
      <c r="BH67" s="824">
        <v>11.2019939501488</v>
      </c>
      <c r="BI67" s="894">
        <v>8.84252885876577</v>
      </c>
      <c r="BJ67" s="8"/>
      <c r="BK67" s="341" t="str">
        <f t="shared" si="23"/>
        <v>2Q20</v>
      </c>
      <c r="BL67" s="893">
        <f t="shared" si="24"/>
        <v>27.2736959094321</v>
      </c>
      <c r="BM67" s="824">
        <v>28.0660341670828</v>
      </c>
      <c r="BN67" s="824">
        <v>21.3074203339458</v>
      </c>
      <c r="BO67" s="824">
        <v>26.8891031283749</v>
      </c>
      <c r="BP67" s="824">
        <v>16.4232739479797</v>
      </c>
      <c r="BQ67" s="894">
        <v>17.1725751374574</v>
      </c>
      <c r="BR67" s="893">
        <f t="shared" si="25"/>
        <v>16.1948091116873</v>
      </c>
      <c r="BS67" s="824">
        <v>28.4565817735502</v>
      </c>
      <c r="BT67" s="824">
        <v>23.0824372759857</v>
      </c>
      <c r="BU67" s="824">
        <v>20.3453075954454</v>
      </c>
      <c r="BV67" s="824">
        <v>16.8010938278978</v>
      </c>
      <c r="BW67" s="894">
        <v>16.6116078193666</v>
      </c>
      <c r="BX67" s="893">
        <f t="shared" si="26"/>
        <v>0</v>
      </c>
      <c r="BY67" s="824">
        <v>13.7639728827608</v>
      </c>
      <c r="BZ67" s="824">
        <v>7.55049031920011</v>
      </c>
      <c r="CA67" s="824">
        <v>23.1210793402323</v>
      </c>
      <c r="CB67" s="824">
        <v>12.2357248665092</v>
      </c>
      <c r="CC67" s="894">
        <v>10.7451877747124</v>
      </c>
      <c r="CD67" s="893">
        <f t="shared" si="32"/>
        <v>11.6340913603202</v>
      </c>
      <c r="CE67" s="824">
        <v>11.1463692074734</v>
      </c>
      <c r="CF67" s="824">
        <v>12.6304413193167</v>
      </c>
      <c r="CG67" s="824">
        <v>16.374575188528</v>
      </c>
      <c r="CH67" s="824">
        <v>10.8915082737996</v>
      </c>
      <c r="CI67" s="894">
        <v>10.1995281174228</v>
      </c>
    </row>
    <row r="68" ht="14.25" customHeight="1" spans="1:87" x14ac:dyDescent="0.25">
      <c r="A68" s="8"/>
      <c r="B68" s="8"/>
      <c r="C68" s="8" t="s">
        <v>1071</v>
      </c>
      <c r="D68" s="8"/>
      <c r="E68" s="774">
        <f>AVERAGE(AM36:AQ51)</f>
        <v>10.627759634939974</v>
      </c>
      <c r="F68" s="774">
        <f>AVERAGE(AS36:AW51)</f>
        <v>9.435799649405848</v>
      </c>
      <c r="G68" s="774">
        <f>AVERAGE(AY36:BC51)</f>
        <v>5.631387839905361</v>
      </c>
      <c r="H68" s="774">
        <f>AVERAGE(BE36:BI51)</f>
        <v>5.4314602700251715</v>
      </c>
      <c r="I68" s="75">
        <f>I64</f>
        <v>3</v>
      </c>
      <c r="J68" s="7">
        <f t="shared" si="27"/>
        <v>2020</v>
      </c>
      <c r="K68" s="341" t="str">
        <f t="shared" si="18"/>
        <v>3Q20</v>
      </c>
      <c r="L68" s="893">
        <v>9.17867845972552</v>
      </c>
      <c r="M68" s="824">
        <v>7.16170266400611</v>
      </c>
      <c r="N68" s="824">
        <v>7.24995301932091</v>
      </c>
      <c r="O68" s="824">
        <v>8.43342240023741</v>
      </c>
      <c r="P68" s="824">
        <v>18.425796397778</v>
      </c>
      <c r="Q68" s="894"/>
      <c r="R68" s="893">
        <v>14.3060817588406</v>
      </c>
      <c r="S68" s="824">
        <v>12.8427077827963</v>
      </c>
      <c r="T68" s="824">
        <v>10.1670272943011</v>
      </c>
      <c r="U68" s="824">
        <v>12.5310787537185</v>
      </c>
      <c r="V68" s="824">
        <v>18.7833001988072</v>
      </c>
      <c r="W68" s="894"/>
      <c r="X68" s="893"/>
      <c r="Y68" s="824">
        <v>6.60490983235738</v>
      </c>
      <c r="Z68" s="824">
        <v>4.98874603423021</v>
      </c>
      <c r="AA68" s="824">
        <v>4.17642466098655</v>
      </c>
      <c r="AB68" s="824">
        <v>12.7307994735816</v>
      </c>
      <c r="AC68" s="894"/>
      <c r="AD68" s="824">
        <v>9.44857753635022</v>
      </c>
      <c r="AE68" s="824">
        <v>11.2860125207132</v>
      </c>
      <c r="AF68" s="824">
        <v>6.17288149772067</v>
      </c>
      <c r="AG68" s="824">
        <v>7.52723189486272</v>
      </c>
      <c r="AH68" s="824">
        <v>15.3048277172775</v>
      </c>
      <c r="AI68" s="894"/>
      <c r="AJ68" s="8"/>
      <c r="AK68" s="341" t="str">
        <f t="shared" si="19"/>
        <v>3Q20</v>
      </c>
      <c r="AL68" s="893">
        <f t="shared" si="20"/>
        <v>9.17867845972552</v>
      </c>
      <c r="AM68" s="824">
        <v>21.5919408806849</v>
      </c>
      <c r="AN68" s="824">
        <v>16.3220713054363</v>
      </c>
      <c r="AO68" s="824">
        <v>20.9216903189234</v>
      </c>
      <c r="AP68" s="824">
        <v>20.7308970099668</v>
      </c>
      <c r="AQ68" s="894">
        <v>22.3008972423248</v>
      </c>
      <c r="AR68" s="893">
        <f t="shared" si="21"/>
        <v>14.3060817588406</v>
      </c>
      <c r="AS68" s="824">
        <v>21.1090952118009</v>
      </c>
      <c r="AT68" s="824">
        <v>20.0168321831342</v>
      </c>
      <c r="AU68" s="824">
        <v>20.5969746083198</v>
      </c>
      <c r="AV68" s="824">
        <v>19.1940941248847</v>
      </c>
      <c r="AW68" s="894">
        <v>14.7025171624714</v>
      </c>
      <c r="AX68" s="893">
        <f t="shared" si="22"/>
        <v>0</v>
      </c>
      <c r="AY68" s="824">
        <v>12.2299186581744</v>
      </c>
      <c r="AZ68" s="824">
        <v>12.2332703953318</v>
      </c>
      <c r="BA68" s="824">
        <v>11.5069141760127</v>
      </c>
      <c r="BB68" s="824">
        <v>13.5947942570683</v>
      </c>
      <c r="BC68" s="894">
        <v>11.0410116059098</v>
      </c>
      <c r="BD68" s="893">
        <f t="shared" si="31"/>
        <v>9.44857753635022</v>
      </c>
      <c r="BE68" s="824">
        <v>12.6639328350543</v>
      </c>
      <c r="BF68" s="824">
        <v>12.5960409466614</v>
      </c>
      <c r="BG68" s="824">
        <v>12.3328687695918</v>
      </c>
      <c r="BH68" s="824">
        <v>12.4744740331326</v>
      </c>
      <c r="BI68" s="894">
        <v>9.49871843920386</v>
      </c>
      <c r="BJ68" s="8"/>
      <c r="BK68" s="341" t="str">
        <f t="shared" si="23"/>
        <v>3Q20</v>
      </c>
      <c r="BL68" s="893">
        <f t="shared" si="24"/>
        <v>9.17867845972552</v>
      </c>
      <c r="BM68" s="824">
        <v>23.6974210277568</v>
      </c>
      <c r="BN68" s="824">
        <v>23.5895257824892</v>
      </c>
      <c r="BO68" s="824">
        <v>25.7915588945533</v>
      </c>
      <c r="BP68" s="824">
        <v>17.3070234376427</v>
      </c>
      <c r="BQ68" s="894">
        <v>17.53752845101</v>
      </c>
      <c r="BR68" s="893">
        <f t="shared" si="25"/>
        <v>14.3060817588406</v>
      </c>
      <c r="BS68" s="824">
        <v>29.6168582375479</v>
      </c>
      <c r="BT68" s="824">
        <v>22.7455077308817</v>
      </c>
      <c r="BU68" s="824">
        <v>17.6495944054221</v>
      </c>
      <c r="BV68" s="824">
        <v>16.9873599113953</v>
      </c>
      <c r="BW68" s="894">
        <v>17.1286826438712</v>
      </c>
      <c r="BX68" s="893">
        <f t="shared" si="26"/>
        <v>0</v>
      </c>
      <c r="BY68" s="824">
        <v>13.8194579192422</v>
      </c>
      <c r="BZ68" s="824">
        <v>7.99421889014724</v>
      </c>
      <c r="CA68" s="824">
        <v>22.0261974275927</v>
      </c>
      <c r="CB68" s="824">
        <v>13.3849672643896</v>
      </c>
      <c r="CC68" s="894">
        <v>10.5374575768322</v>
      </c>
      <c r="CD68" s="893">
        <f t="shared" si="32"/>
        <v>9.44857753635022</v>
      </c>
      <c r="CE68" s="824">
        <v>10.8109945315616</v>
      </c>
      <c r="CF68" s="824">
        <v>11.5073082924952</v>
      </c>
      <c r="CG68" s="824">
        <v>16.0718960793361</v>
      </c>
      <c r="CH68" s="824">
        <v>11.6798602720559</v>
      </c>
      <c r="CI68" s="894">
        <v>10.218256912726</v>
      </c>
    </row>
    <row r="69" ht="14.25" customHeight="1" spans="1:87" x14ac:dyDescent="0.25">
      <c r="A69" s="8"/>
      <c r="B69" s="8"/>
      <c r="C69" s="8" t="s">
        <v>1072</v>
      </c>
      <c r="D69" s="8"/>
      <c r="E69" s="774">
        <f>AVERAGE(AM48:AQ63)</f>
        <v>17.08643071906176</v>
      </c>
      <c r="F69" s="774">
        <f>AVERAGE(AS48:AW63)</f>
        <v>13.060402390627019</v>
      </c>
      <c r="G69" s="774">
        <f>AVERAGE(AY48:BC63)</f>
        <v>8.389008918524613</v>
      </c>
      <c r="H69" s="774">
        <f>AVERAGE(BE48:BI63)</f>
        <v>7.678384205247906</v>
      </c>
      <c r="I69" s="75">
        <f>IF(I68=4,1,I68+1)</f>
        <v>4</v>
      </c>
      <c r="J69" s="7">
        <f t="shared" si="27"/>
        <v>2020</v>
      </c>
      <c r="K69" s="341" t="str">
        <f t="shared" si="18"/>
        <v>4Q20</v>
      </c>
      <c r="L69" s="893">
        <v>11.6920993531735</v>
      </c>
      <c r="M69" s="824">
        <v>9.15316088072717</v>
      </c>
      <c r="N69" s="824">
        <v>8.26842771567208</v>
      </c>
      <c r="O69" s="824">
        <v>9.99855897566412</v>
      </c>
      <c r="P69" s="824">
        <v>19.2178036164287</v>
      </c>
      <c r="Q69" s="894"/>
      <c r="R69" s="893">
        <v>17.7718992190898</v>
      </c>
      <c r="S69" s="824">
        <v>13.3172019357677</v>
      </c>
      <c r="T69" s="824">
        <v>12.5055762081784</v>
      </c>
      <c r="U69" s="824">
        <v>14.1185020663872</v>
      </c>
      <c r="V69" s="824">
        <v>18.949565195008</v>
      </c>
      <c r="W69" s="894"/>
      <c r="X69" s="893">
        <v>11.8271911293995</v>
      </c>
      <c r="Y69" s="824">
        <v>8.87102195807992</v>
      </c>
      <c r="Z69" s="824">
        <v>5.25405317751913</v>
      </c>
      <c r="AA69" s="824">
        <v>1.14631572397619</v>
      </c>
      <c r="AB69" s="824">
        <v>11.6441205592627</v>
      </c>
      <c r="AC69" s="894"/>
      <c r="AD69" s="824">
        <v>14.2378648590907</v>
      </c>
      <c r="AE69" s="824">
        <v>14.3933210669259</v>
      </c>
      <c r="AF69" s="824">
        <v>6.60097500935755</v>
      </c>
      <c r="AG69" s="824">
        <v>8.9142703193128</v>
      </c>
      <c r="AH69" s="824">
        <v>16.4496203268483</v>
      </c>
      <c r="AI69" s="894"/>
      <c r="AJ69" s="8"/>
      <c r="AK69" s="341" t="str">
        <f t="shared" si="19"/>
        <v>4Q20</v>
      </c>
      <c r="AL69" s="893">
        <f t="shared" si="20"/>
        <v>11.6920993531735</v>
      </c>
      <c r="AM69" s="824">
        <v>21.7844169029372</v>
      </c>
      <c r="AN69" s="824">
        <v>17.2500685406486</v>
      </c>
      <c r="AO69" s="824">
        <v>22.1205479452055</v>
      </c>
      <c r="AP69" s="824">
        <v>21.5795206971678</v>
      </c>
      <c r="AQ69" s="894">
        <v>18.7367829520415</v>
      </c>
      <c r="AR69" s="893">
        <f t="shared" si="21"/>
        <v>17.7718992190898</v>
      </c>
      <c r="AS69" s="824">
        <v>22.1397240609299</v>
      </c>
      <c r="AT69" s="824">
        <v>20.8148868888348</v>
      </c>
      <c r="AU69" s="824">
        <v>21.5594125500668</v>
      </c>
      <c r="AV69" s="824">
        <v>20.2039775624681</v>
      </c>
      <c r="AW69" s="894">
        <v>14.4305239179954</v>
      </c>
      <c r="AX69" s="893">
        <f t="shared" si="22"/>
        <v>11.8271911293995</v>
      </c>
      <c r="AY69" s="824">
        <v>12.0202300603609</v>
      </c>
      <c r="AZ69" s="824">
        <v>12.6144758164482</v>
      </c>
      <c r="BA69" s="824">
        <v>11.7393095004713</v>
      </c>
      <c r="BB69" s="824">
        <v>14.2659952164131</v>
      </c>
      <c r="BC69" s="894">
        <v>10.3526050422766</v>
      </c>
      <c r="BD69" s="893">
        <f t="shared" si="31"/>
        <v>14.2378648590907</v>
      </c>
      <c r="BE69" s="824">
        <v>13.3289772635557</v>
      </c>
      <c r="BF69" s="824">
        <v>13.1897408687117</v>
      </c>
      <c r="BG69" s="824">
        <v>12.8497335792121</v>
      </c>
      <c r="BH69" s="824">
        <v>13.133248032386</v>
      </c>
      <c r="BI69" s="894">
        <v>9.40870102313227</v>
      </c>
      <c r="BJ69" s="8"/>
      <c r="BK69" s="341" t="str">
        <f t="shared" si="23"/>
        <v>4Q20</v>
      </c>
      <c r="BL69" s="893">
        <f t="shared" si="24"/>
        <v>11.6920993531735</v>
      </c>
      <c r="BM69" s="824">
        <v>24.742040170703</v>
      </c>
      <c r="BN69" s="824">
        <v>24.0214920341708</v>
      </c>
      <c r="BO69" s="824">
        <v>23.4933771233793</v>
      </c>
      <c r="BP69" s="824">
        <v>18.0285981640464</v>
      </c>
      <c r="BQ69" s="894">
        <v>18.3791047444912</v>
      </c>
      <c r="BR69" s="893">
        <f t="shared" si="25"/>
        <v>17.7718992190898</v>
      </c>
      <c r="BS69" s="824">
        <v>25.9627929451558</v>
      </c>
      <c r="BT69" s="824">
        <v>19.6392817416177</v>
      </c>
      <c r="BU69" s="824">
        <v>15.870049091687</v>
      </c>
      <c r="BV69" s="824">
        <v>18.0227065984269</v>
      </c>
      <c r="BW69" s="894">
        <v>18.5239684466019</v>
      </c>
      <c r="BX69" s="893">
        <f t="shared" si="26"/>
        <v>11.8271911293995</v>
      </c>
      <c r="BY69" s="824">
        <v>14.3264244041204</v>
      </c>
      <c r="BZ69" s="824">
        <v>7.1606597322999</v>
      </c>
      <c r="CA69" s="824">
        <v>25.6475468440842</v>
      </c>
      <c r="CB69" s="824">
        <v>14.752252083434</v>
      </c>
      <c r="CC69" s="894">
        <v>11.3109397504525</v>
      </c>
      <c r="CD69" s="893">
        <f t="shared" si="32"/>
        <v>14.2378648590907</v>
      </c>
      <c r="CE69" s="824">
        <v>11.112001785687</v>
      </c>
      <c r="CF69" s="824">
        <v>11.7841043437958</v>
      </c>
      <c r="CG69" s="824">
        <v>15.9469374086928</v>
      </c>
      <c r="CH69" s="824">
        <v>12.6190343687216</v>
      </c>
      <c r="CI69" s="894">
        <v>10.944111913627</v>
      </c>
    </row>
    <row r="70" ht="14.25" customHeight="1" spans="1:87" x14ac:dyDescent="0.25">
      <c r="A70" s="8"/>
      <c r="B70" s="8"/>
      <c r="C70" s="8" t="s">
        <v>1073</v>
      </c>
      <c r="D70" s="8"/>
      <c r="E70" s="774">
        <f>AVERAGE(AM60:AQ75)</f>
        <v>19.52672033202134</v>
      </c>
      <c r="F70" s="774">
        <f>AVERAGE(AS60:AW75)</f>
        <v>17.86302006598296</v>
      </c>
      <c r="G70" s="774">
        <f>AVERAGE(AY60:BC75)</f>
        <v>11.701290624943695</v>
      </c>
      <c r="H70" s="774">
        <f>AVERAGE(BE60:BI75)</f>
        <v>11.295095761117661</v>
      </c>
      <c r="I70" s="75">
        <f>IF(I69+1=5,1,I69+1)</f>
        <v>1</v>
      </c>
      <c r="J70" s="7">
        <f t="shared" si="27"/>
        <v>2021</v>
      </c>
      <c r="K70" s="341" t="str">
        <f t="shared" si="18"/>
        <v>1Q21</v>
      </c>
      <c r="L70" s="893">
        <v>6.09395388190076</v>
      </c>
      <c r="M70" s="824">
        <v>10.1844771547529</v>
      </c>
      <c r="N70" s="824">
        <v>8.55160996404637</v>
      </c>
      <c r="O70" s="824">
        <v>11.5236129535799</v>
      </c>
      <c r="P70" s="824">
        <v>21.1227350740423</v>
      </c>
      <c r="Q70" s="894"/>
      <c r="R70" s="893">
        <v>9.50880500259655</v>
      </c>
      <c r="S70" s="824">
        <v>11.5050546186278</v>
      </c>
      <c r="T70" s="824">
        <v>12.9645555232115</v>
      </c>
      <c r="U70" s="824">
        <v>14.9014379988934</v>
      </c>
      <c r="V70" s="824">
        <v>17.0538461538462</v>
      </c>
      <c r="W70" s="894"/>
      <c r="X70" s="893">
        <v>1.46611949356764</v>
      </c>
      <c r="Y70" s="824">
        <v>8.91693296936106</v>
      </c>
      <c r="Z70" s="824">
        <v>5.12175022306459</v>
      </c>
      <c r="AA70" s="824">
        <v>4.89474260154047</v>
      </c>
      <c r="AB70" s="824">
        <v>16.3184832230231</v>
      </c>
      <c r="AC70" s="894"/>
      <c r="AD70" s="824">
        <v>12.6471112645275</v>
      </c>
      <c r="AE70" s="824">
        <v>16.3247947199625</v>
      </c>
      <c r="AF70" s="824"/>
      <c r="AG70" s="824">
        <v>9.34930736866049</v>
      </c>
      <c r="AH70" s="824">
        <v>16.6995489014084</v>
      </c>
      <c r="AI70" s="894"/>
      <c r="AJ70" s="8"/>
      <c r="AK70" s="341" t="str">
        <f t="shared" si="19"/>
        <v>1Q21</v>
      </c>
      <c r="AL70" s="893">
        <f t="shared" si="20"/>
        <v>6.09395388190076</v>
      </c>
      <c r="AM70" s="824">
        <v>24.2456302934027</v>
      </c>
      <c r="AN70" s="824">
        <v>18.9268554528184</v>
      </c>
      <c r="AO70" s="824">
        <v>25.1117092866756</v>
      </c>
      <c r="AP70" s="824">
        <v>22.0107066381156</v>
      </c>
      <c r="AQ70" s="894">
        <v>18.6776297304092</v>
      </c>
      <c r="AR70" s="893">
        <f t="shared" si="21"/>
        <v>9.50880500259655</v>
      </c>
      <c r="AS70" s="824">
        <v>24.5599176824442</v>
      </c>
      <c r="AT70" s="824">
        <v>22.8985276561878</v>
      </c>
      <c r="AU70" s="824">
        <v>24.5758693361433</v>
      </c>
      <c r="AV70" s="824">
        <v>20.9839746861284</v>
      </c>
      <c r="AW70" s="894">
        <v>14.7202797202797</v>
      </c>
      <c r="AX70" s="893">
        <f t="shared" si="22"/>
        <v>1.46611949356764</v>
      </c>
      <c r="AY70" s="824">
        <v>12.9700972455721</v>
      </c>
      <c r="AZ70" s="824">
        <v>13.7961004266903</v>
      </c>
      <c r="BA70" s="824">
        <v>12.5893754769231</v>
      </c>
      <c r="BB70" s="824">
        <v>14.538753651645</v>
      </c>
      <c r="BC70" s="894">
        <v>10.3251758897163</v>
      </c>
      <c r="BD70" s="893">
        <f t="shared" si="31"/>
        <v>12.6471112645275</v>
      </c>
      <c r="BE70" s="824">
        <v>14.4037001752278</v>
      </c>
      <c r="BF70" s="824">
        <v>14.5728760844369</v>
      </c>
      <c r="BG70" s="824">
        <v>14.6792074636279</v>
      </c>
      <c r="BH70" s="824">
        <v>13.6358243911247</v>
      </c>
      <c r="BI70" s="894">
        <v>9.46012259866141</v>
      </c>
      <c r="BJ70" s="8"/>
      <c r="BK70" s="341" t="str">
        <f t="shared" si="23"/>
        <v>1Q21</v>
      </c>
      <c r="BL70" s="893">
        <f t="shared" si="24"/>
        <v>6.09395388190076</v>
      </c>
      <c r="BM70" s="824">
        <v>22.9110920659941</v>
      </c>
      <c r="BN70" s="824">
        <v>22.684546980981</v>
      </c>
      <c r="BO70" s="824">
        <v>23.0472722740321</v>
      </c>
      <c r="BP70" s="824">
        <v>18.5624804884841</v>
      </c>
      <c r="BQ70" s="894">
        <v>17.196000181915</v>
      </c>
      <c r="BR70" s="893">
        <f t="shared" si="25"/>
        <v>9.50880500259655</v>
      </c>
      <c r="BS70" s="824">
        <v>24.1967403958091</v>
      </c>
      <c r="BT70" s="824">
        <v>19.2504598405886</v>
      </c>
      <c r="BU70" s="824">
        <v>14.9761977139175</v>
      </c>
      <c r="BV70" s="824">
        <v>19.154446768158</v>
      </c>
      <c r="BW70" s="894">
        <v>17.6816450875857</v>
      </c>
      <c r="BX70" s="893">
        <f t="shared" si="26"/>
        <v>1.46611949356764</v>
      </c>
      <c r="BY70" s="824">
        <v>13.6676931552284</v>
      </c>
      <c r="BZ70" s="824">
        <v>7.45034129457223</v>
      </c>
      <c r="CA70" s="824">
        <v>30.1140879312756</v>
      </c>
      <c r="CB70" s="824">
        <v>15.5163968058044</v>
      </c>
      <c r="CC70" s="894">
        <v>11.1544756048268</v>
      </c>
      <c r="CD70" s="893">
        <f t="shared" si="32"/>
        <v>12.6471112645275</v>
      </c>
      <c r="CE70" s="824">
        <v>11.2664306736894</v>
      </c>
      <c r="CF70" s="824">
        <v>12.2155263486962</v>
      </c>
      <c r="CG70" s="824">
        <v>15.5063637404971</v>
      </c>
      <c r="CH70" s="824">
        <v>13.3370545414741</v>
      </c>
      <c r="CI70" s="894">
        <v>10.5691443030444</v>
      </c>
    </row>
    <row r="71" ht="14.25" customHeight="1" spans="1:87" x14ac:dyDescent="0.25">
      <c r="A71" s="8"/>
      <c r="B71" s="8"/>
      <c r="C71" s="8"/>
      <c r="D71" s="8"/>
      <c r="E71" s="8"/>
      <c r="F71" s="8"/>
      <c r="G71" s="8"/>
      <c r="H71" s="8"/>
      <c r="I71" s="75">
        <f>IF(I70=4,1,I70+1)</f>
        <v>2</v>
      </c>
      <c r="J71" s="7">
        <f t="shared" si="27"/>
        <v>2021</v>
      </c>
      <c r="K71" s="341" t="str">
        <f t="shared" si="18"/>
        <v>2Q21</v>
      </c>
      <c r="L71" s="893">
        <v>8.17151687029869</v>
      </c>
      <c r="M71" s="824">
        <v>12.7534833820468</v>
      </c>
      <c r="N71" s="824">
        <v>12.565014279029</v>
      </c>
      <c r="O71" s="824">
        <v>15.4106833551572</v>
      </c>
      <c r="P71" s="824">
        <v>22.6291405975466</v>
      </c>
      <c r="Q71" s="894"/>
      <c r="R71" s="893">
        <v>10.1912414641023</v>
      </c>
      <c r="S71" s="824">
        <v>11.4569265538457</v>
      </c>
      <c r="T71" s="824">
        <v>12.0795989437832</v>
      </c>
      <c r="U71" s="824">
        <v>14.0179278403217</v>
      </c>
      <c r="V71" s="824">
        <v>18.9624942568404</v>
      </c>
      <c r="W71" s="894"/>
      <c r="X71" s="893">
        <v>4.94126000894522</v>
      </c>
      <c r="Y71" s="824">
        <v>8.93752143412235</v>
      </c>
      <c r="Z71" s="824">
        <v>6.80041732956188</v>
      </c>
      <c r="AA71" s="824">
        <v>7.68424051383024</v>
      </c>
      <c r="AB71" s="824">
        <v>16.7773961855089</v>
      </c>
      <c r="AC71" s="894"/>
      <c r="AD71" s="824">
        <v>11.0063823957226</v>
      </c>
      <c r="AE71" s="824">
        <v>14.6152080095624</v>
      </c>
      <c r="AF71" s="824">
        <v>12.0484051008378</v>
      </c>
      <c r="AG71" s="824">
        <v>8.39410301440803</v>
      </c>
      <c r="AH71" s="824">
        <v>14.5512932132232</v>
      </c>
      <c r="AI71" s="894"/>
      <c r="AJ71" s="8"/>
      <c r="AK71" s="341" t="str">
        <f t="shared" si="19"/>
        <v>2Q21</v>
      </c>
      <c r="AL71" s="893">
        <f t="shared" si="20"/>
        <v>8.17151687029869</v>
      </c>
      <c r="AM71" s="824">
        <v>24.5982132219553</v>
      </c>
      <c r="AN71" s="824">
        <v>21.8626218691042</v>
      </c>
      <c r="AO71" s="824">
        <v>24.9480221869395</v>
      </c>
      <c r="AP71" s="824">
        <v>21.303664921466</v>
      </c>
      <c r="AQ71" s="894">
        <v>22.0380377300437</v>
      </c>
      <c r="AR71" s="893">
        <f t="shared" si="21"/>
        <v>10.1912414641023</v>
      </c>
      <c r="AS71" s="824">
        <v>24.5001526251526</v>
      </c>
      <c r="AT71" s="824">
        <v>23.2895735316436</v>
      </c>
      <c r="AU71" s="824">
        <v>24.6166950596252</v>
      </c>
      <c r="AV71" s="824">
        <v>20.70737913486</v>
      </c>
      <c r="AW71" s="894">
        <v>13.4192037470726</v>
      </c>
      <c r="AX71" s="893">
        <f t="shared" si="22"/>
        <v>4.94126000894522</v>
      </c>
      <c r="AY71" s="824">
        <v>13.0409382554541</v>
      </c>
      <c r="AZ71" s="824">
        <v>15.5527575607632</v>
      </c>
      <c r="BA71" s="824">
        <v>11.8107075820958</v>
      </c>
      <c r="BB71" s="824">
        <v>13.2019857913941</v>
      </c>
      <c r="BC71" s="894">
        <v>9.3627293419853</v>
      </c>
      <c r="BD71" s="893">
        <f t="shared" si="31"/>
        <v>11.0063823957226</v>
      </c>
      <c r="BE71" s="824">
        <v>14.3633208455077</v>
      </c>
      <c r="BF71" s="824">
        <v>13.5977377549885</v>
      </c>
      <c r="BG71" s="824">
        <v>13.6092786505394</v>
      </c>
      <c r="BH71" s="824">
        <v>12.6617017462373</v>
      </c>
      <c r="BI71" s="894">
        <v>8.08378705222728</v>
      </c>
      <c r="BJ71" s="8"/>
      <c r="BK71" s="341" t="str">
        <f t="shared" si="23"/>
        <v>2Q21</v>
      </c>
      <c r="BL71" s="893">
        <f t="shared" si="24"/>
        <v>8.17151687029869</v>
      </c>
      <c r="BM71" s="824">
        <v>22.9411991646364</v>
      </c>
      <c r="BN71" s="824">
        <v>25.1826307908707</v>
      </c>
      <c r="BO71" s="824">
        <v>742.467994422803</v>
      </c>
      <c r="BP71" s="824">
        <v>51.5397345560592</v>
      </c>
      <c r="BQ71" s="894">
        <v>18.7735294559135</v>
      </c>
      <c r="BR71" s="893">
        <f t="shared" si="25"/>
        <v>10.1912414641023</v>
      </c>
      <c r="BS71" s="824">
        <v>24.4120836560806</v>
      </c>
      <c r="BT71" s="824">
        <v>19.3150684931507</v>
      </c>
      <c r="BU71" s="824">
        <v>15.7500816244131</v>
      </c>
      <c r="BV71" s="824">
        <v>20.6897066816639</v>
      </c>
      <c r="BW71" s="894">
        <v>19.2529429520072</v>
      </c>
      <c r="BX71" s="893">
        <f t="shared" si="26"/>
        <v>4.94126000894522</v>
      </c>
      <c r="BY71" s="824">
        <v>12.8627005385798</v>
      </c>
      <c r="BZ71" s="824">
        <v>8.35257679501803</v>
      </c>
      <c r="CA71" s="824">
        <v>24.2403751473379</v>
      </c>
      <c r="CB71" s="824">
        <v>16.7295227167314</v>
      </c>
      <c r="CC71" s="894">
        <v>11.7565902366369</v>
      </c>
      <c r="CD71" s="893">
        <f t="shared" si="32"/>
        <v>11.0063823957226</v>
      </c>
      <c r="CE71" s="824">
        <v>10.5916795781224</v>
      </c>
      <c r="CF71" s="824">
        <v>10.7911630214727</v>
      </c>
      <c r="CG71" s="824">
        <v>13.760511897776</v>
      </c>
      <c r="CH71" s="824">
        <v>13.3151035628192</v>
      </c>
      <c r="CI71" s="894">
        <v>11.1186982090238</v>
      </c>
    </row>
    <row r="72" ht="14.25" customHeight="1" spans="1:87" x14ac:dyDescent="0.25">
      <c r="A72" s="261" t="s">
        <v>3</v>
      </c>
      <c r="B72" s="8"/>
      <c r="C72" s="882" t="s">
        <v>708</v>
      </c>
      <c r="D72" s="101"/>
      <c r="E72" s="101"/>
      <c r="F72" s="101"/>
      <c r="G72" s="101"/>
      <c r="H72" s="102"/>
      <c r="I72" s="75">
        <f>I68</f>
        <v>3</v>
      </c>
      <c r="J72" s="7">
        <f t="shared" si="27"/>
        <v>2021</v>
      </c>
      <c r="K72" s="341" t="str">
        <f t="shared" si="18"/>
        <v>3Q21</v>
      </c>
      <c r="L72" s="893">
        <v>6.51741339010454</v>
      </c>
      <c r="M72" s="824">
        <v>11.6127191523446</v>
      </c>
      <c r="N72" s="824">
        <v>14.8920881539088</v>
      </c>
      <c r="O72" s="824">
        <v>18.7001104063307</v>
      </c>
      <c r="P72" s="824">
        <v>16.7944579046445</v>
      </c>
      <c r="Q72" s="894"/>
      <c r="R72" s="893">
        <v>9.70759514536286</v>
      </c>
      <c r="S72" s="824">
        <v>9.3879294891502</v>
      </c>
      <c r="T72" s="824">
        <v>10.8548523317536</v>
      </c>
      <c r="U72" s="824">
        <v>13.9232187761945</v>
      </c>
      <c r="V72" s="824">
        <v>19.6636590965591</v>
      </c>
      <c r="W72" s="894"/>
      <c r="X72" s="893">
        <v>3.7761021640496</v>
      </c>
      <c r="Y72" s="824">
        <v>7.12114964246184</v>
      </c>
      <c r="Z72" s="824">
        <v>7.57072518572735</v>
      </c>
      <c r="AA72" s="824">
        <v>9.7092911592178</v>
      </c>
      <c r="AB72" s="824">
        <v>11.3358030281104</v>
      </c>
      <c r="AC72" s="894"/>
      <c r="AD72" s="824">
        <v>11.1414</v>
      </c>
      <c r="AE72" s="824">
        <v>9.2656</v>
      </c>
      <c r="AF72" s="824">
        <v>9.611</v>
      </c>
      <c r="AG72" s="824">
        <v>2.0309</v>
      </c>
      <c r="AH72" s="824">
        <v>10.9011858108151</v>
      </c>
      <c r="AI72" s="894"/>
      <c r="AJ72" s="8"/>
      <c r="AK72" s="341" t="str">
        <f t="shared" si="19"/>
        <v>3Q21</v>
      </c>
      <c r="AL72" s="893">
        <f t="shared" si="20"/>
        <v>6.51741339010454</v>
      </c>
      <c r="AM72" s="824">
        <v>24.1509383260948</v>
      </c>
      <c r="AN72" s="824">
        <v>22.0227858117546</v>
      </c>
      <c r="AO72" s="824">
        <v>26.9786634548615</v>
      </c>
      <c r="AP72" s="824">
        <v>22.7263374485597</v>
      </c>
      <c r="AQ72" s="894">
        <v>22.3611084402223</v>
      </c>
      <c r="AR72" s="893">
        <f t="shared" si="21"/>
        <v>9.70759514536286</v>
      </c>
      <c r="AS72" s="824">
        <v>21.6760744066709</v>
      </c>
      <c r="AT72" s="824">
        <v>22.4139702105804</v>
      </c>
      <c r="AU72" s="824">
        <v>22.2540730047432</v>
      </c>
      <c r="AV72" s="824">
        <v>19.7144132083891</v>
      </c>
      <c r="AW72" s="894">
        <v>13.3655172413793</v>
      </c>
      <c r="AX72" s="893">
        <f t="shared" si="22"/>
        <v>3.7761021640496</v>
      </c>
      <c r="AY72" s="824">
        <v>13.1406935347941</v>
      </c>
      <c r="AZ72" s="824">
        <v>17.7530299203028</v>
      </c>
      <c r="BA72" s="824">
        <v>13.3347745275671</v>
      </c>
      <c r="BB72" s="824">
        <v>14.6630133422256</v>
      </c>
      <c r="BC72" s="894">
        <v>9.50060170826765</v>
      </c>
      <c r="BD72" s="893">
        <f t="shared" si="31"/>
        <v>11.1414</v>
      </c>
      <c r="BE72" s="824">
        <v>13.4225475232659</v>
      </c>
      <c r="BF72" s="824">
        <v>15.691728942063</v>
      </c>
      <c r="BG72" s="824">
        <v>13.1858626537768</v>
      </c>
      <c r="BH72" s="824">
        <v>14.2275973172747</v>
      </c>
      <c r="BI72" s="894">
        <v>8.7443957905331</v>
      </c>
      <c r="BJ72" s="8"/>
      <c r="BK72" s="341" t="str">
        <f t="shared" si="23"/>
        <v>3Q21</v>
      </c>
      <c r="BL72" s="893">
        <f t="shared" si="24"/>
        <v>6.51741339010454</v>
      </c>
      <c r="BM72" s="824">
        <v>17.5267411238021</v>
      </c>
      <c r="BN72" s="824">
        <v>22.2618223649331</v>
      </c>
      <c r="BO72" s="824">
        <v>649.507211629073</v>
      </c>
      <c r="BP72" s="824">
        <v>42.8914940993145</v>
      </c>
      <c r="BQ72" s="894">
        <v>17.7342126112493</v>
      </c>
      <c r="BR72" s="893">
        <f t="shared" si="25"/>
        <v>9.70759514536286</v>
      </c>
      <c r="BS72" s="824">
        <v>16.1123865748333</v>
      </c>
      <c r="BT72" s="824">
        <v>16.481324278438</v>
      </c>
      <c r="BU72" s="824">
        <v>13.6540241011591</v>
      </c>
      <c r="BV72" s="824">
        <v>17.3537435803074</v>
      </c>
      <c r="BW72" s="894">
        <v>17.7736968498375</v>
      </c>
      <c r="BX72" s="893">
        <f t="shared" si="26"/>
        <v>3.7761021640496</v>
      </c>
      <c r="BY72" s="824">
        <v>9.86145266460381</v>
      </c>
      <c r="BZ72" s="824">
        <v>8.91440884436263</v>
      </c>
      <c r="CA72" s="824"/>
      <c r="CB72" s="824">
        <v>15.2716598940273</v>
      </c>
      <c r="CC72" s="894">
        <v>11.9371984794053</v>
      </c>
      <c r="CD72" s="893">
        <f t="shared" si="32"/>
        <v>11.1414</v>
      </c>
      <c r="CE72" s="824">
        <v>9.01207187211989</v>
      </c>
      <c r="CF72" s="824">
        <v>10.9906442092482</v>
      </c>
      <c r="CG72" s="824">
        <v>11.7410015531219</v>
      </c>
      <c r="CH72" s="824">
        <v>12.4278117827672</v>
      </c>
      <c r="CI72" s="894">
        <v>11.2409200860146</v>
      </c>
    </row>
    <row r="73" ht="14.25" customHeight="1" spans="1:87" x14ac:dyDescent="0.25">
      <c r="A73" s="8"/>
      <c r="B73" s="8"/>
      <c r="C73" s="892" t="s">
        <v>1060</v>
      </c>
      <c r="D73" s="892"/>
      <c r="E73" s="892"/>
      <c r="F73" s="892"/>
      <c r="G73" s="892"/>
      <c r="H73" s="892"/>
      <c r="I73" s="75">
        <f>IF(I72=4,1,I72+1)</f>
        <v>4</v>
      </c>
      <c r="J73" s="7">
        <f t="shared" si="27"/>
        <v>2021</v>
      </c>
      <c r="K73" s="341" t="str">
        <f t="shared" si="18"/>
        <v>4Q21</v>
      </c>
      <c r="L73" s="893">
        <v>6.24455052266806</v>
      </c>
      <c r="M73" s="824">
        <v>10.2064714984914</v>
      </c>
      <c r="N73" s="824">
        <v>12.4569515589883</v>
      </c>
      <c r="O73" s="824">
        <v>16.5183701060991</v>
      </c>
      <c r="P73" s="824">
        <v>17.184892338614</v>
      </c>
      <c r="Q73" s="894"/>
      <c r="R73" s="893">
        <v>9.40822438844644</v>
      </c>
      <c r="S73" s="824">
        <v>11.6673202614379</v>
      </c>
      <c r="T73" s="824">
        <v>10.5676233352092</v>
      </c>
      <c r="U73" s="824">
        <v>14.226003469738</v>
      </c>
      <c r="V73" s="824">
        <v>17.2969046837925</v>
      </c>
      <c r="W73" s="894"/>
      <c r="X73" s="893">
        <v>3.86871589894378</v>
      </c>
      <c r="Y73" s="824">
        <v>7.25074585541129</v>
      </c>
      <c r="Z73" s="824">
        <v>7.60666618963736</v>
      </c>
      <c r="AA73" s="824">
        <v>8.99736612809124</v>
      </c>
      <c r="AB73" s="824">
        <v>10.5680487272861</v>
      </c>
      <c r="AC73" s="894"/>
      <c r="AD73" s="824">
        <v>10.3547</v>
      </c>
      <c r="AE73" s="824">
        <v>9.0904</v>
      </c>
      <c r="AF73" s="824">
        <v>9.2945</v>
      </c>
      <c r="AG73" s="824">
        <v>6.1833</v>
      </c>
      <c r="AH73" s="824">
        <v>13.0555611379224</v>
      </c>
      <c r="AI73" s="894"/>
      <c r="AJ73" s="8"/>
      <c r="AK73" s="341" t="str">
        <f t="shared" si="19"/>
        <v>4Q21</v>
      </c>
      <c r="AL73" s="893">
        <f t="shared" si="20"/>
        <v>6.24455052266806</v>
      </c>
      <c r="AM73" s="824">
        <v>19.6597714281227</v>
      </c>
      <c r="AN73" s="824">
        <v>17.897159906267</v>
      </c>
      <c r="AO73" s="824">
        <v>22.5695103649992</v>
      </c>
      <c r="AP73" s="824">
        <v>18.5036143640697</v>
      </c>
      <c r="AQ73" s="894">
        <v>28.2439248051353</v>
      </c>
      <c r="AR73" s="893">
        <f t="shared" si="21"/>
        <v>9.40822438844644</v>
      </c>
      <c r="AS73" s="824">
        <v>18.4068535825545</v>
      </c>
      <c r="AT73" s="824">
        <v>18.7006199100523</v>
      </c>
      <c r="AU73" s="824">
        <v>19.4875416120246</v>
      </c>
      <c r="AV73" s="824">
        <v>16.7891560839413</v>
      </c>
      <c r="AW73" s="894">
        <v>14.9032258064516</v>
      </c>
      <c r="AX73" s="893">
        <f t="shared" si="22"/>
        <v>3.86871589894378</v>
      </c>
      <c r="AY73" s="824">
        <v>11.7060983861026</v>
      </c>
      <c r="AZ73" s="824">
        <v>18.2101294010831</v>
      </c>
      <c r="BA73" s="824">
        <v>11.7567860040568</v>
      </c>
      <c r="BB73" s="824">
        <v>14.219845002532</v>
      </c>
      <c r="BC73" s="894">
        <v>11.6540606664239</v>
      </c>
      <c r="BD73" s="893">
        <f t="shared" si="31"/>
        <v>10.3547</v>
      </c>
      <c r="BE73" s="824">
        <v>11.8571842051646</v>
      </c>
      <c r="BF73" s="824">
        <v>15.8835936734414</v>
      </c>
      <c r="BG73" s="824">
        <v>11.2725510514067</v>
      </c>
      <c r="BH73" s="824">
        <v>13.1408227441087</v>
      </c>
      <c r="BI73" s="894">
        <v>10.252465604512</v>
      </c>
      <c r="BJ73" s="8"/>
      <c r="BK73" s="341" t="str">
        <f t="shared" si="23"/>
        <v>4Q21</v>
      </c>
      <c r="BL73" s="893">
        <f t="shared" si="24"/>
        <v>6.24455052266806</v>
      </c>
      <c r="BM73" s="824">
        <v>13.7596348884381</v>
      </c>
      <c r="BN73" s="824">
        <v>17.5804740540875</v>
      </c>
      <c r="BO73" s="824">
        <v>666.371271278196</v>
      </c>
      <c r="BP73" s="824">
        <v>37.9065386167391</v>
      </c>
      <c r="BQ73" s="894">
        <v>17.3187216863556</v>
      </c>
      <c r="BR73" s="893">
        <f t="shared" si="25"/>
        <v>9.40822438844644</v>
      </c>
      <c r="BS73" s="824">
        <v>12.5249261447563</v>
      </c>
      <c r="BT73" s="824">
        <v>14.5337353155214</v>
      </c>
      <c r="BU73" s="824">
        <v>13.9771704636752</v>
      </c>
      <c r="BV73" s="824">
        <v>17.160752720791</v>
      </c>
      <c r="BW73" s="894">
        <v>17.5161109554497</v>
      </c>
      <c r="BX73" s="893">
        <f t="shared" si="26"/>
        <v>3.86871589894378</v>
      </c>
      <c r="BY73" s="824">
        <v>8.15101099180971</v>
      </c>
      <c r="BZ73" s="824">
        <v>7.56118596743218</v>
      </c>
      <c r="CA73" s="824"/>
      <c r="CB73" s="824">
        <v>14.7275249455244</v>
      </c>
      <c r="CC73" s="894">
        <v>10.9446678157627</v>
      </c>
      <c r="CD73" s="893">
        <f t="shared" si="32"/>
        <v>10.3547</v>
      </c>
      <c r="CE73" s="824">
        <v>7.51579358116501</v>
      </c>
      <c r="CF73" s="824">
        <v>10.0753547067155</v>
      </c>
      <c r="CG73" s="824">
        <v>11.6934775650165</v>
      </c>
      <c r="CH73" s="824">
        <v>12.3198580391385</v>
      </c>
      <c r="CI73" s="894">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3">
        <v>6.49642016790105</v>
      </c>
      <c r="M74" s="824">
        <v>8.56558125999787</v>
      </c>
      <c r="N74" s="824">
        <v>11.5707273763989</v>
      </c>
      <c r="O74" s="824">
        <v>14.7665971933224</v>
      </c>
      <c r="P74" s="824">
        <v>17.4114586681085</v>
      </c>
      <c r="Q74" s="894"/>
      <c r="R74" s="893">
        <v>7.81148910630856</v>
      </c>
      <c r="S74" s="824">
        <v>8.3601060321028</v>
      </c>
      <c r="T74" s="824">
        <v>9.36258065491031</v>
      </c>
      <c r="U74" s="824">
        <v>13.0448404348546</v>
      </c>
      <c r="V74" s="824">
        <v>13.3434650455927</v>
      </c>
      <c r="W74" s="894"/>
      <c r="X74" s="893">
        <v>4.07535180917201</v>
      </c>
      <c r="Y74" s="824">
        <v>5.60745709897721</v>
      </c>
      <c r="Z74" s="824">
        <v>7.41478272324514</v>
      </c>
      <c r="AA74" s="824">
        <v>8.0975667905462</v>
      </c>
      <c r="AB74" s="824">
        <v>10.9308824398804</v>
      </c>
      <c r="AC74" s="894"/>
      <c r="AD74" s="824">
        <v>12.9843</v>
      </c>
      <c r="AE74" s="824">
        <v>9.532</v>
      </c>
      <c r="AF74" s="824">
        <v>8.0281</v>
      </c>
      <c r="AG74" s="824">
        <v>18.3601</v>
      </c>
      <c r="AH74" s="824">
        <v>18.4953696812038</v>
      </c>
      <c r="AI74" s="894"/>
      <c r="AJ74" s="8"/>
      <c r="AK74" s="341" t="str">
        <f t="shared" si="19"/>
        <v>1Q22</v>
      </c>
      <c r="AL74" s="893">
        <f t="shared" si="20"/>
        <v>6.49642016790105</v>
      </c>
      <c r="AM74" s="824">
        <v>20.5352447802246</v>
      </c>
      <c r="AN74" s="824">
        <v>15.8189298015738</v>
      </c>
      <c r="AO74" s="824">
        <v>23.3795868128089</v>
      </c>
      <c r="AP74" s="824">
        <v>19.6012197335797</v>
      </c>
      <c r="AQ74" s="894">
        <v>27.5015829348704</v>
      </c>
      <c r="AR74" s="893">
        <f t="shared" si="21"/>
        <v>7.81148910630856</v>
      </c>
      <c r="AS74" s="824">
        <v>20.2398642719242</v>
      </c>
      <c r="AT74" s="824">
        <v>18.7604185139209</v>
      </c>
      <c r="AU74" s="824">
        <v>20.7677620339664</v>
      </c>
      <c r="AV74" s="824">
        <v>18.4233261339093</v>
      </c>
      <c r="AW74" s="894">
        <v>14.6806526806527</v>
      </c>
      <c r="AX74" s="893">
        <f t="shared" si="22"/>
        <v>4.07535180917201</v>
      </c>
      <c r="AY74" s="824">
        <v>13.0649532302836</v>
      </c>
      <c r="AZ74" s="824">
        <v>16.5122274222826</v>
      </c>
      <c r="BA74" s="824">
        <v>12.5234131462926</v>
      </c>
      <c r="BB74" s="824">
        <v>14.6980062164592</v>
      </c>
      <c r="BC74" s="894">
        <v>11.3790542079959</v>
      </c>
      <c r="BD74" s="893">
        <f t="shared" si="31"/>
        <v>12.9843</v>
      </c>
      <c r="BE74" s="824">
        <v>13.2572136445254</v>
      </c>
      <c r="BF74" s="824">
        <v>16.3477708057932</v>
      </c>
      <c r="BG74" s="824">
        <v>12.1225667507274</v>
      </c>
      <c r="BH74" s="824">
        <v>13.9077997746548</v>
      </c>
      <c r="BI74" s="894">
        <v>10.0727315724473</v>
      </c>
      <c r="BJ74" s="8"/>
      <c r="BK74" s="341" t="str">
        <f t="shared" si="23"/>
        <v>1Q22</v>
      </c>
      <c r="BL74" s="893">
        <f t="shared" si="24"/>
        <v>6.49642016790105</v>
      </c>
      <c r="BM74" s="824">
        <v>13.9515096065874</v>
      </c>
      <c r="BN74" s="824">
        <v>17.179660415722</v>
      </c>
      <c r="BO74" s="824"/>
      <c r="BP74" s="824">
        <v>39.4152294902726</v>
      </c>
      <c r="BQ74" s="894">
        <v>18.420867479112</v>
      </c>
      <c r="BR74" s="893">
        <f t="shared" si="25"/>
        <v>7.81148910630856</v>
      </c>
      <c r="BS74" s="824">
        <v>13.1434235476642</v>
      </c>
      <c r="BT74" s="824">
        <v>15.7926252757643</v>
      </c>
      <c r="BU74" s="824">
        <v>11.5207306857749</v>
      </c>
      <c r="BV74" s="824">
        <v>19.5772945706592</v>
      </c>
      <c r="BW74" s="894">
        <v>19.3481871021312</v>
      </c>
      <c r="BX74" s="893">
        <f t="shared" si="26"/>
        <v>4.07535180917201</v>
      </c>
      <c r="BY74" s="824">
        <v>8.64752299415454</v>
      </c>
      <c r="BZ74" s="824">
        <v>7.56630329639244</v>
      </c>
      <c r="CA74" s="824"/>
      <c r="CB74" s="824">
        <v>16.3985899726758</v>
      </c>
      <c r="CC74" s="894">
        <v>13.0317764934829</v>
      </c>
      <c r="CD74" s="893">
        <f t="shared" si="32"/>
        <v>12.9843</v>
      </c>
      <c r="CE74" s="824">
        <v>8.05740663100763</v>
      </c>
      <c r="CF74" s="824">
        <v>11.4551864034803</v>
      </c>
      <c r="CG74" s="824">
        <v>12.1940402897499</v>
      </c>
      <c r="CH74" s="824">
        <v>14.1615035463187</v>
      </c>
      <c r="CI74" s="894">
        <v>12.6911814506045</v>
      </c>
    </row>
    <row r="75" ht="14.25" customHeight="1" spans="1:87" x14ac:dyDescent="0.25">
      <c r="A75" s="8"/>
      <c r="B75" s="8"/>
      <c r="C75" s="8" t="s">
        <v>1029</v>
      </c>
      <c r="D75" s="8"/>
      <c r="E75" s="774">
        <f>AVERAGE(BM81:BQ86)</f>
        <v>15.683339457774522</v>
      </c>
      <c r="F75" s="774">
        <f>AVERAGE(BS81:BW86)</f>
        <v>16.168745623234717</v>
      </c>
      <c r="G75" s="774">
        <f>AVERAGE(BY81:CC86)</f>
        <v>10.768373282856134</v>
      </c>
      <c r="H75" s="774">
        <f>AVERAGE(CE81:CI86)</f>
        <v>11.620890184734101</v>
      </c>
      <c r="I75" s="75">
        <f>IF(I74=4,1,I74+1)</f>
        <v>2</v>
      </c>
      <c r="J75" s="7">
        <f t="shared" si="27"/>
        <v>2022</v>
      </c>
      <c r="K75" s="341" t="str">
        <f t="shared" si="18"/>
        <v>2Q22</v>
      </c>
      <c r="L75" s="893">
        <v>6.76894793959515</v>
      </c>
      <c r="M75" s="824">
        <v>9.70907370617931</v>
      </c>
      <c r="N75" s="824">
        <v>10.8965769089125</v>
      </c>
      <c r="O75" s="824">
        <v>14.2383032480633</v>
      </c>
      <c r="P75" s="824">
        <v>16.5572658759101</v>
      </c>
      <c r="Q75" s="894"/>
      <c r="R75" s="893">
        <v>7.53131681540191</v>
      </c>
      <c r="S75" s="824">
        <v>8.20355793369727</v>
      </c>
      <c r="T75" s="824">
        <v>7.51470982774525</v>
      </c>
      <c r="U75" s="824">
        <v>10.0034883075792</v>
      </c>
      <c r="V75" s="824">
        <v>12.899586958688</v>
      </c>
      <c r="W75" s="894"/>
      <c r="X75" s="893">
        <v>3.79524989701681</v>
      </c>
      <c r="Y75" s="824">
        <v>5.91781416244594</v>
      </c>
      <c r="Z75" s="824">
        <v>6.09045402556473</v>
      </c>
      <c r="AA75" s="824">
        <v>9.0039373939781</v>
      </c>
      <c r="AB75" s="824">
        <v>10.3111874299615</v>
      </c>
      <c r="AC75" s="894"/>
      <c r="AD75" s="824">
        <v>12.5308</v>
      </c>
      <c r="AE75" s="824">
        <v>8.6801</v>
      </c>
      <c r="AF75" s="824">
        <v>7.7683</v>
      </c>
      <c r="AG75" s="824">
        <v>15.5674</v>
      </c>
      <c r="AH75" s="824">
        <v>18.9058603539357</v>
      </c>
      <c r="AI75" s="894"/>
      <c r="AJ75" s="8"/>
      <c r="AK75" s="341" t="str">
        <f t="shared" si="19"/>
        <v>2Q22</v>
      </c>
      <c r="AL75" s="893">
        <f t="shared" si="20"/>
        <v>6.76894793959515</v>
      </c>
      <c r="AM75" s="824">
        <v>14.4221283831607</v>
      </c>
      <c r="AN75" s="824">
        <v>10.8122994961928</v>
      </c>
      <c r="AO75" s="824">
        <v>15.6007113151191</v>
      </c>
      <c r="AP75" s="824">
        <v>13.7731368724422</v>
      </c>
      <c r="AQ75" s="894">
        <v>14.6417832875778</v>
      </c>
      <c r="AR75" s="893">
        <f t="shared" si="21"/>
        <v>7.53131681540191</v>
      </c>
      <c r="AS75" s="824">
        <v>14.8865768377963</v>
      </c>
      <c r="AT75" s="824">
        <v>12.8079075362167</v>
      </c>
      <c r="AU75" s="824">
        <v>15.1771575613618</v>
      </c>
      <c r="AV75" s="824">
        <v>14.1033461918005</v>
      </c>
      <c r="AW75" s="894">
        <v>10.7540983606557</v>
      </c>
      <c r="AX75" s="893">
        <f t="shared" si="22"/>
        <v>3.79524989701681</v>
      </c>
      <c r="AY75" s="824">
        <v>10.34267476703</v>
      </c>
      <c r="AZ75" s="824">
        <v>12.1148132616025</v>
      </c>
      <c r="BA75" s="824">
        <v>9.03738404817861</v>
      </c>
      <c r="BB75" s="824">
        <v>11.1133530619828</v>
      </c>
      <c r="BC75" s="894">
        <v>8.3832981092452</v>
      </c>
      <c r="BD75" s="893">
        <f t="shared" si="31"/>
        <v>12.5308</v>
      </c>
      <c r="BE75" s="824">
        <v>9.75558167960826</v>
      </c>
      <c r="BF75" s="824">
        <v>11.0823430725226</v>
      </c>
      <c r="BG75" s="824">
        <v>8.69455203771838</v>
      </c>
      <c r="BH75" s="824">
        <v>10.407686029648</v>
      </c>
      <c r="BI75" s="894">
        <v>6.865640275054</v>
      </c>
      <c r="BJ75" s="8"/>
      <c r="BK75" s="341" t="str">
        <f t="shared" si="23"/>
        <v>2Q22</v>
      </c>
      <c r="BL75" s="893">
        <f t="shared" si="24"/>
        <v>6.76894793959515</v>
      </c>
      <c r="BM75" s="824">
        <v>11.1878312459125</v>
      </c>
      <c r="BN75" s="824">
        <v>15.8605218246713</v>
      </c>
      <c r="BO75" s="824">
        <v>13.074326127188</v>
      </c>
      <c r="BP75" s="824">
        <v>14.3644481864395</v>
      </c>
      <c r="BQ75" s="894">
        <v>13.5962086905669</v>
      </c>
      <c r="BR75" s="893">
        <f t="shared" si="25"/>
        <v>7.53131681540191</v>
      </c>
      <c r="BS75" s="824">
        <v>10.9166666666667</v>
      </c>
      <c r="BT75" s="824">
        <v>13.0018303843807</v>
      </c>
      <c r="BU75" s="824">
        <v>10.3656311937322</v>
      </c>
      <c r="BV75" s="824">
        <v>16.5294632803703</v>
      </c>
      <c r="BW75" s="894">
        <v>14.8943908238915</v>
      </c>
      <c r="BX75" s="893">
        <f t="shared" si="26"/>
        <v>3.79524989701681</v>
      </c>
      <c r="BY75" s="824">
        <v>6.87881904030835</v>
      </c>
      <c r="BZ75" s="824">
        <v>7.01023473851751</v>
      </c>
      <c r="CA75" s="824"/>
      <c r="CB75" s="824">
        <v>13.2075042312185</v>
      </c>
      <c r="CC75" s="894">
        <v>12.1601264994065</v>
      </c>
      <c r="CD75" s="893">
        <f t="shared" si="32"/>
        <v>12.5308</v>
      </c>
      <c r="CE75" s="824">
        <v>6.20970342265055</v>
      </c>
      <c r="CF75" s="824">
        <v>8.90335407157496</v>
      </c>
      <c r="CG75" s="824">
        <v>8.68511867524407</v>
      </c>
      <c r="CH75" s="824">
        <v>11.7936329650704</v>
      </c>
      <c r="CI75" s="894">
        <v>9.85973157777744</v>
      </c>
    </row>
    <row r="76" ht="14.25" customHeight="1" spans="1:87" x14ac:dyDescent="0.25">
      <c r="A76" s="261"/>
      <c r="B76" s="8"/>
      <c r="C76" s="8" t="s">
        <v>1025</v>
      </c>
      <c r="D76" s="8"/>
      <c r="E76" s="774">
        <f>AVERAGE(BM77:BQ86)</f>
        <v>15.757842039857469</v>
      </c>
      <c r="F76" s="774">
        <f>AVERAGE(BS77:BW86)</f>
        <v>16.211283525086312</v>
      </c>
      <c r="G76" s="774">
        <f>AVERAGE(BY77:CC86)</f>
        <v>10.797620950823877</v>
      </c>
      <c r="H76" s="774">
        <f>AVERAGE(CE77:CI86)</f>
        <v>11.601419698040905</v>
      </c>
      <c r="I76" s="75">
        <f>I72</f>
        <v>3</v>
      </c>
      <c r="J76" s="7">
        <f t="shared" si="27"/>
        <v>2022</v>
      </c>
      <c r="K76" s="341" t="str">
        <f t="shared" si="18"/>
        <v>3Q22</v>
      </c>
      <c r="L76" s="893">
        <v>5.96575966321871</v>
      </c>
      <c r="M76" s="824">
        <v>5.92714288230297</v>
      </c>
      <c r="N76" s="824">
        <v>9.58491935045585</v>
      </c>
      <c r="O76" s="824">
        <v>14.30886216881</v>
      </c>
      <c r="P76" s="824">
        <v>11.404734679499</v>
      </c>
      <c r="Q76" s="894"/>
      <c r="R76" s="893">
        <v>7.71003373655586</v>
      </c>
      <c r="S76" s="824">
        <v>8.31231283031011</v>
      </c>
      <c r="T76" s="824">
        <v>7.10620165614406</v>
      </c>
      <c r="U76" s="824">
        <v>10.3032900834106</v>
      </c>
      <c r="V76" s="824">
        <v>13.2264368175252</v>
      </c>
      <c r="W76" s="894"/>
      <c r="X76" s="893">
        <v>2.66293935221161</v>
      </c>
      <c r="Y76" s="824">
        <v>2.9821717184608</v>
      </c>
      <c r="Z76" s="824">
        <v>5.92832190056797</v>
      </c>
      <c r="AA76" s="824">
        <v>7.3097971596063</v>
      </c>
      <c r="AB76" s="824">
        <v>6.50269027576121</v>
      </c>
      <c r="AC76" s="894"/>
      <c r="AD76" s="824">
        <v>12.7204</v>
      </c>
      <c r="AE76" s="824">
        <v>8.1758</v>
      </c>
      <c r="AF76" s="824">
        <v>7.4946</v>
      </c>
      <c r="AG76" s="824">
        <v>15.1521</v>
      </c>
      <c r="AH76" s="824">
        <v>18.300826707091</v>
      </c>
      <c r="AI76" s="894"/>
      <c r="AJ76" s="8"/>
      <c r="AK76" s="341" t="str">
        <f t="shared" si="19"/>
        <v>3Q22</v>
      </c>
      <c r="AL76" s="893">
        <f t="shared" si="20"/>
        <v>5.96575966321871</v>
      </c>
      <c r="AM76" s="824">
        <v>15.0141768323488</v>
      </c>
      <c r="AN76" s="824">
        <v>11.762100009524</v>
      </c>
      <c r="AO76" s="824">
        <v>17.508231022493</v>
      </c>
      <c r="AP76" s="824">
        <v>14.9484539723962</v>
      </c>
      <c r="AQ76" s="894">
        <v>15.3815249519327</v>
      </c>
      <c r="AR76" s="893">
        <f t="shared" si="21"/>
        <v>7.71003373655586</v>
      </c>
      <c r="AS76" s="824">
        <v>15.4657873042045</v>
      </c>
      <c r="AT76" s="824">
        <v>14.2096663679966</v>
      </c>
      <c r="AU76" s="824">
        <v>15.6938458886399</v>
      </c>
      <c r="AV76" s="824">
        <v>14.4436860068259</v>
      </c>
      <c r="AW76" s="894">
        <v>10.8648648648649</v>
      </c>
      <c r="AX76" s="893">
        <f t="shared" si="22"/>
        <v>2.66293935221161</v>
      </c>
      <c r="AY76" s="824">
        <v>10.6573226693313</v>
      </c>
      <c r="AZ76" s="824">
        <v>11.9267964065934</v>
      </c>
      <c r="BA76" s="824">
        <v>10.5195834978257</v>
      </c>
      <c r="BB76" s="824">
        <v>11.1280202944651</v>
      </c>
      <c r="BC76" s="894">
        <v>8.79239651976119</v>
      </c>
      <c r="BD76" s="893">
        <f t="shared" si="31"/>
        <v>12.7204</v>
      </c>
      <c r="BE76" s="824">
        <v>10.7614328987076</v>
      </c>
      <c r="BF76" s="824">
        <v>12.3090957616733</v>
      </c>
      <c r="BG76" s="824">
        <v>10.5491686402801</v>
      </c>
      <c r="BH76" s="824">
        <v>11.7553981851193</v>
      </c>
      <c r="BI76" s="894">
        <v>7.10118619238793</v>
      </c>
      <c r="BJ76" s="8"/>
      <c r="BK76" s="341" t="str">
        <f t="shared" si="23"/>
        <v>3Q22</v>
      </c>
      <c r="BL76" s="893">
        <f t="shared" si="24"/>
        <v>5.96575966321871</v>
      </c>
      <c r="BM76" s="824">
        <v>11.7349442544677</v>
      </c>
      <c r="BN76" s="824">
        <v>16.6874232849898</v>
      </c>
      <c r="BO76" s="824">
        <v>16.2847068834266</v>
      </c>
      <c r="BP76" s="824">
        <v>17.6336803738979</v>
      </c>
      <c r="BQ76" s="894">
        <v>16.5229079241118</v>
      </c>
      <c r="BR76" s="893">
        <f t="shared" si="25"/>
        <v>7.71003373655586</v>
      </c>
      <c r="BS76" s="824">
        <v>11.0082872928177</v>
      </c>
      <c r="BT76" s="824">
        <v>14.28418230563</v>
      </c>
      <c r="BU76" s="824">
        <v>18.0978260869565</v>
      </c>
      <c r="BV76" s="824">
        <v>19.9272727272727</v>
      </c>
      <c r="BW76" s="894">
        <v>16.362828488003</v>
      </c>
      <c r="BX76" s="893">
        <f t="shared" si="26"/>
        <v>2.66293935221161</v>
      </c>
      <c r="BY76" s="824">
        <v>6.9750558793406</v>
      </c>
      <c r="BZ76" s="824">
        <v>7.30111782573552</v>
      </c>
      <c r="CA76" s="824"/>
      <c r="CB76" s="824">
        <v>15.4025408311834</v>
      </c>
      <c r="CC76" s="894">
        <v>12.8108272529198</v>
      </c>
      <c r="CD76" s="893">
        <f t="shared" si="32"/>
        <v>12.7204</v>
      </c>
      <c r="CE76" s="824">
        <v>6.39685994049379</v>
      </c>
      <c r="CF76" s="824">
        <v>10.4551699244796</v>
      </c>
      <c r="CG76" s="824">
        <v>12.5074224642109</v>
      </c>
      <c r="CH76" s="824">
        <v>13.9698695489038</v>
      </c>
      <c r="CI76" s="894">
        <v>11.484140436493</v>
      </c>
    </row>
    <row r="77" ht="14.25" customHeight="1" spans="1:87" x14ac:dyDescent="0.25">
      <c r="A77" s="8"/>
      <c r="B77" s="8"/>
      <c r="C77" s="8" t="s">
        <v>1028</v>
      </c>
      <c r="D77" s="8"/>
      <c r="E77" s="774">
        <f>AVERAGE(BM73:BQ86)</f>
        <v>26.530528095386988</v>
      </c>
      <c r="F77" s="774">
        <f>AVERAGE(BS73:BW86)</f>
        <v>15.846016840935276</v>
      </c>
      <c r="G77" s="774">
        <f>AVERAGE(BY73:CC86)</f>
        <v>10.720945442413932</v>
      </c>
      <c r="H77" s="774">
        <f>AVERAGE(CE73:CI86)</f>
        <v>11.2817955771977</v>
      </c>
      <c r="I77" s="75">
        <f>IF(I76=4,1,I76+1)</f>
        <v>4</v>
      </c>
      <c r="J77" s="7">
        <f t="shared" si="27"/>
        <v>2022</v>
      </c>
      <c r="K77" s="341" t="str">
        <f t="shared" si="18"/>
        <v>4Q22</v>
      </c>
      <c r="L77" s="893">
        <v>6.00002252522095</v>
      </c>
      <c r="M77" s="824">
        <v>5.40529045187103</v>
      </c>
      <c r="N77" s="824">
        <v>7.92242528602826</v>
      </c>
      <c r="O77" s="824">
        <v>11.8181540204679</v>
      </c>
      <c r="P77" s="824">
        <v>11.6998956748185</v>
      </c>
      <c r="Q77" s="894"/>
      <c r="R77" s="893">
        <v>9.23607681554945</v>
      </c>
      <c r="S77" s="824">
        <v>10.8149194218309</v>
      </c>
      <c r="T77" s="824">
        <v>8.17850637522769</v>
      </c>
      <c r="U77" s="824">
        <v>10.6577568221535</v>
      </c>
      <c r="V77" s="824">
        <v>15.6095197731286</v>
      </c>
      <c r="W77" s="894"/>
      <c r="X77" s="893">
        <v>3.76655226490092</v>
      </c>
      <c r="Y77" s="824">
        <v>3.98330178779083</v>
      </c>
      <c r="Z77" s="824">
        <v>5.59203079507389</v>
      </c>
      <c r="AA77" s="824">
        <v>6.79903712751741</v>
      </c>
      <c r="AB77" s="824">
        <v>6.0574880500586</v>
      </c>
      <c r="AC77" s="894"/>
      <c r="AD77" s="824">
        <v>14.5515</v>
      </c>
      <c r="AE77" s="824">
        <v>7.7532</v>
      </c>
      <c r="AF77" s="824">
        <v>7.59</v>
      </c>
      <c r="AG77" s="824">
        <v>12.9728</v>
      </c>
      <c r="AH77" s="824">
        <v>15.4637772914754</v>
      </c>
      <c r="AI77" s="894"/>
      <c r="AJ77" s="8"/>
      <c r="AK77" s="341" t="str">
        <f t="shared" si="19"/>
        <v>4Q22</v>
      </c>
      <c r="AL77" s="893">
        <f t="shared" si="20"/>
        <v>6.00002252522095</v>
      </c>
      <c r="AM77" s="824">
        <v>17.3634726868954</v>
      </c>
      <c r="AN77" s="824">
        <v>13.7604420785299</v>
      </c>
      <c r="AO77" s="824">
        <v>15.9963201471941</v>
      </c>
      <c r="AP77" s="824">
        <v>16.1045172719221</v>
      </c>
      <c r="AQ77" s="894">
        <v>11.9194558530206</v>
      </c>
      <c r="AR77" s="893">
        <f t="shared" si="21"/>
        <v>9.23607681554945</v>
      </c>
      <c r="AS77" s="824">
        <v>17.6974004478629</v>
      </c>
      <c r="AT77" s="824">
        <v>16.781448010803</v>
      </c>
      <c r="AU77" s="824">
        <v>14.9961190168176</v>
      </c>
      <c r="AV77" s="824">
        <v>15.4753596050728</v>
      </c>
      <c r="AW77" s="894">
        <v>11.1576576576577</v>
      </c>
      <c r="AX77" s="893">
        <f t="shared" si="22"/>
        <v>3.76655226490092</v>
      </c>
      <c r="AY77" s="824">
        <v>12.2283175827312</v>
      </c>
      <c r="AZ77" s="824">
        <v>13.1078993174288</v>
      </c>
      <c r="BA77" s="824">
        <v>9.71872496814218</v>
      </c>
      <c r="BB77" s="824">
        <v>11.9214193883622</v>
      </c>
      <c r="BC77" s="894">
        <v>9.20228078793905</v>
      </c>
      <c r="BD77" s="893">
        <f t="shared" si="31"/>
        <v>14.5515</v>
      </c>
      <c r="BE77" s="824">
        <v>12.4269354419136</v>
      </c>
      <c r="BF77" s="824">
        <v>13.9990817601658</v>
      </c>
      <c r="BG77" s="824">
        <v>10.1973626177734</v>
      </c>
      <c r="BH77" s="824">
        <v>12.5116255609596</v>
      </c>
      <c r="BI77" s="894">
        <v>8.28856515319408</v>
      </c>
      <c r="BJ77" s="8"/>
      <c r="BK77" s="341" t="str">
        <f t="shared" si="23"/>
        <v>4Q22</v>
      </c>
      <c r="BL77" s="893">
        <f t="shared" si="24"/>
        <v>6.00002252522095</v>
      </c>
      <c r="BM77" s="824">
        <v>11.792353858178</v>
      </c>
      <c r="BN77" s="824">
        <v>16.6425212350074</v>
      </c>
      <c r="BO77" s="824">
        <v>17.2716685418764</v>
      </c>
      <c r="BP77" s="824">
        <v>19.7359258736756</v>
      </c>
      <c r="BQ77" s="894">
        <v>16.2270045772118</v>
      </c>
      <c r="BR77" s="893">
        <f t="shared" si="25"/>
        <v>9.23607681554945</v>
      </c>
      <c r="BS77" s="824">
        <v>11.0490474260235</v>
      </c>
      <c r="BT77" s="824">
        <v>16.1259244842351</v>
      </c>
      <c r="BU77" s="824">
        <v>18.1034482758621</v>
      </c>
      <c r="BV77" s="824">
        <v>21.5383666419936</v>
      </c>
      <c r="BW77" s="894">
        <v>16.3219255359158</v>
      </c>
      <c r="BX77" s="893">
        <f t="shared" si="26"/>
        <v>3.76655226490092</v>
      </c>
      <c r="BY77" s="824">
        <v>6.96557670431564</v>
      </c>
      <c r="BZ77" s="824">
        <v>7.30308788720167</v>
      </c>
      <c r="CA77" s="824"/>
      <c r="CB77" s="824">
        <v>16.9369454545127</v>
      </c>
      <c r="CC77" s="894">
        <v>12.7204185574551</v>
      </c>
      <c r="CD77" s="893">
        <f t="shared" si="32"/>
        <v>14.5515</v>
      </c>
      <c r="CE77" s="824">
        <v>6.76748090467348</v>
      </c>
      <c r="CF77" s="824">
        <v>11.6576939551152</v>
      </c>
      <c r="CG77" s="824">
        <v>12.7447865854973</v>
      </c>
      <c r="CH77" s="824">
        <v>15.2325098937223</v>
      </c>
      <c r="CI77" s="894">
        <v>11.5699365324391</v>
      </c>
    </row>
    <row r="78" ht="14.25" customHeight="1" spans="1:87" x14ac:dyDescent="0.25">
      <c r="A78" s="8"/>
      <c r="B78" s="8"/>
      <c r="C78" s="8" t="s">
        <v>1031</v>
      </c>
      <c r="D78" s="8"/>
      <c r="E78" s="774">
        <f>AVERAGE(BM65:BQ86)</f>
        <v>37.96256935397822</v>
      </c>
      <c r="F78" s="774">
        <f>AVERAGE(BS65:BW86)</f>
        <v>17.18236554677514</v>
      </c>
      <c r="G78" s="774">
        <f>AVERAGE(BY65:CC86)</f>
        <v>12.017610025365714</v>
      </c>
      <c r="H78" s="774">
        <f>AVERAGE(CE65:CI86)</f>
        <v>11.514027269594164</v>
      </c>
      <c r="I78" s="75">
        <f>IF(I77+1=5,1,I77+1)</f>
        <v>1</v>
      </c>
      <c r="J78" s="7">
        <f t="shared" si="27"/>
        <v>2023</v>
      </c>
      <c r="K78" s="341" t="str">
        <f t="shared" si="18"/>
        <v>1Q23</v>
      </c>
      <c r="L78" s="893">
        <v>7.69590289947938</v>
      </c>
      <c r="M78" s="824">
        <v>5.83433691652453</v>
      </c>
      <c r="N78" s="824">
        <v>7.67581475128645</v>
      </c>
      <c r="O78" s="824">
        <v>13.6720568587114</v>
      </c>
      <c r="P78" s="824">
        <v>10.4807592975027</v>
      </c>
      <c r="Q78" s="894"/>
      <c r="R78" s="824">
        <v>10.5319011121961</v>
      </c>
      <c r="S78" s="894">
        <v>11.315949797932</v>
      </c>
      <c r="T78" s="824">
        <v>8.20915601794997</v>
      </c>
      <c r="U78" s="824">
        <v>9.31649660724961</v>
      </c>
      <c r="V78" s="824">
        <v>16.1049240681086</v>
      </c>
      <c r="W78" s="894"/>
      <c r="X78" s="824">
        <v>4.31013362277978</v>
      </c>
      <c r="Y78" s="824">
        <v>4.30909773094935</v>
      </c>
      <c r="Z78" s="824">
        <v>5.0287220656693</v>
      </c>
      <c r="AA78" s="824">
        <v>7.89506116118289</v>
      </c>
      <c r="AB78" s="824">
        <v>6.47980229233118</v>
      </c>
      <c r="AC78" s="894"/>
      <c r="AD78" s="824">
        <v>13.9768</v>
      </c>
      <c r="AE78" s="824">
        <v>7.8999</v>
      </c>
      <c r="AF78" s="824">
        <v>7.3836</v>
      </c>
      <c r="AG78" s="824">
        <v>18.4569</v>
      </c>
      <c r="AH78" s="824">
        <v>14.1448174002662</v>
      </c>
      <c r="AI78" s="894"/>
      <c r="AJ78" s="8"/>
      <c r="AK78" s="341" t="str">
        <f t="shared" si="19"/>
        <v>1Q23</v>
      </c>
      <c r="AL78" s="893">
        <f t="shared" si="20"/>
        <v>7.69590289947938</v>
      </c>
      <c r="AM78" s="824">
        <v>18.6301264131882</v>
      </c>
      <c r="AN78" s="824">
        <v>15.9613632713695</v>
      </c>
      <c r="AO78" s="824">
        <v>18.048758049678</v>
      </c>
      <c r="AP78" s="824">
        <v>16.185119574845</v>
      </c>
      <c r="AQ78" s="894">
        <v>13.7143517081586</v>
      </c>
      <c r="AR78" s="893">
        <f t="shared" si="21"/>
        <v>10.5319011121961</v>
      </c>
      <c r="AS78" s="824">
        <v>18.3782510365624</v>
      </c>
      <c r="AT78" s="824">
        <v>19.0626112608718</v>
      </c>
      <c r="AU78" s="824">
        <v>16.9392160248662</v>
      </c>
      <c r="AV78" s="824">
        <v>15.3839030139754</v>
      </c>
      <c r="AW78" s="894">
        <v>12.4183006535948</v>
      </c>
      <c r="AX78" s="893">
        <f t="shared" si="22"/>
        <v>4.31013362277978</v>
      </c>
      <c r="AY78" s="824">
        <v>13.0108331657086</v>
      </c>
      <c r="AZ78" s="824">
        <v>14.7207664372533</v>
      </c>
      <c r="BA78" s="824">
        <v>10.8634721764166</v>
      </c>
      <c r="BB78" s="824">
        <v>11.9670120353024</v>
      </c>
      <c r="BC78" s="894">
        <v>10.344170119619</v>
      </c>
      <c r="BD78" s="893">
        <f t="shared" si="31"/>
        <v>13.9768</v>
      </c>
      <c r="BE78" s="824">
        <v>12.9638305850015</v>
      </c>
      <c r="BF78" s="824">
        <v>15.8491313030872</v>
      </c>
      <c r="BG78" s="824">
        <v>11.268157797573</v>
      </c>
      <c r="BH78" s="824">
        <v>12.4472527602547</v>
      </c>
      <c r="BI78" s="894">
        <v>9.13104550281631</v>
      </c>
      <c r="BJ78" s="8"/>
      <c r="BK78" s="341" t="str">
        <f t="shared" si="23"/>
        <v>1Q23</v>
      </c>
      <c r="BL78" s="893">
        <f t="shared" si="24"/>
        <v>7.69590289947938</v>
      </c>
      <c r="BM78" s="824">
        <v>10.9288444920865</v>
      </c>
      <c r="BN78" s="824">
        <v>16.7407934072159</v>
      </c>
      <c r="BO78" s="824">
        <v>14.7055920727976</v>
      </c>
      <c r="BP78" s="824">
        <v>19.126631867953</v>
      </c>
      <c r="BQ78" s="894">
        <v>17.0146748454758</v>
      </c>
      <c r="BR78" s="893">
        <f t="shared" si="25"/>
        <v>10.5319011121961</v>
      </c>
      <c r="BS78" s="824">
        <v>10.6852212164791</v>
      </c>
      <c r="BT78" s="824">
        <v>16.9204534055572</v>
      </c>
      <c r="BU78" s="824">
        <v>14.9748743718593</v>
      </c>
      <c r="BV78" s="824">
        <v>20.8811551277305</v>
      </c>
      <c r="BW78" s="894">
        <v>17.0012453300125</v>
      </c>
      <c r="BX78" s="893">
        <f t="shared" si="26"/>
        <v>4.31013362277978</v>
      </c>
      <c r="BY78" s="824">
        <v>6.35997189641845</v>
      </c>
      <c r="BZ78" s="824">
        <v>7.48257527449524</v>
      </c>
      <c r="CA78" s="824"/>
      <c r="CB78" s="824">
        <v>16.2659380049987</v>
      </c>
      <c r="CC78" s="894">
        <v>13.1653885302904</v>
      </c>
      <c r="CD78" s="893">
        <f t="shared" si="32"/>
        <v>13.9768</v>
      </c>
      <c r="CE78" s="824">
        <v>6.44909324484202</v>
      </c>
      <c r="CF78" s="824">
        <v>12.6021043694989</v>
      </c>
      <c r="CG78" s="824">
        <v>11.8642050200603</v>
      </c>
      <c r="CH78" s="824">
        <v>14.6422639702643</v>
      </c>
      <c r="CI78" s="894">
        <v>11.8026554700342</v>
      </c>
    </row>
    <row r="79" ht="14.25" customHeight="1" spans="1:87" x14ac:dyDescent="0.25">
      <c r="A79" s="8"/>
      <c r="B79" s="8"/>
      <c r="C79" s="892" t="s">
        <v>1061</v>
      </c>
      <c r="D79" s="892"/>
      <c r="E79" s="892"/>
      <c r="F79" s="892"/>
      <c r="G79" s="892"/>
      <c r="H79" s="892"/>
      <c r="I79" s="75">
        <f>IF(I78=4,1,I78+1)</f>
        <v>2</v>
      </c>
      <c r="J79" s="7">
        <f t="shared" si="27"/>
        <v>2023</v>
      </c>
      <c r="K79" s="341" t="str">
        <f t="shared" si="18"/>
        <v>2Q23</v>
      </c>
      <c r="L79" s="893">
        <v>8.94290004725943</v>
      </c>
      <c r="M79" s="824">
        <v>8.28756046023301</v>
      </c>
      <c r="N79" s="824">
        <v>9.12124457718023</v>
      </c>
      <c r="O79" s="824">
        <v>14.7008848047747</v>
      </c>
      <c r="P79" s="824">
        <v>13.4060153880016</v>
      </c>
      <c r="Q79" s="894"/>
      <c r="R79" s="824">
        <v>12.8331804525743</v>
      </c>
      <c r="S79" s="894">
        <v>11.1224720135941</v>
      </c>
      <c r="T79" s="824">
        <v>8.61185718536064</v>
      </c>
      <c r="U79" s="824">
        <v>11.0792549404773</v>
      </c>
      <c r="V79" s="824">
        <v>18.883702355302</v>
      </c>
      <c r="W79" s="894"/>
      <c r="X79" s="824">
        <v>4.25384146626034</v>
      </c>
      <c r="Y79" s="824">
        <v>6.17145991081678</v>
      </c>
      <c r="Z79" s="824">
        <v>5.51043611444467</v>
      </c>
      <c r="AA79" s="824">
        <v>8.18818112131341</v>
      </c>
      <c r="AB79" s="824">
        <v>7.80973330791121</v>
      </c>
      <c r="AC79" s="894"/>
      <c r="AD79" s="824">
        <v>13.9228</v>
      </c>
      <c r="AE79" s="824">
        <v>5.6055</v>
      </c>
      <c r="AF79" s="824">
        <v>6.4922</v>
      </c>
      <c r="AG79" s="824">
        <v>10.6294</v>
      </c>
      <c r="AH79" s="824">
        <v>15.7413853721812</v>
      </c>
      <c r="AI79" s="894"/>
      <c r="AJ79" s="8"/>
      <c r="AK79" s="895" t="str">
        <f t="shared" si="19"/>
        <v>2Q23</v>
      </c>
      <c r="AL79" s="893">
        <f t="shared" si="20"/>
        <v>8.94290004725943</v>
      </c>
      <c r="AM79" s="824">
        <v>18.285283104649</v>
      </c>
      <c r="AN79" s="824">
        <v>15.531229783089</v>
      </c>
      <c r="AO79" s="824">
        <v>18.4342230802955</v>
      </c>
      <c r="AP79" s="824">
        <v>15.7918506010747</v>
      </c>
      <c r="AQ79" s="894">
        <v>13.3630724097093</v>
      </c>
      <c r="AR79" s="893">
        <f t="shared" si="21"/>
        <v>12.8331804525743</v>
      </c>
      <c r="AS79" s="824">
        <v>18.0372200865908</v>
      </c>
      <c r="AT79" s="824">
        <v>18.548904045644</v>
      </c>
      <c r="AU79" s="824">
        <v>17.3009847075473</v>
      </c>
      <c r="AV79" s="824">
        <v>15.0214839738927</v>
      </c>
      <c r="AW79" s="894">
        <v>12.1266380876433</v>
      </c>
      <c r="AX79" s="893">
        <f t="shared" si="22"/>
        <v>4.25384146626034</v>
      </c>
      <c r="AY79" s="824">
        <v>12.7963238557254</v>
      </c>
      <c r="AZ79" s="824">
        <v>14.3983930880516</v>
      </c>
      <c r="BA79" s="824">
        <v>11.0784790142357</v>
      </c>
      <c r="BB79" s="824">
        <v>11.7401868085495</v>
      </c>
      <c r="BC79" s="894">
        <v>10.1213801363892</v>
      </c>
      <c r="BD79" s="893">
        <f t="shared" si="31"/>
        <v>13.9228</v>
      </c>
      <c r="BE79" s="824">
        <v>12.7838345671624</v>
      </c>
      <c r="BF79" s="824">
        <v>15.5062457521629</v>
      </c>
      <c r="BG79" s="824">
        <v>11.4931908863573</v>
      </c>
      <c r="BH79" s="824">
        <v>12.2156576237082</v>
      </c>
      <c r="BI79" s="894">
        <v>8.94832314922583</v>
      </c>
      <c r="BJ79" s="8"/>
      <c r="BK79" s="895" t="str">
        <f t="shared" si="23"/>
        <v>2Q23</v>
      </c>
      <c r="BL79" s="893">
        <f t="shared" si="24"/>
        <v>8.94290004725943</v>
      </c>
      <c r="BM79" s="824">
        <v>11.2645577634905</v>
      </c>
      <c r="BN79" s="824">
        <v>16.9769983363012</v>
      </c>
      <c r="BO79" s="824">
        <v>14.6397946127696</v>
      </c>
      <c r="BP79" s="824">
        <v>18.4969909334805</v>
      </c>
      <c r="BQ79" s="894">
        <v>17.0383556428308</v>
      </c>
      <c r="BR79" s="893">
        <f t="shared" si="25"/>
        <v>12.8331804525743</v>
      </c>
      <c r="BS79" s="824">
        <v>11.0988919387388</v>
      </c>
      <c r="BT79" s="824">
        <v>17.1678038497184</v>
      </c>
      <c r="BU79" s="824">
        <v>15.3184158666614</v>
      </c>
      <c r="BV79" s="824">
        <v>20.2337090247079</v>
      </c>
      <c r="BW79" s="894">
        <v>17.0249074363471</v>
      </c>
      <c r="BX79" s="893">
        <f t="shared" si="26"/>
        <v>4.25384146626034</v>
      </c>
      <c r="BY79" s="824">
        <v>6.55210704601697</v>
      </c>
      <c r="BZ79" s="824">
        <v>7.58057147914367</v>
      </c>
      <c r="CA79" s="824"/>
      <c r="CB79" s="824">
        <v>15.7600485469973</v>
      </c>
      <c r="CC79" s="894">
        <v>13.1807660592666</v>
      </c>
      <c r="CD79" s="893">
        <f t="shared" si="32"/>
        <v>13.9228</v>
      </c>
      <c r="CE79" s="824">
        <v>6.6876218938895</v>
      </c>
      <c r="CF79" s="824">
        <v>13.0119608316293</v>
      </c>
      <c r="CG79" s="824">
        <v>12.4521138558247</v>
      </c>
      <c r="CH79" s="824">
        <v>14.1638045774507</v>
      </c>
      <c r="CI79" s="894">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3">
        <v>13.5906100616758</v>
      </c>
      <c r="M80" s="824">
        <v>12.4104581993814</v>
      </c>
      <c r="N80" s="824">
        <v>10.2817734902158</v>
      </c>
      <c r="O80" s="824">
        <v>12.5310623094881</v>
      </c>
      <c r="P80" s="824">
        <v>20.4102533236939</v>
      </c>
      <c r="Q80" s="894"/>
      <c r="R80" s="824">
        <v>11.0700540257088</v>
      </c>
      <c r="S80" s="894">
        <v>12.9296419685577</v>
      </c>
      <c r="T80" s="824">
        <v>9.28850803780087</v>
      </c>
      <c r="U80" s="824">
        <v>10.40032546786</v>
      </c>
      <c r="V80" s="824">
        <v>20.2760952538998</v>
      </c>
      <c r="W80" s="894"/>
      <c r="X80" s="824">
        <v>6.34651938320829</v>
      </c>
      <c r="Y80" s="824">
        <v>8.93577190830752</v>
      </c>
      <c r="Z80" s="824">
        <v>4.71147261703595</v>
      </c>
      <c r="AA80" s="824">
        <v>6.10734502456799</v>
      </c>
      <c r="AB80" s="824">
        <v>10.6031664035395</v>
      </c>
      <c r="AC80" s="894"/>
      <c r="AD80" s="824">
        <v>13.0491</v>
      </c>
      <c r="AE80" s="824">
        <v>5.0636</v>
      </c>
      <c r="AF80" s="824">
        <v>7.3981</v>
      </c>
      <c r="AG80" s="824">
        <v>6.2521</v>
      </c>
      <c r="AH80" s="824">
        <v>12.4028001114185</v>
      </c>
      <c r="AI80" s="894"/>
      <c r="AJ80" s="8"/>
      <c r="AK80" s="895" t="str">
        <f t="shared" si="19"/>
        <v>3Q23</v>
      </c>
      <c r="AL80" s="893">
        <f t="shared" si="20"/>
        <v>13.5906100616758</v>
      </c>
      <c r="AM80" s="824">
        <v>18.285283104649</v>
      </c>
      <c r="AN80" s="824">
        <v>15.531229783089</v>
      </c>
      <c r="AO80" s="824">
        <v>18.4342230802955</v>
      </c>
      <c r="AP80" s="824">
        <v>15.7918506010747</v>
      </c>
      <c r="AQ80" s="894">
        <v>13.3630724097093</v>
      </c>
      <c r="AR80" s="893">
        <f t="shared" si="21"/>
        <v>11.0700540257088</v>
      </c>
      <c r="AS80" s="824">
        <v>18.0372200865908</v>
      </c>
      <c r="AT80" s="824">
        <v>18.548904045644</v>
      </c>
      <c r="AU80" s="824">
        <v>17.3009847075473</v>
      </c>
      <c r="AV80" s="824">
        <v>15.0214839738927</v>
      </c>
      <c r="AW80" s="894">
        <v>12.1266380876433</v>
      </c>
      <c r="AX80" s="893">
        <f t="shared" si="22"/>
        <v>6.34651938320829</v>
      </c>
      <c r="AY80" s="824">
        <v>12.7963238557254</v>
      </c>
      <c r="AZ80" s="824">
        <v>14.3983930880516</v>
      </c>
      <c r="BA80" s="824">
        <v>11.0784790142357</v>
      </c>
      <c r="BB80" s="824">
        <v>11.7401868085495</v>
      </c>
      <c r="BC80" s="894">
        <v>10.1213801363892</v>
      </c>
      <c r="BD80" s="893">
        <f t="shared" si="31"/>
        <v>13.0491</v>
      </c>
      <c r="BE80" s="824">
        <v>12.7838345671624</v>
      </c>
      <c r="BF80" s="824">
        <v>15.5062457521629</v>
      </c>
      <c r="BG80" s="824">
        <v>11.4931908863573</v>
      </c>
      <c r="BH80" s="824">
        <v>12.2156576237082</v>
      </c>
      <c r="BI80" s="894">
        <v>8.94832314922583</v>
      </c>
      <c r="BJ80" s="8"/>
      <c r="BK80" s="895" t="str">
        <f t="shared" si="23"/>
        <v>3Q23</v>
      </c>
      <c r="BL80" s="893">
        <f t="shared" si="24"/>
        <v>13.5906100616758</v>
      </c>
      <c r="BM80" s="824">
        <v>11.2645577634905</v>
      </c>
      <c r="BN80" s="824">
        <v>16.9769983363012</v>
      </c>
      <c r="BO80" s="824">
        <v>14.6397946127696</v>
      </c>
      <c r="BP80" s="824">
        <v>18.4969909334805</v>
      </c>
      <c r="BQ80" s="894">
        <v>17.0383556428308</v>
      </c>
      <c r="BR80" s="893">
        <f t="shared" si="25"/>
        <v>11.0700540257088</v>
      </c>
      <c r="BS80" s="824">
        <v>11.0988919387388</v>
      </c>
      <c r="BT80" s="824">
        <v>17.1678038497184</v>
      </c>
      <c r="BU80" s="824">
        <v>15.3184158666614</v>
      </c>
      <c r="BV80" s="824">
        <v>20.2337090247079</v>
      </c>
      <c r="BW80" s="894">
        <v>17.0249074363471</v>
      </c>
      <c r="BX80" s="893">
        <f t="shared" si="26"/>
        <v>6.34651938320829</v>
      </c>
      <c r="BY80" s="824">
        <v>6.55210704601697</v>
      </c>
      <c r="BZ80" s="824">
        <v>7.58057147914367</v>
      </c>
      <c r="CA80" s="824"/>
      <c r="CB80" s="824">
        <v>15.7600485469973</v>
      </c>
      <c r="CC80" s="894">
        <v>13.1807660592666</v>
      </c>
      <c r="CD80" s="893">
        <f t="shared" si="32"/>
        <v>13.0491</v>
      </c>
      <c r="CE80" s="824">
        <v>6.6876218938895</v>
      </c>
      <c r="CF80" s="824">
        <v>13.0119608316293</v>
      </c>
      <c r="CG80" s="824">
        <v>12.4521138558247</v>
      </c>
      <c r="CH80" s="824">
        <v>14.1638045774507</v>
      </c>
      <c r="CI80" s="894">
        <v>11.7889497648763</v>
      </c>
    </row>
    <row r="81" ht="14.25" customHeight="1" spans="1:87" x14ac:dyDescent="0.25">
      <c r="A81" s="8"/>
      <c r="B81" s="8"/>
      <c r="C81" s="8" t="s">
        <v>1062</v>
      </c>
      <c r="D81" s="8"/>
      <c r="E81" s="774">
        <f>AVERAGE(BM8:BQ75)</f>
        <v>23.989111745649577</v>
      </c>
      <c r="F81" s="774">
        <f>AVERAGE(BS8:BW75)</f>
        <v>16.203546988432574</v>
      </c>
      <c r="G81" s="774">
        <f>AVERAGE(BY8:CC75)</f>
        <v>9.86611312349788</v>
      </c>
      <c r="H81" s="774">
        <f>AVERAGE(CE8:CI75)</f>
        <v>9.244146434411277</v>
      </c>
      <c r="I81" s="75">
        <f>IF(I80=4,1,I80+1)</f>
        <v>4</v>
      </c>
      <c r="J81" s="7">
        <f t="shared" si="27"/>
        <v>2023</v>
      </c>
      <c r="K81" s="341" t="str">
        <f t="shared" si="18"/>
        <v>4Q23</v>
      </c>
      <c r="L81" s="893">
        <v>17.1382572195619</v>
      </c>
      <c r="M81" s="824">
        <v>12.6024743202405</v>
      </c>
      <c r="N81" s="824">
        <v>10.6237325675178</v>
      </c>
      <c r="O81" s="824">
        <v>13.233260282812</v>
      </c>
      <c r="P81" s="824">
        <v>23.2145011881168</v>
      </c>
      <c r="Q81" s="894"/>
      <c r="R81" s="824">
        <v>11.0946465236275</v>
      </c>
      <c r="S81" s="894">
        <v>15.1108230719378</v>
      </c>
      <c r="T81" s="824">
        <v>11.0331072995612</v>
      </c>
      <c r="U81" s="824">
        <v>11.75238725331</v>
      </c>
      <c r="V81" s="824">
        <v>22.1307682089524</v>
      </c>
      <c r="W81" s="894"/>
      <c r="X81" s="824">
        <v>6.25072674966206</v>
      </c>
      <c r="Y81" s="824">
        <v>10.1212810509865</v>
      </c>
      <c r="Z81" s="824">
        <v>4.02084604922337</v>
      </c>
      <c r="AA81" s="824">
        <v>5.40358050984793</v>
      </c>
      <c r="AB81" s="824">
        <v>12.3915264674027</v>
      </c>
      <c r="AC81" s="894"/>
      <c r="AD81" s="824">
        <v>11.7917</v>
      </c>
      <c r="AE81" s="824">
        <v>4.5883</v>
      </c>
      <c r="AF81" s="824">
        <v>7.3599</v>
      </c>
      <c r="AG81" s="824">
        <v>11.0157</v>
      </c>
      <c r="AH81" s="824">
        <v>13.7674055211448</v>
      </c>
      <c r="AI81" s="894"/>
      <c r="AJ81" s="8"/>
      <c r="AK81" s="895" t="str">
        <f t="shared" si="19"/>
        <v>4Q23</v>
      </c>
      <c r="AL81" s="893">
        <f t="shared" si="20"/>
        <v>17.1382572195619</v>
      </c>
      <c r="AM81" s="824">
        <v>18.285283104649</v>
      </c>
      <c r="AN81" s="824">
        <v>15.531229783089</v>
      </c>
      <c r="AO81" s="824">
        <v>18.4342230802955</v>
      </c>
      <c r="AP81" s="824">
        <v>15.7918506010747</v>
      </c>
      <c r="AQ81" s="894">
        <v>13.3630724097093</v>
      </c>
      <c r="AR81" s="893">
        <f t="shared" si="21"/>
        <v>11.0946465236275</v>
      </c>
      <c r="AS81" s="824">
        <v>18.0372200865908</v>
      </c>
      <c r="AT81" s="824">
        <v>18.548904045644</v>
      </c>
      <c r="AU81" s="824">
        <v>17.3009847075473</v>
      </c>
      <c r="AV81" s="824">
        <v>15.0214839738927</v>
      </c>
      <c r="AW81" s="894">
        <v>12.1266380876433</v>
      </c>
      <c r="AX81" s="893">
        <f t="shared" si="22"/>
        <v>6.25072674966206</v>
      </c>
      <c r="AY81" s="824">
        <v>12.7963238557254</v>
      </c>
      <c r="AZ81" s="824">
        <v>14.3983930880516</v>
      </c>
      <c r="BA81" s="824">
        <v>11.0784790142357</v>
      </c>
      <c r="BB81" s="824">
        <v>11.7401868085495</v>
      </c>
      <c r="BC81" s="894">
        <v>10.1213801363892</v>
      </c>
      <c r="BD81" s="893">
        <f t="shared" si="31"/>
        <v>11.7917</v>
      </c>
      <c r="BE81" s="824">
        <v>12.7838345671624</v>
      </c>
      <c r="BF81" s="824">
        <v>15.5062457521629</v>
      </c>
      <c r="BG81" s="824">
        <v>11.4931908863573</v>
      </c>
      <c r="BH81" s="824">
        <v>12.2156576237082</v>
      </c>
      <c r="BI81" s="894">
        <v>8.94832314922583</v>
      </c>
      <c r="BJ81" s="8"/>
      <c r="BK81" s="895" t="str">
        <f t="shared" si="23"/>
        <v>4Q23</v>
      </c>
      <c r="BL81" s="893">
        <f t="shared" si="24"/>
        <v>17.1382572195619</v>
      </c>
      <c r="BM81" s="824">
        <v>11.2645577634905</v>
      </c>
      <c r="BN81" s="824">
        <v>16.9769983363012</v>
      </c>
      <c r="BO81" s="824">
        <v>14.6397946127696</v>
      </c>
      <c r="BP81" s="824">
        <v>18.4969909334805</v>
      </c>
      <c r="BQ81" s="894">
        <v>17.0383556428308</v>
      </c>
      <c r="BR81" s="893">
        <f t="shared" si="25"/>
        <v>11.0946465236275</v>
      </c>
      <c r="BS81" s="824">
        <v>11.0988919387388</v>
      </c>
      <c r="BT81" s="824">
        <v>17.1678038497184</v>
      </c>
      <c r="BU81" s="824">
        <v>15.3184158666614</v>
      </c>
      <c r="BV81" s="824">
        <v>20.2337090247079</v>
      </c>
      <c r="BW81" s="894">
        <v>17.0249074363471</v>
      </c>
      <c r="BX81" s="893">
        <f t="shared" si="26"/>
        <v>6.25072674966206</v>
      </c>
      <c r="BY81" s="824">
        <v>6.55210704601697</v>
      </c>
      <c r="BZ81" s="824">
        <v>7.58057147914367</v>
      </c>
      <c r="CA81" s="824"/>
      <c r="CB81" s="824">
        <v>15.7600485469973</v>
      </c>
      <c r="CC81" s="894">
        <v>13.1807660592666</v>
      </c>
      <c r="CD81" s="893">
        <f t="shared" si="32"/>
        <v>11.7917</v>
      </c>
      <c r="CE81" s="824">
        <v>6.6876218938895</v>
      </c>
      <c r="CF81" s="824">
        <v>13.0119608316293</v>
      </c>
      <c r="CG81" s="824">
        <v>12.4521138558247</v>
      </c>
      <c r="CH81" s="824">
        <v>14.1638045774507</v>
      </c>
      <c r="CI81" s="894">
        <v>11.7889497648763</v>
      </c>
    </row>
    <row r="82" ht="14.25" customHeight="1" spans="1:87" x14ac:dyDescent="0.25">
      <c r="A82" s="8"/>
      <c r="B82" s="8"/>
      <c r="C82" s="8" t="s">
        <v>1063</v>
      </c>
      <c r="D82" s="8"/>
      <c r="E82" s="774">
        <f t="shared" ref="E82:H82" si="39">AVERAGE(E86,E90)</f>
        <v>20.103998318150133</v>
      </c>
      <c r="F82" s="774">
        <f t="shared" si="39"/>
        <v>16.997209724820074</v>
      </c>
      <c r="G82" s="774">
        <f t="shared" si="39"/>
        <v>9.076301266902977</v>
      </c>
      <c r="H82" s="774" t="e">
        <f t="shared" si="39"/>
        <v>#DIV/0!</v>
      </c>
      <c r="I82" s="75">
        <f>IF(I81+1=5,1,I81+1)</f>
        <v>1</v>
      </c>
      <c r="J82" s="7">
        <f t="shared" si="27"/>
        <v>2024</v>
      </c>
      <c r="K82" s="341" t="str">
        <f t="shared" si="18"/>
        <v>1Q24</v>
      </c>
      <c r="L82" s="893">
        <v>26.6315553758954</v>
      </c>
      <c r="M82" s="824">
        <v>16.5504513133013</v>
      </c>
      <c r="N82" s="824">
        <v>11.3358351875837</v>
      </c>
      <c r="O82" s="824">
        <v>12.2518356709579</v>
      </c>
      <c r="P82" s="824">
        <v>27.6698842292251</v>
      </c>
      <c r="Q82" s="894"/>
      <c r="R82" s="824">
        <v>12.4764454809773</v>
      </c>
      <c r="S82" s="894">
        <v>15.7076056664461</v>
      </c>
      <c r="T82" s="824">
        <v>11.3846322371427</v>
      </c>
      <c r="U82" s="824">
        <v>13.163356956089</v>
      </c>
      <c r="V82" s="824">
        <v>22.4894736842105</v>
      </c>
      <c r="W82" s="894"/>
      <c r="X82" s="824">
        <v>4.3404263848883</v>
      </c>
      <c r="Y82" s="824">
        <v>12.7168820981731</v>
      </c>
      <c r="Z82" s="824">
        <v>4.2592037384905</v>
      </c>
      <c r="AA82" s="824">
        <v>4.45294686760022</v>
      </c>
      <c r="AB82" s="824">
        <v>15.3998502843582</v>
      </c>
      <c r="AC82" s="894"/>
      <c r="AD82" s="824">
        <v>9.4684</v>
      </c>
      <c r="AE82" s="824">
        <v>4.0128</v>
      </c>
      <c r="AF82" s="824">
        <v>6.8149</v>
      </c>
      <c r="AG82" s="824">
        <v>11.9685</v>
      </c>
      <c r="AH82" s="824">
        <v>14.4221768673142</v>
      </c>
      <c r="AI82" s="894"/>
      <c r="AJ82" s="8"/>
      <c r="AK82" s="895" t="str">
        <f t="shared" si="19"/>
        <v>1Q24</v>
      </c>
      <c r="AL82" s="893">
        <f t="shared" si="20"/>
        <v>26.6315553758954</v>
      </c>
      <c r="AM82" s="824">
        <v>18.285283104649</v>
      </c>
      <c r="AN82" s="824">
        <v>15.531229783089</v>
      </c>
      <c r="AO82" s="824">
        <v>18.4342230802955</v>
      </c>
      <c r="AP82" s="824">
        <v>15.7918506010747</v>
      </c>
      <c r="AQ82" s="894">
        <v>13.3630724097093</v>
      </c>
      <c r="AR82" s="893">
        <f t="shared" si="21"/>
        <v>12.4764454809773</v>
      </c>
      <c r="AS82" s="824">
        <v>18.0372200865908</v>
      </c>
      <c r="AT82" s="824">
        <v>18.548904045644</v>
      </c>
      <c r="AU82" s="824">
        <v>17.3009847075473</v>
      </c>
      <c r="AV82" s="824">
        <v>15.0214839738927</v>
      </c>
      <c r="AW82" s="894">
        <v>12.1266380876433</v>
      </c>
      <c r="AX82" s="893">
        <f t="shared" si="22"/>
        <v>4.3404263848883</v>
      </c>
      <c r="AY82" s="824">
        <v>12.7963238557254</v>
      </c>
      <c r="AZ82" s="824">
        <v>14.3983930880516</v>
      </c>
      <c r="BA82" s="824">
        <v>11.0784790142357</v>
      </c>
      <c r="BB82" s="824">
        <v>11.7401868085495</v>
      </c>
      <c r="BC82" s="894">
        <v>10.1213801363892</v>
      </c>
      <c r="BD82" s="893">
        <f t="shared" si="31"/>
        <v>9.4684</v>
      </c>
      <c r="BE82" s="824">
        <v>12.7838345671624</v>
      </c>
      <c r="BF82" s="824">
        <v>15.5062457521629</v>
      </c>
      <c r="BG82" s="824">
        <v>11.4931908863573</v>
      </c>
      <c r="BH82" s="824">
        <v>12.2156576237082</v>
      </c>
      <c r="BI82" s="894">
        <v>8.94832314922583</v>
      </c>
      <c r="BJ82" s="8"/>
      <c r="BK82" s="895" t="str">
        <f t="shared" si="23"/>
        <v>1Q24</v>
      </c>
      <c r="BL82" s="893">
        <f t="shared" si="24"/>
        <v>26.6315553758954</v>
      </c>
      <c r="BM82" s="824">
        <v>11.2645577634905</v>
      </c>
      <c r="BN82" s="824">
        <v>16.9769983363012</v>
      </c>
      <c r="BO82" s="824">
        <v>14.6397946127696</v>
      </c>
      <c r="BP82" s="824">
        <v>18.4969909334805</v>
      </c>
      <c r="BQ82" s="894">
        <v>17.0383556428308</v>
      </c>
      <c r="BR82" s="893">
        <f t="shared" si="25"/>
        <v>12.4764454809773</v>
      </c>
      <c r="BS82" s="824">
        <v>11.0988919387388</v>
      </c>
      <c r="BT82" s="824">
        <v>17.1678038497184</v>
      </c>
      <c r="BU82" s="824">
        <v>15.3184158666614</v>
      </c>
      <c r="BV82" s="824">
        <v>20.2337090247079</v>
      </c>
      <c r="BW82" s="894">
        <v>17.0249074363471</v>
      </c>
      <c r="BX82" s="893">
        <f t="shared" si="26"/>
        <v>4.3404263848883</v>
      </c>
      <c r="BY82" s="824">
        <v>6.55210704601697</v>
      </c>
      <c r="BZ82" s="824">
        <v>7.58057147914367</v>
      </c>
      <c r="CA82" s="824"/>
      <c r="CB82" s="824">
        <v>15.7600485469973</v>
      </c>
      <c r="CC82" s="894">
        <v>13.1807660592666</v>
      </c>
      <c r="CD82" s="893">
        <f t="shared" si="32"/>
        <v>9.4684</v>
      </c>
      <c r="CE82" s="824">
        <v>6.6876218938895</v>
      </c>
      <c r="CF82" s="824">
        <v>13.0119608316293</v>
      </c>
      <c r="CG82" s="824">
        <v>12.4521138558247</v>
      </c>
      <c r="CH82" s="824">
        <v>14.1638045774507</v>
      </c>
      <c r="CI82" s="894">
        <v>11.7889497648763</v>
      </c>
    </row>
    <row r="83" ht="14.25" customHeight="1" spans="1:87" x14ac:dyDescent="0.25">
      <c r="A83" s="8"/>
      <c r="B83" s="8"/>
      <c r="C83" s="8" t="s">
        <v>1064</v>
      </c>
      <c r="D83" s="8"/>
      <c r="E83" s="774">
        <f t="shared" ref="E83:H83" si="40">AVERAGE(E87,E91)</f>
        <v>16.107894681806094</v>
      </c>
      <c r="F83" s="774">
        <f t="shared" si="40"/>
        <v>15.30298364494367</v>
      </c>
      <c r="G83" s="774">
        <f t="shared" si="40"/>
        <v>9.975123228525447</v>
      </c>
      <c r="H83" s="774">
        <f t="shared" si="40"/>
        <v>9.37575884948865</v>
      </c>
      <c r="I83" s="75">
        <f>IF(I82=4,1,I82+1)</f>
        <v>2</v>
      </c>
      <c r="J83" s="7">
        <f t="shared" si="27"/>
        <v>2024</v>
      </c>
      <c r="K83" s="341" t="str">
        <f t="shared" si="18"/>
        <v>2Q24</v>
      </c>
      <c r="L83" s="893">
        <v>29.379774849575</v>
      </c>
      <c r="M83" s="824">
        <v>21.5212139702425</v>
      </c>
      <c r="N83" s="824">
        <v>14.7636250752326</v>
      </c>
      <c r="O83" s="824">
        <v>13.5017577714422</v>
      </c>
      <c r="P83" s="824">
        <v>30.4171263311456</v>
      </c>
      <c r="Q83" s="894"/>
      <c r="R83" s="824">
        <v>13.5570887926062</v>
      </c>
      <c r="S83" s="894">
        <v>16.5254253144893</v>
      </c>
      <c r="T83" s="824">
        <v>11.6836749613343</v>
      </c>
      <c r="U83" s="824">
        <v>12.5041741728905</v>
      </c>
      <c r="V83" s="824">
        <v>23.0975450245028</v>
      </c>
      <c r="W83" s="894"/>
      <c r="X83" s="824">
        <v>4.78013116703891</v>
      </c>
      <c r="Y83" s="824">
        <v>16.5768150998762</v>
      </c>
      <c r="Z83" s="824">
        <v>3.97678467379931</v>
      </c>
      <c r="AA83" s="824">
        <v>4.5594288426116</v>
      </c>
      <c r="AB83" s="824">
        <v>18.1981245268633</v>
      </c>
      <c r="AC83" s="894"/>
      <c r="AD83" s="824">
        <v>10.3088</v>
      </c>
      <c r="AE83" s="824">
        <v>7.5173</v>
      </c>
      <c r="AF83" s="824">
        <v>6.1951</v>
      </c>
      <c r="AG83" s="824">
        <v>7.2386</v>
      </c>
      <c r="AH83" s="824">
        <v>11.8976913350825</v>
      </c>
      <c r="AI83" s="894"/>
      <c r="AJ83" s="8"/>
      <c r="AK83" s="895" t="str">
        <f t="shared" si="19"/>
        <v>2Q24</v>
      </c>
      <c r="AL83" s="893">
        <f t="shared" si="20"/>
        <v>29.379774849575</v>
      </c>
      <c r="AM83" s="824">
        <v>18.285283104649</v>
      </c>
      <c r="AN83" s="824">
        <v>15.531229783089</v>
      </c>
      <c r="AO83" s="824">
        <v>18.4342230802955</v>
      </c>
      <c r="AP83" s="824">
        <v>15.7918506010747</v>
      </c>
      <c r="AQ83" s="894">
        <v>13.3630724097093</v>
      </c>
      <c r="AR83" s="893">
        <f t="shared" si="21"/>
        <v>13.5570887926062</v>
      </c>
      <c r="AS83" s="824">
        <v>18.0372200865908</v>
      </c>
      <c r="AT83" s="824">
        <v>18.548904045644</v>
      </c>
      <c r="AU83" s="824">
        <v>17.3009847075473</v>
      </c>
      <c r="AV83" s="824">
        <v>15.0214839738927</v>
      </c>
      <c r="AW83" s="894">
        <v>12.1266380876433</v>
      </c>
      <c r="AX83" s="893">
        <f t="shared" si="22"/>
        <v>4.78013116703891</v>
      </c>
      <c r="AY83" s="824">
        <v>12.7963238557254</v>
      </c>
      <c r="AZ83" s="824">
        <v>14.3983930880516</v>
      </c>
      <c r="BA83" s="824">
        <v>11.0784790142357</v>
      </c>
      <c r="BB83" s="824">
        <v>11.7401868085495</v>
      </c>
      <c r="BC83" s="894">
        <v>10.1213801363892</v>
      </c>
      <c r="BD83" s="893">
        <f t="shared" si="31"/>
        <v>10.3088</v>
      </c>
      <c r="BE83" s="824">
        <v>12.7838345671624</v>
      </c>
      <c r="BF83" s="824">
        <v>15.5062457521629</v>
      </c>
      <c r="BG83" s="824">
        <v>11.4931908863573</v>
      </c>
      <c r="BH83" s="824">
        <v>12.2156576237082</v>
      </c>
      <c r="BI83" s="894">
        <v>8.94832314922583</v>
      </c>
      <c r="BJ83" s="8"/>
      <c r="BK83" s="895" t="str">
        <f t="shared" si="23"/>
        <v>2Q24</v>
      </c>
      <c r="BL83" s="893">
        <f t="shared" si="24"/>
        <v>29.379774849575</v>
      </c>
      <c r="BM83" s="824">
        <v>11.2645577634905</v>
      </c>
      <c r="BN83" s="824">
        <v>16.9769983363012</v>
      </c>
      <c r="BO83" s="824">
        <v>14.6397946127696</v>
      </c>
      <c r="BP83" s="824">
        <v>18.4969909334805</v>
      </c>
      <c r="BQ83" s="894">
        <v>17.0383556428308</v>
      </c>
      <c r="BR83" s="893">
        <f t="shared" si="25"/>
        <v>13.5570887926062</v>
      </c>
      <c r="BS83" s="824">
        <v>11.0988919387388</v>
      </c>
      <c r="BT83" s="824">
        <v>17.1678038497184</v>
      </c>
      <c r="BU83" s="824">
        <v>15.3184158666614</v>
      </c>
      <c r="BV83" s="824">
        <v>20.2337090247079</v>
      </c>
      <c r="BW83" s="894">
        <v>17.0249074363471</v>
      </c>
      <c r="BX83" s="893">
        <f t="shared" si="26"/>
        <v>4.78013116703891</v>
      </c>
      <c r="BY83" s="824">
        <v>6.55210704601697</v>
      </c>
      <c r="BZ83" s="824">
        <v>7.58057147914367</v>
      </c>
      <c r="CA83" s="824"/>
      <c r="CB83" s="824">
        <v>15.7600485469973</v>
      </c>
      <c r="CC83" s="894">
        <v>13.1807660592666</v>
      </c>
      <c r="CD83" s="893">
        <f t="shared" si="32"/>
        <v>10.3088</v>
      </c>
      <c r="CE83" s="824">
        <v>6.6876218938895</v>
      </c>
      <c r="CF83" s="824">
        <v>13.0119608316293</v>
      </c>
      <c r="CG83" s="824">
        <v>12.4521138558247</v>
      </c>
      <c r="CH83" s="824">
        <v>14.1638045774507</v>
      </c>
      <c r="CI83" s="894">
        <v>11.7889497648763</v>
      </c>
    </row>
    <row r="84" ht="14.25" customHeight="1" spans="1:87" x14ac:dyDescent="0.25">
      <c r="A84" s="8"/>
      <c r="B84" s="8"/>
      <c r="C84" s="8" t="s">
        <v>1065</v>
      </c>
      <c r="D84" s="8"/>
      <c r="E84" s="774">
        <f t="shared" ref="E84:H84" si="41">AVERAGE(E88,E92)</f>
        <v>30.136895572954842</v>
      </c>
      <c r="F84" s="774">
        <f t="shared" si="41"/>
        <v>16.117007849523496</v>
      </c>
      <c r="G84" s="774">
        <f t="shared" si="41"/>
        <v>10.637190256202512</v>
      </c>
      <c r="H84" s="774">
        <f t="shared" si="41"/>
        <v>9.995452299174545</v>
      </c>
      <c r="I84" s="75">
        <f>I80</f>
        <v>3</v>
      </c>
      <c r="J84" s="7">
        <f t="shared" si="27"/>
        <v>2024</v>
      </c>
      <c r="K84" s="341" t="str">
        <f t="shared" si="18"/>
        <v>3Q24</v>
      </c>
      <c r="L84" s="893">
        <v>35.28</v>
      </c>
      <c r="M84" s="824">
        <v>22.4853894246509</v>
      </c>
      <c r="N84" s="824">
        <v>16.6751105256702</v>
      </c>
      <c r="O84" s="824">
        <v>15.5904743440061</v>
      </c>
      <c r="P84" s="824">
        <v>30.7497306789912</v>
      </c>
      <c r="Q84" s="894"/>
      <c r="R84" s="824">
        <v>14.6444210138634</v>
      </c>
      <c r="S84" s="894">
        <v>19.0631585564715</v>
      </c>
      <c r="T84" s="824">
        <v>13.0459545574264</v>
      </c>
      <c r="U84" s="824">
        <v>12.2250427837992</v>
      </c>
      <c r="V84" s="824">
        <v>25.6786242356576</v>
      </c>
      <c r="W84" s="894"/>
      <c r="X84" s="824">
        <v>5.06041121075409</v>
      </c>
      <c r="Y84" s="824">
        <v>13.9986072527741</v>
      </c>
      <c r="Z84" s="824">
        <v>4.04963437691971</v>
      </c>
      <c r="AA84" s="824">
        <v>5.00394638382403</v>
      </c>
      <c r="AB84" s="824">
        <v>19.1592477727378</v>
      </c>
      <c r="AC84" s="894"/>
      <c r="AD84" s="824">
        <v>9.7758</v>
      </c>
      <c r="AE84" s="824">
        <v>8.6654</v>
      </c>
      <c r="AF84" s="824">
        <v>5.7783</v>
      </c>
      <c r="AG84" s="824">
        <v>12.438</v>
      </c>
      <c r="AH84" s="824">
        <v>12.6628000200125</v>
      </c>
      <c r="AI84" s="894"/>
      <c r="AJ84" s="8"/>
      <c r="AK84" s="895" t="str">
        <f t="shared" si="19"/>
        <v>3Q24</v>
      </c>
      <c r="AL84" s="893">
        <f t="shared" si="20"/>
        <v>35.28</v>
      </c>
      <c r="AM84" s="824">
        <v>18.285283104649</v>
      </c>
      <c r="AN84" s="824">
        <v>15.531229783089</v>
      </c>
      <c r="AO84" s="824">
        <v>18.4342230802955</v>
      </c>
      <c r="AP84" s="824">
        <v>15.7918506010747</v>
      </c>
      <c r="AQ84" s="894">
        <v>13.3630724097093</v>
      </c>
      <c r="AR84" s="893">
        <f t="shared" si="21"/>
        <v>14.6444210138634</v>
      </c>
      <c r="AS84" s="824">
        <v>18.0372200865908</v>
      </c>
      <c r="AT84" s="824">
        <v>18.548904045644</v>
      </c>
      <c r="AU84" s="824">
        <v>17.3009847075473</v>
      </c>
      <c r="AV84" s="824">
        <v>15.0214839738927</v>
      </c>
      <c r="AW84" s="894">
        <v>12.1266380876433</v>
      </c>
      <c r="AX84" s="893">
        <f t="shared" si="22"/>
        <v>5.06041121075409</v>
      </c>
      <c r="AY84" s="824">
        <v>12.7963238557254</v>
      </c>
      <c r="AZ84" s="824">
        <v>14.3983930880516</v>
      </c>
      <c r="BA84" s="824">
        <v>11.0784790142357</v>
      </c>
      <c r="BB84" s="824">
        <v>11.7401868085495</v>
      </c>
      <c r="BC84" s="894">
        <v>10.1213801363892</v>
      </c>
      <c r="BD84" s="893">
        <f t="shared" si="31"/>
        <v>9.7758</v>
      </c>
      <c r="BE84" s="824">
        <v>12.7838345671624</v>
      </c>
      <c r="BF84" s="824">
        <v>15.5062457521629</v>
      </c>
      <c r="BG84" s="824">
        <v>11.4931908863573</v>
      </c>
      <c r="BH84" s="824">
        <v>12.2156576237082</v>
      </c>
      <c r="BI84" s="894">
        <v>8.94832314922583</v>
      </c>
      <c r="BJ84" s="8"/>
      <c r="BK84" s="895" t="str">
        <f t="shared" si="23"/>
        <v>3Q24</v>
      </c>
      <c r="BL84" s="893">
        <f t="shared" si="24"/>
        <v>35.28</v>
      </c>
      <c r="BM84" s="824">
        <v>11.2645577634905</v>
      </c>
      <c r="BN84" s="824">
        <v>16.9769983363012</v>
      </c>
      <c r="BO84" s="824">
        <v>14.6397946127696</v>
      </c>
      <c r="BP84" s="824">
        <v>18.4969909334805</v>
      </c>
      <c r="BQ84" s="894">
        <v>17.0383556428308</v>
      </c>
      <c r="BR84" s="893">
        <f t="shared" si="25"/>
        <v>14.6444210138634</v>
      </c>
      <c r="BS84" s="824">
        <v>11.0988919387388</v>
      </c>
      <c r="BT84" s="824">
        <v>17.1678038497184</v>
      </c>
      <c r="BU84" s="824">
        <v>15.3184158666614</v>
      </c>
      <c r="BV84" s="824">
        <v>20.2337090247079</v>
      </c>
      <c r="BW84" s="894">
        <v>17.0249074363471</v>
      </c>
      <c r="BX84" s="893">
        <f t="shared" si="26"/>
        <v>5.06041121075409</v>
      </c>
      <c r="BY84" s="824">
        <v>6.55210704601697</v>
      </c>
      <c r="BZ84" s="824">
        <v>7.58057147914367</v>
      </c>
      <c r="CA84" s="824"/>
      <c r="CB84" s="824">
        <v>15.7600485469973</v>
      </c>
      <c r="CC84" s="894">
        <v>13.1807660592666</v>
      </c>
      <c r="CD84" s="893">
        <f t="shared" si="32"/>
        <v>9.7758</v>
      </c>
      <c r="CE84" s="824">
        <v>6.6876218938895</v>
      </c>
      <c r="CF84" s="824">
        <v>13.0119608316293</v>
      </c>
      <c r="CG84" s="824">
        <v>12.4521138558247</v>
      </c>
      <c r="CH84" s="824">
        <v>14.1638045774507</v>
      </c>
      <c r="CI84" s="894">
        <v>11.7889497648763</v>
      </c>
    </row>
    <row r="85" ht="14.25" customHeight="1" spans="1:87" x14ac:dyDescent="0.25">
      <c r="A85" s="8"/>
      <c r="B85" s="8"/>
      <c r="C85" s="8" t="s">
        <v>1066</v>
      </c>
      <c r="D85" s="8"/>
      <c r="E85" s="774">
        <f>AVERAGE(BM8:BQ35)</f>
        <v>19.419899684661807</v>
      </c>
      <c r="F85" s="774">
        <f>AVERAGE(BS8:BW35)</f>
        <v>16.743680586508308</v>
      </c>
      <c r="G85" s="774">
        <f>AVERAGE(BY8:CC35)</f>
        <v>9.540420082667024</v>
      </c>
      <c r="H85" s="774">
        <f>AVERAGE(CE8:CI35)</f>
        <v>9.363814673822663</v>
      </c>
      <c r="I85" s="75">
        <f t="shared" ref="I85:I89" si="42">IF(I84=4,1,I84+1)</f>
        <v>4</v>
      </c>
      <c r="J85" s="7">
        <f t="shared" si="27"/>
        <v>2024</v>
      </c>
      <c r="K85" s="341" t="str">
        <f t="shared" si="18"/>
        <v>4Q24</v>
      </c>
      <c r="L85" s="893">
        <v>27.0434782608696</v>
      </c>
      <c r="M85" s="824">
        <v>24.7080246172092</v>
      </c>
      <c r="N85" s="824">
        <v>17.8899205445169</v>
      </c>
      <c r="O85" s="824">
        <v>14.5154140404132</v>
      </c>
      <c r="P85" s="824">
        <v>29.2466525529773</v>
      </c>
      <c r="Q85" s="894"/>
      <c r="R85" s="824">
        <v>16.5594904148987</v>
      </c>
      <c r="S85" s="894">
        <v>20.2224844092365</v>
      </c>
      <c r="T85" s="824">
        <v>13.7201983186031</v>
      </c>
      <c r="U85" s="824">
        <v>14.4393643786693</v>
      </c>
      <c r="V85" s="824">
        <v>25.958810912088</v>
      </c>
      <c r="W85" s="894"/>
      <c r="X85" s="824">
        <v>7.91911377621961</v>
      </c>
      <c r="Y85" s="824">
        <v>16.6283937426752</v>
      </c>
      <c r="Z85" s="824">
        <v>4.20216421294114</v>
      </c>
      <c r="AA85" s="824">
        <v>4.55694492485424</v>
      </c>
      <c r="AB85" s="824">
        <v>18.8878823237003</v>
      </c>
      <c r="AC85" s="894"/>
      <c r="AD85" s="824">
        <v>8.9143</v>
      </c>
      <c r="AE85" s="824">
        <v>9.0885</v>
      </c>
      <c r="AF85" s="824">
        <v>7.3879</v>
      </c>
      <c r="AG85" s="824">
        <v>10.37</v>
      </c>
      <c r="AH85" s="824">
        <v>12.2552279657884</v>
      </c>
      <c r="AI85" s="894"/>
      <c r="AJ85" s="8"/>
      <c r="AK85" s="895"/>
      <c r="AL85" s="893"/>
      <c r="AM85" s="824"/>
      <c r="AN85" s="824"/>
      <c r="AO85" s="824"/>
      <c r="AP85" s="824"/>
      <c r="AQ85" s="894"/>
      <c r="AR85" s="893"/>
      <c r="AS85" s="824"/>
      <c r="AT85" s="824"/>
      <c r="AU85" s="824"/>
      <c r="AV85" s="824"/>
      <c r="AW85" s="894"/>
      <c r="AX85" s="893"/>
      <c r="AY85" s="824"/>
      <c r="AZ85" s="824"/>
      <c r="BA85" s="824"/>
      <c r="BB85" s="824"/>
      <c r="BC85" s="894"/>
      <c r="BD85" s="893"/>
      <c r="BE85" s="824"/>
      <c r="BF85" s="824"/>
      <c r="BG85" s="824"/>
      <c r="BH85" s="824"/>
      <c r="BI85" s="894"/>
      <c r="BJ85" s="8"/>
      <c r="BK85" s="895"/>
      <c r="BL85" s="893"/>
      <c r="BM85" s="824"/>
      <c r="BN85" s="824"/>
      <c r="BO85" s="824"/>
      <c r="BP85" s="824"/>
      <c r="BQ85" s="894"/>
      <c r="BR85" s="893"/>
      <c r="BS85" s="824"/>
      <c r="BT85" s="824"/>
      <c r="BU85" s="824"/>
      <c r="BV85" s="824"/>
      <c r="BW85" s="894"/>
      <c r="BX85" s="893"/>
      <c r="BY85" s="824"/>
      <c r="BZ85" s="824"/>
      <c r="CA85" s="824"/>
      <c r="CB85" s="824"/>
      <c r="CC85" s="894"/>
      <c r="CD85" s="893"/>
      <c r="CE85" s="824"/>
      <c r="CF85" s="824"/>
      <c r="CG85" s="824"/>
      <c r="CH85" s="824"/>
      <c r="CI85" s="894"/>
    </row>
    <row r="86" ht="14.25" customHeight="1" spans="1:87" x14ac:dyDescent="0.25">
      <c r="A86" s="8"/>
      <c r="B86" s="8"/>
      <c r="C86" s="8" t="s">
        <v>1067</v>
      </c>
      <c r="D86" s="8"/>
      <c r="E86" s="774">
        <f>AVERAGE(BM8:BQ19)</f>
        <v>25.08153198498405</v>
      </c>
      <c r="F86" s="774">
        <f>AVERAGE(BS8:BW19)</f>
        <v>19.390935509155117</v>
      </c>
      <c r="G86" s="774">
        <f>AVERAGE(BY8:CC19)</f>
        <v>9.982036835170295</v>
      </c>
      <c r="H86" s="774" t="e">
        <f>AVERAGE(CE8:CI19)</f>
        <v>#DIV/0!</v>
      </c>
      <c r="I86" s="75">
        <f t="shared" si="42"/>
        <v>1</v>
      </c>
      <c r="J86" s="7">
        <f t="shared" si="27"/>
        <v>2025</v>
      </c>
      <c r="K86" s="341" t="str">
        <f t="shared" si="18"/>
        <v>1Q25</v>
      </c>
      <c r="L86" s="893">
        <v>26.3034188034188</v>
      </c>
      <c r="M86" s="824">
        <v>26.2565995367604</v>
      </c>
      <c r="N86" s="824">
        <v>18.4047131745994</v>
      </c>
      <c r="O86" s="824">
        <v>13.529023600225</v>
      </c>
      <c r="P86" s="824">
        <v>30.9774804577422</v>
      </c>
      <c r="Q86" s="894"/>
      <c r="R86" s="824">
        <v>13.647978948397</v>
      </c>
      <c r="S86" s="894">
        <v>15.9827611737431</v>
      </c>
      <c r="T86" s="824">
        <v>11.3482416824152</v>
      </c>
      <c r="U86" s="824">
        <v>12.2000647574595</v>
      </c>
      <c r="V86" s="824">
        <v>22.6755070202808</v>
      </c>
      <c r="W86" s="894"/>
      <c r="X86" s="824">
        <v>16.0887649123307</v>
      </c>
      <c r="Y86" s="824">
        <v>18.7887560700616</v>
      </c>
      <c r="Z86" s="824">
        <v>5.30670035709351</v>
      </c>
      <c r="AA86" s="824">
        <v>4.40106713216027</v>
      </c>
      <c r="AB86" s="824">
        <v>21.6410866799374</v>
      </c>
      <c r="AC86" s="894"/>
      <c r="AD86" s="824">
        <v>10.8796</v>
      </c>
      <c r="AE86" s="824">
        <v>8.2095</v>
      </c>
      <c r="AF86" s="824">
        <v>7.7792</v>
      </c>
      <c r="AG86" s="824">
        <v>10.3136</v>
      </c>
      <c r="AH86" s="824">
        <v>11.8842641799077</v>
      </c>
      <c r="AI86" s="894"/>
      <c r="AJ86" s="8"/>
      <c r="AK86" s="895" t="str">
        <f>$K86</f>
        <v>1Q25</v>
      </c>
      <c r="AL86" s="893">
        <f>L86</f>
        <v>26.3034188034188</v>
      </c>
      <c r="AM86" s="824">
        <v>18.285283104649</v>
      </c>
      <c r="AN86" s="824">
        <v>15.531229783089</v>
      </c>
      <c r="AO86" s="824">
        <v>18.4342230802955</v>
      </c>
      <c r="AP86" s="824">
        <v>15.7918506010747</v>
      </c>
      <c r="AQ86" s="894">
        <v>13.3630724097093</v>
      </c>
      <c r="AR86" s="893">
        <f>R86</f>
        <v>13.647978948397</v>
      </c>
      <c r="AS86" s="824">
        <v>18.0372200865908</v>
      </c>
      <c r="AT86" s="824">
        <v>18.548904045644</v>
      </c>
      <c r="AU86" s="824">
        <v>17.3009847075473</v>
      </c>
      <c r="AV86" s="824">
        <v>15.0214839738927</v>
      </c>
      <c r="AW86" s="894">
        <v>12.1266380876433</v>
      </c>
      <c r="AX86" s="893">
        <f>X86</f>
        <v>16.0887649123307</v>
      </c>
      <c r="AY86" s="824">
        <v>12.7963238557254</v>
      </c>
      <c r="AZ86" s="824">
        <v>14.3983930880516</v>
      </c>
      <c r="BA86" s="824">
        <v>11.0784790142357</v>
      </c>
      <c r="BB86" s="824">
        <v>11.7401868085495</v>
      </c>
      <c r="BC86" s="894">
        <v>10.1213801363892</v>
      </c>
      <c r="BD86" s="893">
        <f>AD86</f>
        <v>10.8796</v>
      </c>
      <c r="BE86" s="824">
        <v>12.7838345671624</v>
      </c>
      <c r="BF86" s="824">
        <v>15.5062457521629</v>
      </c>
      <c r="BG86" s="824">
        <v>11.4931908863573</v>
      </c>
      <c r="BH86" s="824">
        <v>12.2156576237082</v>
      </c>
      <c r="BI86" s="894">
        <v>8.94832314922583</v>
      </c>
      <c r="BJ86" s="8"/>
      <c r="BK86" s="895" t="str">
        <f>$K86</f>
        <v>1Q25</v>
      </c>
      <c r="BL86" s="893">
        <f>AL86</f>
        <v>26.3034188034188</v>
      </c>
      <c r="BM86" s="824">
        <v>11.2645577634905</v>
      </c>
      <c r="BN86" s="824">
        <v>16.9769983363012</v>
      </c>
      <c r="BO86" s="824">
        <v>14.6397946127696</v>
      </c>
      <c r="BP86" s="824">
        <v>18.4969909334805</v>
      </c>
      <c r="BQ86" s="894">
        <v>17.0383556428308</v>
      </c>
      <c r="BR86" s="893">
        <f>AR86</f>
        <v>13.647978948397</v>
      </c>
      <c r="BS86" s="824">
        <v>11.0988919387388</v>
      </c>
      <c r="BT86" s="824">
        <v>17.1678038497184</v>
      </c>
      <c r="BU86" s="824">
        <v>15.3184158666614</v>
      </c>
      <c r="BV86" s="824">
        <v>20.2337090247079</v>
      </c>
      <c r="BW86" s="894">
        <v>17.0249074363471</v>
      </c>
      <c r="BX86" s="893">
        <f>AX86</f>
        <v>16.0887649123307</v>
      </c>
      <c r="BY86" s="824">
        <v>6.55210704601697</v>
      </c>
      <c r="BZ86" s="824">
        <v>7.58057147914367</v>
      </c>
      <c r="CA86" s="824"/>
      <c r="CB86" s="824">
        <v>15.7600485469973</v>
      </c>
      <c r="CC86" s="894">
        <v>13.1807660592666</v>
      </c>
      <c r="CD86" s="893">
        <f>BD86</f>
        <v>10.8796</v>
      </c>
      <c r="CE86" s="824">
        <v>6.6876218938895</v>
      </c>
      <c r="CF86" s="824">
        <v>13.0119608316293</v>
      </c>
      <c r="CG86" s="824">
        <v>12.4521138558247</v>
      </c>
      <c r="CH86" s="824">
        <v>14.1638045774507</v>
      </c>
      <c r="CI86" s="894">
        <v>11.7889497648763</v>
      </c>
    </row>
    <row r="87" ht="14.25" customHeight="1" spans="1:87" x14ac:dyDescent="0.25">
      <c r="A87" s="8"/>
      <c r="B87" s="8"/>
      <c r="C87" s="8" t="s">
        <v>1068</v>
      </c>
      <c r="D87" s="8"/>
      <c r="E87" s="774">
        <f>AVERAGE(BM16:BQ27)</f>
        <v>16.855510192182262</v>
      </c>
      <c r="F87" s="774">
        <f>AVERAGE(BS16:BW27)</f>
        <v>16.195028889155573</v>
      </c>
      <c r="G87" s="774">
        <f>AVERAGE(BY16:CC27)</f>
        <v>10.485944434620379</v>
      </c>
      <c r="H87" s="774">
        <f>AVERAGE(CE16:CI27)</f>
        <v>10.278506200183173</v>
      </c>
      <c r="I87" s="75">
        <f t="shared" si="42"/>
        <v>2</v>
      </c>
      <c r="J87" s="7">
        <f t="shared" si="27"/>
        <v>2025</v>
      </c>
      <c r="K87" s="341" t="str">
        <f t="shared" si="18"/>
        <v>2Q25</v>
      </c>
      <c r="L87" s="893">
        <v>33.5042735042735</v>
      </c>
      <c r="M87" s="824">
        <v>25.6437044299531</v>
      </c>
      <c r="N87" s="824">
        <v>17.6010563288557</v>
      </c>
      <c r="O87" s="824">
        <v>15.7416859565575</v>
      </c>
      <c r="P87" s="824">
        <v>31.8569544597443</v>
      </c>
      <c r="Q87" s="894"/>
      <c r="R87" s="824">
        <v>17.0417830746213</v>
      </c>
      <c r="S87" s="894">
        <v>18.0398894409989</v>
      </c>
      <c r="T87" s="824">
        <v>12.9148024565935</v>
      </c>
      <c r="U87" s="824">
        <v>14.0609442676711</v>
      </c>
      <c r="V87" s="824">
        <v>24.5219550212573</v>
      </c>
      <c r="W87" s="894"/>
      <c r="X87" s="824">
        <v>20.5152700204355</v>
      </c>
      <c r="Y87" s="824">
        <v>17.0449815346099</v>
      </c>
      <c r="Z87" s="824">
        <v>5.64265929391171</v>
      </c>
      <c r="AA87" s="824">
        <v>5.03385322387447</v>
      </c>
      <c r="AB87" s="824">
        <v>21.7478691270865</v>
      </c>
      <c r="AC87" s="894"/>
      <c r="AD87" s="824">
        <v>10.4008</v>
      </c>
      <c r="AE87" s="824">
        <v>9.8048</v>
      </c>
      <c r="AF87" s="824">
        <v>9.0366</v>
      </c>
      <c r="AG87" s="824">
        <v>15.1997</v>
      </c>
      <c r="AH87" s="824">
        <v>11.8842641799077</v>
      </c>
      <c r="AI87" s="894"/>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4">
        <f>AVERAGE(BM24:BQ35)</f>
        <v>14.892234450874573</v>
      </c>
      <c r="F88" s="774">
        <f>AVERAGE(BS24:BW35)</f>
        <v>14.540423109972403</v>
      </c>
      <c r="G88" s="774">
        <f>AVERAGE(BY24:CC35)</f>
        <v>8.87013984911078</v>
      </c>
      <c r="H88" s="774">
        <f>AVERAGE(CE24:CI35)</f>
        <v>8.944867809388638</v>
      </c>
      <c r="I88" s="75">
        <f t="shared" si="42"/>
        <v>3</v>
      </c>
      <c r="J88" s="7">
        <f t="shared" si="27"/>
        <v>2025</v>
      </c>
      <c r="K88" s="341" t="str">
        <f t="shared" si="18"/>
        <v>3Q25</v>
      </c>
      <c r="L88" s="893">
        <v>18.8829020380281</v>
      </c>
      <c r="M88" s="824">
        <v>19.2816266636106</v>
      </c>
      <c r="N88" s="824">
        <v>13.8747723049182</v>
      </c>
      <c r="O88" s="824">
        <v>13.344501303661</v>
      </c>
      <c r="P88" s="824">
        <v>27.8350277367865</v>
      </c>
      <c r="Q88" s="894"/>
      <c r="R88" s="824">
        <v>16.9934170729104</v>
      </c>
      <c r="S88" s="894">
        <v>20.4265432883271</v>
      </c>
      <c r="T88" s="824">
        <v>12.8796621528118</v>
      </c>
      <c r="U88" s="824">
        <v>14.7626514611547</v>
      </c>
      <c r="V88" s="824">
        <v>24.7117828724108</v>
      </c>
      <c r="W88" s="894"/>
      <c r="X88" s="824">
        <v>10.922377670045</v>
      </c>
      <c r="Y88" s="824">
        <v>13.8141527160098</v>
      </c>
      <c r="Z88" s="824">
        <v>4.66164766955947</v>
      </c>
      <c r="AA88" s="824">
        <v>4.45859784043675</v>
      </c>
      <c r="AB88" s="824">
        <v>18.3855745835371</v>
      </c>
      <c r="AC88" s="894"/>
      <c r="AD88" s="824">
        <v>11.2501</v>
      </c>
      <c r="AE88" s="824">
        <v>10.4905</v>
      </c>
      <c r="AF88" s="824">
        <v>9.1343</v>
      </c>
      <c r="AG88" s="824">
        <v>14.5191</v>
      </c>
      <c r="AH88" s="824">
        <v>11.8842641799077</v>
      </c>
      <c r="AI88" s="894"/>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4">
        <f>AVERAGE(BM36:BQ75)</f>
        <v>27.20363279358067</v>
      </c>
      <c r="F89" s="774">
        <f>AVERAGE(BS36:BW75)</f>
        <v>15.825453469779573</v>
      </c>
      <c r="G89" s="774">
        <f>AVERAGE(BY36:CC75)</f>
        <v>10.073825521986931</v>
      </c>
      <c r="H89" s="774">
        <f>AVERAGE(CE36:CI75)</f>
        <v>9.199869185829074</v>
      </c>
      <c r="I89" s="75">
        <f t="shared" si="42"/>
        <v>4</v>
      </c>
      <c r="J89" s="7">
        <f t="shared" si="27"/>
        <v>2025</v>
      </c>
      <c r="K89" s="341" t="str">
        <f t="shared" si="18"/>
        <v>4Q25</v>
      </c>
      <c r="L89" s="893">
        <v>21.0592547126292</v>
      </c>
      <c r="M89" s="824">
        <v>20.2375085773135</v>
      </c>
      <c r="N89" s="824">
        <v>14.7252920014904</v>
      </c>
      <c r="O89" s="824">
        <v>14.5116238229826</v>
      </c>
      <c r="P89" s="824">
        <v>25.9208528832069</v>
      </c>
      <c r="Q89" s="894"/>
      <c r="R89" s="824">
        <v>14.7331379254193</v>
      </c>
      <c r="S89" s="894">
        <v>18.2664336604382</v>
      </c>
      <c r="T89" s="824">
        <v>13.4645161290323</v>
      </c>
      <c r="U89" s="824">
        <v>12.9912354288589</v>
      </c>
      <c r="V89" s="824">
        <v>20.3355586276503</v>
      </c>
      <c r="W89" s="894"/>
      <c r="X89" s="824">
        <v>15.4305322031409</v>
      </c>
      <c r="Y89" s="824">
        <v>18.0926062311924</v>
      </c>
      <c r="Z89" s="824">
        <v>5.22064535811223</v>
      </c>
      <c r="AA89" s="824">
        <v>5.01834716063461</v>
      </c>
      <c r="AB89" s="824">
        <v>18.3442009690226</v>
      </c>
      <c r="AC89" s="894"/>
      <c r="AD89" s="824">
        <v>12.8806</v>
      </c>
      <c r="AE89" s="824">
        <v>9.0131</v>
      </c>
      <c r="AF89" s="824">
        <v>9.2598</v>
      </c>
      <c r="AG89" s="824">
        <v>12.4643</v>
      </c>
      <c r="AH89" s="824">
        <v>11.8842641799077</v>
      </c>
      <c r="AI89" s="894"/>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4">
        <f>AVERAGE(BM36:BQ51)</f>
        <v>15.126464651316216</v>
      </c>
      <c r="F90" s="774">
        <f>AVERAGE(BS36:BW51)</f>
        <v>14.60348394048503</v>
      </c>
      <c r="G90" s="774">
        <f>AVERAGE(BY36:CC51)</f>
        <v>8.170565698635658</v>
      </c>
      <c r="H90" s="774">
        <f>AVERAGE(CE36:CI51)</f>
        <v>7.715030716735617</v>
      </c>
      <c r="I90" s="774"/>
      <c r="J90" s="8"/>
      <c r="K90" s="75" t="s">
        <v>671</v>
      </c>
      <c r="L90" s="893">
        <v>22.660530565391</v>
      </c>
      <c r="M90" s="824">
        <v>24.5118054234957</v>
      </c>
      <c r="N90" s="824">
        <v>15.8533627515413</v>
      </c>
      <c r="O90" s="824">
        <v>16.6397660329352</v>
      </c>
      <c r="P90" s="824">
        <v>29.4852785426816</v>
      </c>
      <c r="Q90" s="894"/>
      <c r="R90" s="824">
        <v>8.4870907770692</v>
      </c>
      <c r="S90" s="894">
        <v>14.6050594250557</v>
      </c>
      <c r="T90" s="824">
        <v>11.0649286948509</v>
      </c>
      <c r="U90" s="824">
        <v>11.8202590610645</v>
      </c>
      <c r="V90" s="824">
        <v>17.3551218631147</v>
      </c>
      <c r="W90" s="894"/>
      <c r="X90" s="824">
        <v>15.9010696486295</v>
      </c>
      <c r="Y90" s="824">
        <v>20.7877665554352</v>
      </c>
      <c r="Z90" s="824">
        <v>6.24558401871747</v>
      </c>
      <c r="AA90" s="824">
        <v>5.92266549594292</v>
      </c>
      <c r="AB90" s="824">
        <v>20.6694564755149</v>
      </c>
      <c r="AC90" s="894"/>
      <c r="AD90" s="824">
        <v>11.8</v>
      </c>
      <c r="AE90" s="824">
        <v>9.8194</v>
      </c>
      <c r="AF90" s="824">
        <v>9.3292</v>
      </c>
      <c r="AG90" s="824">
        <v>13.3727</v>
      </c>
      <c r="AH90" s="824">
        <v>11.8842641799077</v>
      </c>
      <c r="AI90" s="894"/>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4">
        <f>AVERAGE(BM48:BQ63)</f>
        <v>15.360279171429923</v>
      </c>
      <c r="F91" s="774">
        <f>AVERAGE(BS48:BW63)</f>
        <v>14.410938400731766</v>
      </c>
      <c r="G91" s="774">
        <f>AVERAGE(BY48:CC63)</f>
        <v>9.464302022430516</v>
      </c>
      <c r="H91" s="774">
        <f>AVERAGE(CE48:CI63)</f>
        <v>8.473011498794126</v>
      </c>
      <c r="I91" s="774"/>
      <c r="J91" s="8"/>
      <c r="K91" s="75"/>
      <c r="L91" s="896"/>
      <c r="M91" s="896"/>
      <c r="N91" s="896"/>
      <c r="O91" s="896"/>
      <c r="P91" s="896"/>
      <c r="Q91" s="896"/>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4">
        <f>AVERAGE(BM60:BQ75)</f>
        <v>45.38155669503511</v>
      </c>
      <c r="F92" s="774">
        <f>AVERAGE(BS60:BW75)</f>
        <v>17.69359258907459</v>
      </c>
      <c r="G92" s="774">
        <f>AVERAGE(BY60:CC75)</f>
        <v>12.404240663294244</v>
      </c>
      <c r="H92" s="774">
        <f>AVERAGE(CE60:CI75)</f>
        <v>11.046036788960452</v>
      </c>
      <c r="I92" s="774"/>
      <c r="J92" s="8"/>
      <c r="K92" s="75"/>
      <c r="L92" s="896"/>
      <c r="M92" s="896"/>
      <c r="N92" s="896"/>
      <c r="O92" s="896"/>
      <c r="P92" s="896"/>
      <c r="Q92" s="896"/>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6"/>
      <c r="M93" s="896"/>
      <c r="N93" s="896"/>
      <c r="O93" s="896"/>
      <c r="P93" s="896"/>
      <c r="Q93" s="896"/>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6"/>
      <c r="M94" s="896"/>
      <c r="N94" s="896"/>
      <c r="O94" s="896"/>
      <c r="P94" s="896"/>
      <c r="Q94" s="896"/>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6"/>
      <c r="M95" s="896"/>
      <c r="N95" s="896"/>
      <c r="O95" s="896"/>
      <c r="P95" s="896"/>
      <c r="Q95" s="896"/>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6"/>
      <c r="M96" s="896"/>
      <c r="N96" s="896"/>
      <c r="O96" s="896"/>
      <c r="P96" s="896"/>
      <c r="Q96" s="896"/>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6"/>
      <c r="M97" s="896"/>
      <c r="N97" s="896"/>
      <c r="O97" s="896"/>
      <c r="P97" s="896"/>
      <c r="Q97" s="896"/>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6"/>
      <c r="M98" s="896"/>
      <c r="N98" s="896"/>
      <c r="O98" s="896"/>
      <c r="P98" s="896"/>
      <c r="Q98" s="896"/>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6"/>
      <c r="M99" s="896"/>
      <c r="N99" s="896"/>
      <c r="O99" s="896"/>
      <c r="P99" s="896"/>
      <c r="Q99" s="896"/>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6"/>
      <c r="M100" s="896"/>
      <c r="N100" s="896"/>
      <c r="O100" s="896"/>
      <c r="P100" s="896"/>
      <c r="Q100" s="896"/>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6"/>
      <c r="M101" s="896"/>
      <c r="N101" s="896"/>
      <c r="O101" s="896"/>
      <c r="P101" s="896"/>
      <c r="Q101" s="896"/>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6"/>
      <c r="M102" s="896"/>
      <c r="N102" s="896"/>
      <c r="O102" s="896"/>
      <c r="P102" s="896"/>
      <c r="Q102" s="896"/>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6"/>
      <c r="M103" s="896"/>
      <c r="N103" s="896"/>
      <c r="O103" s="896"/>
      <c r="P103" s="896"/>
      <c r="Q103" s="896"/>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6"/>
      <c r="M104" s="896"/>
      <c r="N104" s="896"/>
      <c r="O104" s="896"/>
      <c r="P104" s="896"/>
      <c r="Q104" s="89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6"/>
      <c r="M105" s="896"/>
      <c r="N105" s="896"/>
      <c r="O105" s="896"/>
      <c r="P105" s="896"/>
      <c r="Q105" s="89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6"/>
      <c r="M106" s="896"/>
      <c r="N106" s="896"/>
      <c r="O106" s="896"/>
      <c r="P106" s="896"/>
      <c r="Q106" s="89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6"/>
      <c r="M107" s="896"/>
      <c r="N107" s="896"/>
      <c r="O107" s="896"/>
      <c r="P107" s="896"/>
      <c r="Q107" s="896"/>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6"/>
      <c r="M108" s="896"/>
      <c r="N108" s="896"/>
      <c r="O108" s="896"/>
      <c r="P108" s="896"/>
      <c r="Q108" s="896"/>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6"/>
      <c r="M109" s="896"/>
      <c r="N109" s="896"/>
      <c r="O109" s="896"/>
      <c r="P109" s="896"/>
      <c r="Q109" s="896"/>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6"/>
      <c r="M110" s="896"/>
      <c r="N110" s="896"/>
      <c r="O110" s="896"/>
      <c r="P110" s="896"/>
      <c r="Q110" s="896"/>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6"/>
      <c r="M111" s="896"/>
      <c r="N111" s="896"/>
      <c r="O111" s="896"/>
      <c r="P111" s="896"/>
      <c r="Q111" s="896"/>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6"/>
      <c r="M112" s="896"/>
      <c r="N112" s="896"/>
      <c r="O112" s="896"/>
      <c r="P112" s="896"/>
      <c r="Q112" s="896"/>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6"/>
      <c r="M113" s="896"/>
      <c r="N113" s="896"/>
      <c r="O113" s="896"/>
      <c r="P113" s="896"/>
      <c r="Q113" s="896"/>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6"/>
      <c r="M114" s="896"/>
      <c r="N114" s="896"/>
      <c r="O114" s="896"/>
      <c r="P114" s="896"/>
      <c r="Q114" s="896"/>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6"/>
      <c r="M115" s="896"/>
      <c r="N115" s="896"/>
      <c r="O115" s="896"/>
      <c r="P115" s="896"/>
      <c r="Q115" s="896"/>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6"/>
      <c r="M116" s="896"/>
      <c r="N116" s="896"/>
      <c r="O116" s="896"/>
      <c r="P116" s="896"/>
      <c r="Q116" s="896"/>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6"/>
      <c r="M117" s="896"/>
      <c r="N117" s="896"/>
      <c r="O117" s="896"/>
      <c r="P117" s="896"/>
      <c r="Q117" s="896"/>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6"/>
      <c r="M118" s="896"/>
      <c r="N118" s="896"/>
      <c r="O118" s="896"/>
      <c r="P118" s="896"/>
      <c r="Q118" s="896"/>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6"/>
      <c r="M119" s="896"/>
      <c r="N119" s="896"/>
      <c r="O119" s="896"/>
      <c r="P119" s="896"/>
      <c r="Q119" s="896"/>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6"/>
      <c r="M120" s="896"/>
      <c r="N120" s="896"/>
      <c r="O120" s="896"/>
      <c r="P120" s="896"/>
      <c r="Q120" s="896"/>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6"/>
      <c r="M121" s="896"/>
      <c r="N121" s="896"/>
      <c r="O121" s="896"/>
      <c r="P121" s="896"/>
      <c r="Q121" s="896"/>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6"/>
      <c r="M122" s="896"/>
      <c r="N122" s="896"/>
      <c r="O122" s="896"/>
      <c r="P122" s="896"/>
      <c r="Q122" s="896"/>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6"/>
      <c r="M123" s="896"/>
      <c r="N123" s="896"/>
      <c r="O123" s="896"/>
      <c r="P123" s="896"/>
      <c r="Q123" s="896"/>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6"/>
      <c r="M124" s="896"/>
      <c r="N124" s="896"/>
      <c r="O124" s="896"/>
      <c r="P124" s="896"/>
      <c r="Q124" s="896"/>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6"/>
      <c r="M125" s="896"/>
      <c r="N125" s="896"/>
      <c r="O125" s="896"/>
      <c r="P125" s="896"/>
      <c r="Q125" s="896"/>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6"/>
      <c r="M126" s="896"/>
      <c r="N126" s="896"/>
      <c r="O126" s="896"/>
      <c r="P126" s="896"/>
      <c r="Q126" s="896"/>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6"/>
      <c r="M127" s="896"/>
      <c r="N127" s="896"/>
      <c r="O127" s="896"/>
      <c r="P127" s="896"/>
      <c r="Q127" s="896"/>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6"/>
      <c r="M128" s="896"/>
      <c r="N128" s="896"/>
      <c r="O128" s="896"/>
      <c r="P128" s="896"/>
      <c r="Q128" s="896"/>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6"/>
      <c r="M129" s="896"/>
      <c r="N129" s="896"/>
      <c r="O129" s="896"/>
      <c r="P129" s="896"/>
      <c r="Q129" s="896"/>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6"/>
      <c r="M130" s="896"/>
      <c r="N130" s="896"/>
      <c r="O130" s="896"/>
      <c r="P130" s="896"/>
      <c r="Q130" s="896"/>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6"/>
      <c r="M131" s="896"/>
      <c r="N131" s="896"/>
      <c r="O131" s="896"/>
      <c r="P131" s="896"/>
      <c r="Q131" s="896"/>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6"/>
      <c r="M132" s="896"/>
      <c r="N132" s="896"/>
      <c r="O132" s="896"/>
      <c r="P132" s="896"/>
      <c r="Q132" s="896"/>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6"/>
      <c r="M133" s="896"/>
      <c r="N133" s="896"/>
      <c r="O133" s="896"/>
      <c r="P133" s="896"/>
      <c r="Q133" s="896"/>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6"/>
      <c r="M134" s="896"/>
      <c r="N134" s="896"/>
      <c r="O134" s="896"/>
      <c r="P134" s="896"/>
      <c r="Q134" s="896"/>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6"/>
      <c r="M135" s="896"/>
      <c r="N135" s="896"/>
      <c r="O135" s="896"/>
      <c r="P135" s="896"/>
      <c r="Q135" s="896"/>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6"/>
      <c r="M136" s="896"/>
      <c r="N136" s="8"/>
      <c r="O136" s="896"/>
      <c r="P136" s="896"/>
      <c r="Q136" s="896"/>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6"/>
      <c r="M137" s="896"/>
      <c r="N137" s="8"/>
      <c r="O137" s="896"/>
      <c r="P137" s="896"/>
      <c r="Q137" s="896"/>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6"/>
      <c r="M138" s="896"/>
      <c r="N138" s="8"/>
      <c r="O138" s="896"/>
      <c r="P138" s="896"/>
      <c r="Q138" s="896"/>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6"/>
      <c r="M139" s="896"/>
      <c r="N139" s="8"/>
      <c r="O139" s="896"/>
      <c r="P139" s="896"/>
      <c r="Q139" s="896"/>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6"/>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7">
        <f>Summary!T$6</f>
        <v>2023</v>
      </c>
      <c r="E6" s="897">
        <f>Summary!U$6</f>
        <v>2024</v>
      </c>
      <c r="F6" s="897">
        <f>Summary!V$6</f>
        <v>2025</v>
      </c>
      <c r="G6" s="897" t="str">
        <f>Summary!W$6</f>
        <v>2026e</v>
      </c>
      <c r="H6" s="897" t="str">
        <f>Summary!X$6</f>
        <v>2027e</v>
      </c>
      <c r="I6" s="898" t="str">
        <f>Summary!Y$6</f>
        <v>2028e</v>
      </c>
      <c r="J6" s="8"/>
      <c r="K6" s="899"/>
      <c r="L6" s="8"/>
      <c r="M6" s="8"/>
      <c r="N6" s="8"/>
      <c r="O6" s="8"/>
      <c r="P6" s="8"/>
      <c r="Q6" s="8"/>
      <c r="R6" s="8"/>
      <c r="S6" s="8"/>
      <c r="T6" s="8"/>
      <c r="U6" s="8"/>
      <c r="V6" s="8"/>
      <c r="W6" s="8"/>
      <c r="X6" s="8"/>
      <c r="Y6" s="8"/>
      <c r="Z6" s="8"/>
      <c r="AA6" s="8"/>
      <c r="AB6" s="8"/>
      <c r="AC6" s="8"/>
      <c r="AD6" s="8"/>
    </row>
    <row r="7" spans="1:30" x14ac:dyDescent="0.25">
      <c r="A7" s="9"/>
      <c r="B7" s="8"/>
      <c r="C7" s="900" t="s">
        <v>262</v>
      </c>
      <c r="D7" s="901" t="e">
        <f>Summary!T16</f>
        <v>#DIV/0!</v>
      </c>
      <c r="E7" s="901" t="e">
        <f>Summary!U16</f>
        <v>#DIV/0!</v>
      </c>
      <c r="F7" s="901" t="e">
        <f>Summary!V16</f>
        <v>#DIV/0!</v>
      </c>
      <c r="G7" s="901" t="e">
        <f>Summary!W16</f>
        <v>#DIV/0!</v>
      </c>
      <c r="H7" s="901" t="e">
        <f>Summary!X16</f>
        <v>#DIV/0!</v>
      </c>
      <c r="I7" s="901">
        <f>Summary!Y16</f>
        <v>0.11752345321237234</v>
      </c>
      <c r="J7" s="8"/>
      <c r="K7" s="8"/>
      <c r="L7" s="8"/>
      <c r="M7" s="8"/>
      <c r="N7" s="8"/>
      <c r="O7" s="8"/>
      <c r="P7" s="8"/>
      <c r="Q7" s="8"/>
      <c r="R7" s="8"/>
      <c r="S7" s="8"/>
      <c r="T7" s="8"/>
      <c r="U7" s="8"/>
      <c r="V7" s="8"/>
      <c r="W7" s="8"/>
      <c r="X7" s="8"/>
      <c r="Y7" s="8"/>
      <c r="Z7" s="902"/>
      <c r="AA7" s="8"/>
      <c r="AB7" s="8"/>
      <c r="AC7" s="8"/>
      <c r="AD7" s="8"/>
    </row>
    <row r="8" spans="1:30" x14ac:dyDescent="0.25">
      <c r="A8" s="9"/>
      <c r="B8" s="8"/>
      <c r="C8" s="900" t="s">
        <v>279</v>
      </c>
      <c r="D8" s="901" t="e">
        <f>Summary!T28</f>
        <v>#DIV/0!</v>
      </c>
      <c r="E8" s="901" t="e">
        <f>Summary!U28</f>
        <v>#DIV/0!</v>
      </c>
      <c r="F8" s="901" t="e">
        <f>Summary!V28</f>
        <v>#DIV/0!</v>
      </c>
      <c r="G8" s="901">
        <f>Summary!W28</f>
        <v>0.11649143647566158</v>
      </c>
      <c r="H8" s="901">
        <f>Summary!X28</f>
        <v>0.13734252830220534</v>
      </c>
      <c r="I8" s="901">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3" t="s">
        <v>1075</v>
      </c>
      <c r="D9" s="904" t="e">
        <f>Summary!T20</f>
        <v>#DIV/0!</v>
      </c>
      <c r="E9" s="904" t="e">
        <f>Summary!U20</f>
        <v>#DIV/0!</v>
      </c>
      <c r="F9" s="904" t="e">
        <f>Summary!V20</f>
        <v>#DIV/0!</v>
      </c>
      <c r="G9" s="904">
        <f>Summary!W20</f>
        <v>0.08231229902554571</v>
      </c>
      <c r="H9" s="904">
        <f>Summary!X20</f>
        <v>0.09642142480780298</v>
      </c>
      <c r="I9" s="904">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7">
        <f t="shared" ref="D30:I30" si="0">D6</f>
        <v>2023</v>
      </c>
      <c r="E30" s="897">
        <f t="shared" si="0"/>
        <v>2024</v>
      </c>
      <c r="F30" s="897">
        <f t="shared" si="0"/>
        <v>2025</v>
      </c>
      <c r="G30" s="897" t="str">
        <f t="shared" si="0"/>
        <v>2026e</v>
      </c>
      <c r="H30" s="897" t="str">
        <f t="shared" si="0"/>
        <v>2027e</v>
      </c>
      <c r="I30" s="898" t="str">
        <f t="shared" si="0"/>
        <v>2028e</v>
      </c>
      <c r="J30" s="8"/>
      <c r="K30" s="188"/>
      <c r="L30" s="897">
        <f t="shared" ref="L30:Q30" si="1">D30</f>
        <v>2023</v>
      </c>
      <c r="M30" s="897">
        <f t="shared" si="1"/>
        <v>2024</v>
      </c>
      <c r="N30" s="897">
        <f t="shared" si="1"/>
        <v>2025</v>
      </c>
      <c r="O30" s="897" t="str">
        <f t="shared" si="1"/>
        <v>2026e</v>
      </c>
      <c r="P30" s="897" t="str">
        <f t="shared" si="1"/>
        <v>2027e</v>
      </c>
      <c r="Q30" s="898" t="str">
        <f t="shared" si="1"/>
        <v>2028e</v>
      </c>
      <c r="R30" s="8"/>
      <c r="S30" s="8"/>
      <c r="T30" s="8"/>
      <c r="U30" s="8"/>
      <c r="V30" s="8"/>
      <c r="W30" s="8"/>
      <c r="X30" s="8"/>
      <c r="Y30" s="8"/>
      <c r="Z30" s="8"/>
      <c r="AA30" s="8"/>
      <c r="AB30" s="8"/>
      <c r="AC30" s="8"/>
      <c r="AD30" s="8"/>
    </row>
    <row r="31" ht="15.75" customHeight="1" spans="1:30" x14ac:dyDescent="0.25">
      <c r="A31" s="9"/>
      <c r="B31" s="8"/>
      <c r="C31" s="905" t="str">
        <f>C28</f>
        <v>Investment Banking &amp; Capital Markets Revenue</v>
      </c>
      <c r="D31" s="878">
        <f t="array" ref="D31">INDEX(Revenue_Data_Summary,MATCH($C31,'Revenue Build'!$C$28:$C$49,0),MATCH(Charts!D$30,'Revenue Build'!$C$28:$AG$28,0))</f>
        <v>0</v>
      </c>
      <c r="E31" s="878">
        <f t="array" ref="E31">INDEX(Revenue_Data_Summary,MATCH($C31,'Revenue Build'!$C$28:$C$49,0),MATCH(Charts!E$30,'Revenue Build'!$C$28:$AG$28,0))</f>
        <v>0</v>
      </c>
      <c r="F31" s="878">
        <f t="array" ref="F31">INDEX(Revenue_Data_Summary,MATCH($C31,'Revenue Build'!$C$28:$C$49,0),MATCH(Charts!F$30,'Revenue Build'!$C$28:$AG$28,0))</f>
        <v>0</v>
      </c>
      <c r="G31" s="878">
        <f t="array" ref="G31">INDEX(Revenue_Data_Summary,MATCH($C31,'Revenue Build'!$C$28:$C$49,0),MATCH(Charts!G$30,'Revenue Build'!$C$28:$AG$28,0))</f>
        <v>0</v>
      </c>
      <c r="H31" s="878">
        <f t="array" ref="H31">INDEX(Revenue_Data_Summary,MATCH($C31,'Revenue Build'!$C$28:$C$49,0),MATCH(Charts!H$30,'Revenue Build'!$C$28:$AG$28,0))</f>
        <v>0</v>
      </c>
      <c r="I31" s="878">
        <f t="array" ref="I31">INDEX(Revenue_Data_Summary,MATCH($C31,'Revenue Build'!$C$28:$C$49,0),MATCH(Charts!I$30,'Revenue Build'!$C$28:$AG$28,0))</f>
        <v>0</v>
      </c>
      <c r="J31" s="8"/>
      <c r="K31" s="905" t="str">
        <f>K28</f>
        <v>Total Company Revenue</v>
      </c>
      <c r="L31" s="878">
        <f t="array" ref="L31">INDEX(Revenue_Data_Summary,MATCH($K31,'Revenue Build'!$C$28:$C$49,0),MATCH(Charts!L$30,'Revenue Build'!$C$28:$AG$28,0))</f>
        <v>0</v>
      </c>
      <c r="M31" s="878">
        <f t="array" ref="M31">INDEX(Revenue_Data_Summary,MATCH($K31,'Revenue Build'!$C$28:$C$49,0),MATCH(Charts!M$30,'Revenue Build'!$C$28:$AG$28,0))</f>
        <v>0</v>
      </c>
      <c r="N31" s="878">
        <f t="array" ref="N31">INDEX(Revenue_Data_Summary,MATCH($K31,'Revenue Build'!$C$28:$C$49,0),MATCH(Charts!N$30,'Revenue Build'!$C$28:$AG$28,0))</f>
        <v>0</v>
      </c>
      <c r="O31" s="878">
        <f t="array" ref="O31">INDEX(Revenue_Data_Summary,MATCH($K31,'Revenue Build'!$C$28:$C$49,0),MATCH(Charts!O$30,'Revenue Build'!$C$28:$AG$28,0))</f>
        <v>0</v>
      </c>
      <c r="P31" s="878">
        <f t="array" ref="P31">INDEX(Revenue_Data_Summary,MATCH($K31,'Revenue Build'!$C$28:$C$49,0),MATCH(Charts!P$30,'Revenue Build'!$C$28:$AG$28,0))</f>
        <v>0</v>
      </c>
      <c r="Q31" s="878">
        <f t="array" ref="Q31">INDEX(Revenue_Data_Summary,MATCH($K31,'Revenue Build'!$C$28:$C$49,0),MATCH(Charts!Q$30,'Revenue Build'!$C$28:$AG$28,0))</f>
        <v>0</v>
      </c>
      <c r="R31" s="8"/>
      <c r="S31" s="8"/>
      <c r="T31" s="8"/>
      <c r="U31" s="8"/>
      <c r="V31" s="8"/>
      <c r="W31" s="8"/>
      <c r="X31" s="8"/>
      <c r="Y31" s="8"/>
      <c r="Z31" s="8"/>
      <c r="AA31" s="8"/>
      <c r="AB31" s="8"/>
      <c r="AC31" s="8"/>
      <c r="AD31" s="8"/>
    </row>
    <row r="32" ht="15.75" customHeight="1" spans="1:30" x14ac:dyDescent="0.25">
      <c r="A32" s="9"/>
      <c r="B32" s="8"/>
      <c r="C32" s="903" t="s">
        <v>1076</v>
      </c>
      <c r="D32" s="906">
        <v>0.213</v>
      </c>
      <c r="E32" s="907" t="e">
        <f t="shared" ref="E32:I32" si="2">E31/D31-1</f>
        <v>#DIV/0!</v>
      </c>
      <c r="F32" s="907" t="e">
        <f t="shared" si="2"/>
        <v>#DIV/0!</v>
      </c>
      <c r="G32" s="907" t="e">
        <f t="shared" si="2"/>
        <v>#DIV/0!</v>
      </c>
      <c r="H32" s="907" t="e">
        <f t="shared" si="2"/>
        <v>#DIV/0!</v>
      </c>
      <c r="I32" s="907" t="e">
        <f t="shared" si="2"/>
        <v>#DIV/0!</v>
      </c>
      <c r="J32" s="8"/>
      <c r="K32" s="903" t="s">
        <v>1076</v>
      </c>
      <c r="L32" s="906">
        <v>0.213</v>
      </c>
      <c r="M32" s="907" t="e">
        <f t="shared" ref="M32:Q32" si="3">M31/L31-1</f>
        <v>#DIV/0!</v>
      </c>
      <c r="N32" s="907" t="e">
        <f t="shared" si="3"/>
        <v>#DIV/0!</v>
      </c>
      <c r="O32" s="907" t="e">
        <f t="shared" si="3"/>
        <v>#DIV/0!</v>
      </c>
      <c r="P32" s="907" t="e">
        <f t="shared" si="3"/>
        <v>#DIV/0!</v>
      </c>
      <c r="Q32" s="907" t="e">
        <f t="shared" si="3"/>
        <v>#DIV/0!</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8"/>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8"/>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7">
        <f t="shared" ref="D50:I50" si="4">D30</f>
        <v>2023</v>
      </c>
      <c r="E50" s="897">
        <f t="shared" si="4"/>
        <v>2024</v>
      </c>
      <c r="F50" s="897">
        <f t="shared" si="4"/>
        <v>2025</v>
      </c>
      <c r="G50" s="897" t="str">
        <f t="shared" si="4"/>
        <v>2026e</v>
      </c>
      <c r="H50" s="897" t="str">
        <f t="shared" si="4"/>
        <v>2027e</v>
      </c>
      <c r="I50" s="898" t="str">
        <f t="shared" si="4"/>
        <v>2028e</v>
      </c>
      <c r="J50" s="8"/>
      <c r="K50" s="188"/>
      <c r="L50" s="897">
        <f t="shared" ref="L50:Q50" si="5">L30</f>
        <v>2023</v>
      </c>
      <c r="M50" s="897">
        <f t="shared" si="5"/>
        <v>2024</v>
      </c>
      <c r="N50" s="897">
        <f t="shared" si="5"/>
        <v>2025</v>
      </c>
      <c r="O50" s="897" t="str">
        <f t="shared" si="5"/>
        <v>2026e</v>
      </c>
      <c r="P50" s="897" t="str">
        <f t="shared" si="5"/>
        <v>2027e</v>
      </c>
      <c r="Q50" s="898"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5" t="str">
        <f>C48</f>
        <v>Asset Management and Other</v>
      </c>
      <c r="D51" s="878">
        <f t="array" ref="D51">INDEX(Revenue_Data_Summary,MATCH($C51,'Revenue Build'!$C$28:$C$49,0),MATCH(Charts!D$50,'Revenue Build'!$C$28:$AG$28,0))</f>
        <v>0</v>
      </c>
      <c r="E51" s="878">
        <f t="array" ref="E51">INDEX(Revenue_Data_Summary,MATCH($C51,'Revenue Build'!$C$28:$C$49,0),MATCH(Charts!E$50,'Revenue Build'!$C$28:$AG$28,0))</f>
        <v>0</v>
      </c>
      <c r="F51" s="878">
        <f t="array" ref="F51">INDEX(Revenue_Data_Summary,MATCH($C51,'Revenue Build'!$C$28:$C$49,0),MATCH(Charts!F$50,'Revenue Build'!$C$28:$AG$28,0))</f>
        <v>0</v>
      </c>
      <c r="G51" s="878">
        <f t="array" ref="G51">INDEX(Revenue_Data_Summary,MATCH($C51,'Revenue Build'!$C$28:$C$49,0),MATCH(Charts!G$50,'Revenue Build'!$C$28:$AG$28,0))</f>
        <v>0</v>
      </c>
      <c r="H51" s="878">
        <f t="array" ref="H51">INDEX(Revenue_Data_Summary,MATCH($C51,'Revenue Build'!$C$28:$C$49,0),MATCH(Charts!H$50,'Revenue Build'!$C$28:$AG$28,0))</f>
        <v>0</v>
      </c>
      <c r="I51" s="878">
        <f t="array" ref="I51">INDEX(Revenue_Data_Summary,MATCH($C51,'Revenue Build'!$C$28:$C$49,0),MATCH(Charts!I$50,'Revenue Build'!$C$28:$AG$28,0))</f>
        <v>0</v>
      </c>
      <c r="J51" s="8"/>
      <c r="K51" s="905" t="str">
        <f>K48</f>
        <v> Revenue</v>
      </c>
      <c r="L51" s="878">
        <f t="array" ref="L51">INDEX(Revenue_Data_Summary,MATCH($K51,'Revenue Build'!$C$28:$C$49,0),MATCH(Charts!L$50,'Revenue Build'!$C$28:$AG$28,0))</f>
        <v>0</v>
      </c>
      <c r="M51" s="878">
        <f t="array" ref="M51">INDEX(Revenue_Data_Summary,MATCH($K51,'Revenue Build'!$C$28:$C$49,0),MATCH(Charts!M$50,'Revenue Build'!$C$28:$AG$28,0))</f>
        <v>0</v>
      </c>
      <c r="N51" s="878">
        <f t="array" ref="N51">INDEX(Revenue_Data_Summary,MATCH($K51,'Revenue Build'!$C$28:$C$49,0),MATCH(Charts!N$50,'Revenue Build'!$C$28:$AG$28,0))</f>
        <v>0</v>
      </c>
      <c r="O51" s="878">
        <f t="array" ref="O51">INDEX(Revenue_Data_Summary,MATCH($K51,'Revenue Build'!$C$28:$C$49,0),MATCH(Charts!O$50,'Revenue Build'!$C$28:$AG$28,0))</f>
        <v>0</v>
      </c>
      <c r="P51" s="878">
        <f t="array" ref="P51">INDEX(Revenue_Data_Summary,MATCH($K51,'Revenue Build'!$C$28:$C$49,0),MATCH(Charts!P$50,'Revenue Build'!$C$28:$AG$28,0))</f>
        <v>0</v>
      </c>
      <c r="Q51" s="878">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3" t="s">
        <v>1076</v>
      </c>
      <c r="D52" s="906">
        <v>0</v>
      </c>
      <c r="E52" s="907" t="e">
        <f t="shared" ref="E52:I52" si="6">E51/D51-1</f>
        <v>#DIV/0!</v>
      </c>
      <c r="F52" s="907" t="e">
        <f t="shared" si="6"/>
        <v>#DIV/0!</v>
      </c>
      <c r="G52" s="907" t="e">
        <f t="shared" si="6"/>
        <v>#DIV/0!</v>
      </c>
      <c r="H52" s="907" t="e">
        <f t="shared" si="6"/>
        <v>#DIV/0!</v>
      </c>
      <c r="I52" s="907" t="e">
        <f t="shared" si="6"/>
        <v>#DIV/0!</v>
      </c>
      <c r="J52" s="8"/>
      <c r="K52" s="903" t="s">
        <v>1076</v>
      </c>
      <c r="L52" s="906">
        <v>0</v>
      </c>
      <c r="M52" s="907">
        <v>0</v>
      </c>
      <c r="N52" s="907" t="e">
        <f t="shared" ref="N52:Q52" si="7">N51/M51-1</f>
        <v>#DIV/0!</v>
      </c>
      <c r="O52" s="907" t="e">
        <f t="shared" si="7"/>
        <v>#DIV/0!</v>
      </c>
      <c r="P52" s="907" t="e">
        <f t="shared" si="7"/>
        <v>#DIV/0!</v>
      </c>
      <c r="Q52" s="907"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7">
        <f t="shared" ref="D70:I70" si="8">D50</f>
        <v>2023</v>
      </c>
      <c r="E70" s="897">
        <f t="shared" si="8"/>
        <v>2024</v>
      </c>
      <c r="F70" s="897">
        <f t="shared" si="8"/>
        <v>2025</v>
      </c>
      <c r="G70" s="897" t="str">
        <f t="shared" si="8"/>
        <v>2026e</v>
      </c>
      <c r="H70" s="897" t="str">
        <f t="shared" si="8"/>
        <v>2027e</v>
      </c>
      <c r="I70" s="898" t="str">
        <f t="shared" si="8"/>
        <v>2028e</v>
      </c>
      <c r="J70" s="8"/>
      <c r="K70" s="188"/>
      <c r="L70" s="897">
        <f t="shared" ref="L70:Q70" si="9">L50</f>
        <v>2023</v>
      </c>
      <c r="M70" s="897">
        <f t="shared" si="9"/>
        <v>2024</v>
      </c>
      <c r="N70" s="897">
        <f t="shared" si="9"/>
        <v>2025</v>
      </c>
      <c r="O70" s="897" t="str">
        <f t="shared" si="9"/>
        <v>2026e</v>
      </c>
      <c r="P70" s="897" t="str">
        <f t="shared" si="9"/>
        <v>2027e</v>
      </c>
      <c r="Q70" s="898" t="str">
        <f t="shared" si="9"/>
        <v>2028e</v>
      </c>
      <c r="R70" s="8"/>
      <c r="S70" s="8"/>
      <c r="T70" s="8"/>
      <c r="U70" s="8"/>
      <c r="V70" s="8"/>
      <c r="W70" s="8"/>
      <c r="X70" s="8"/>
      <c r="Y70" s="8"/>
      <c r="Z70" s="8"/>
      <c r="AA70" s="8"/>
      <c r="AB70" s="8"/>
      <c r="AC70" s="8"/>
      <c r="AD70" s="8"/>
    </row>
    <row r="71" ht="15.75" customHeight="1" spans="1:30" x14ac:dyDescent="0.25">
      <c r="A71" s="9"/>
      <c r="B71" s="8"/>
      <c r="C71" s="900" t="str">
        <f>Model!C112</f>
        <v>Free Cash Flow (FCF)</v>
      </c>
      <c r="D71" s="878">
        <f t="array" ref="D71">INDEX(Data,MATCH($C71,Line_Items,0),MATCH(Charts!D$70,Fiscal_Periods,0))</f>
        <v>-91</v>
      </c>
      <c r="E71" s="878">
        <f t="array" ref="E71">INDEX(Data,MATCH($C71,Line_Items,0),MATCH(Charts!E$70,Fiscal_Periods,0))</f>
        <v>-173</v>
      </c>
      <c r="F71" s="878">
        <f t="array" ref="F71">INDEX(Data,MATCH($C71,Line_Items,0),MATCH(Charts!F$70,Fiscal_Periods,0))</f>
        <v>-6453.481000000001</v>
      </c>
      <c r="G71" s="878">
        <f t="array" ref="G71">INDEX(Data,MATCH($C71,Line_Items,0),MATCH(Charts!G$70,Fiscal_Periods,0))</f>
        <v>-2187.6888352519063</v>
      </c>
      <c r="H71" s="878">
        <f t="array" ref="H71">INDEX(Data,MATCH($C71,Line_Items,0),MATCH(Charts!H$70,Fiscal_Periods,0))</f>
        <v>940.7559884294857</v>
      </c>
      <c r="I71" s="878">
        <f t="array" ref="I71">INDEX(Data,MATCH($C71,Line_Items,0),MATCH(Charts!I$70,Fiscal_Periods,0))</f>
        <v>938.4621106952198</v>
      </c>
      <c r="J71" s="8"/>
      <c r="K71" s="900" t="str">
        <f>Model!C57</f>
        <v>Adj. EPS (Diluted)</v>
      </c>
      <c r="L71" s="909">
        <f t="array" ref="L71">INDEX(Data,MATCH($K71,Line_Items,0),MATCH(Charts!L$70,Fiscal_Periods,0))</f>
        <v>0</v>
      </c>
      <c r="M71" s="909">
        <f t="array" ref="M71">INDEX(Data,MATCH($K71,Line_Items,0),MATCH(Charts!M$70,Fiscal_Periods,0))</f>
        <v>0</v>
      </c>
      <c r="N71" s="909">
        <f t="array" ref="N71">INDEX(Data,MATCH($K71,Line_Items,0),MATCH(Charts!N$70,Fiscal_Periods,0))</f>
        <v>-29.09812718592378</v>
      </c>
      <c r="O71" s="909">
        <f t="array" ref="O71">INDEX(Data,MATCH($K71,Line_Items,0),MATCH(Charts!O$70,Fiscal_Periods,0))</f>
        <v>3.9335931229924266</v>
      </c>
      <c r="P71" s="909">
        <f t="array" ref="P71">INDEX(Data,MATCH($K71,Line_Items,0),MATCH(Charts!P$70,Fiscal_Periods,0))</f>
        <v>6.172087517791838</v>
      </c>
      <c r="Q71" s="909">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3" t="s">
        <v>1076</v>
      </c>
      <c r="D72" s="906">
        <v>-0.8</v>
      </c>
      <c r="E72" s="907">
        <f t="shared" ref="E72:I72" si="10">E71/D71-1</f>
        <v>0.901098901098901</v>
      </c>
      <c r="F72" s="907">
        <f t="shared" si="10"/>
        <v>36.303358381502896</v>
      </c>
      <c r="G72" s="907">
        <f>G71/F71-1</f>
        <v>-1.9170284869442793</v>
      </c>
      <c r="H72" s="907">
        <f t="shared" si="10"/>
        <v>-1.4300227588450256</v>
      </c>
      <c r="I72" s="907">
        <f t="shared" si="10"/>
        <v>-0.0024383344485484626</v>
      </c>
      <c r="J72" s="8"/>
      <c r="K72" s="903" t="s">
        <v>1076</v>
      </c>
      <c r="L72" s="906">
        <v>0.26</v>
      </c>
      <c r="M72" s="907" t="e">
        <f t="shared" ref="M72:Q72" si="11">M71/L71-1</f>
        <v>#DIV/0!</v>
      </c>
      <c r="N72" s="907" t="e">
        <f t="shared" si="11"/>
        <v>#DIV/0!</v>
      </c>
      <c r="O72" s="907">
        <f t="shared" si="11"/>
        <v>0.38795848528573895</v>
      </c>
      <c r="P72" s="907">
        <f t="shared" si="11"/>
        <v>0.5690711583043719</v>
      </c>
      <c r="Q72" s="907">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7">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7">
        <f t="shared" ref="D90:G90" si="12">E90-1</f>
        <v>2019</v>
      </c>
      <c r="E90" s="897">
        <f t="shared" si="12"/>
        <v>2020</v>
      </c>
      <c r="F90" s="897">
        <f t="shared" si="12"/>
        <v>2021</v>
      </c>
      <c r="G90" s="897">
        <f t="shared" si="12"/>
        <v>2022</v>
      </c>
      <c r="H90" s="897">
        <f t="shared" ref="H90:M90" si="13">D70</f>
        <v>2023</v>
      </c>
      <c r="I90" s="897">
        <f t="shared" si="13"/>
        <v>2024</v>
      </c>
      <c r="J90" s="897">
        <f t="shared" si="13"/>
        <v>2025</v>
      </c>
      <c r="K90" s="897" t="str">
        <f t="shared" si="13"/>
        <v>2026e</v>
      </c>
      <c r="L90" s="897" t="str">
        <f t="shared" si="13"/>
        <v>2027e</v>
      </c>
      <c r="M90" s="897" t="str">
        <f t="shared" si="13"/>
        <v>2028e</v>
      </c>
      <c r="N90" s="897" t="str">
        <f>H90&amp;" YTD"</f>
        <v>2023 YTD</v>
      </c>
      <c r="O90" s="897" t="str">
        <f>J90&amp;" YTD"</f>
        <v>2025 YTD</v>
      </c>
      <c r="P90" s="897" t="str">
        <f t="shared" ref="P90:Q90" si="14">LEFT(G70,4)&amp;" YTD"</f>
        <v>2026 YTD</v>
      </c>
      <c r="Q90" s="898" t="str">
        <f t="shared" si="14"/>
        <v>2027 YTD</v>
      </c>
      <c r="R90" s="8"/>
      <c r="S90" s="8"/>
      <c r="T90" s="8"/>
      <c r="U90" s="8"/>
      <c r="V90" s="8"/>
      <c r="W90" s="8"/>
      <c r="X90" s="8"/>
      <c r="Y90" s="8"/>
      <c r="Z90" s="8"/>
      <c r="AA90" s="8"/>
      <c r="AB90" s="8"/>
      <c r="AC90" s="8"/>
      <c r="AD90" s="8"/>
    </row>
    <row r="91" ht="15.75" customHeight="1" spans="1:30" x14ac:dyDescent="0.25">
      <c r="A91" s="9"/>
      <c r="B91" s="8"/>
      <c r="C91" s="905" t="str">
        <f>C88</f>
        <v>Total Company Revenue</v>
      </c>
      <c r="D91" s="910">
        <v>56223</v>
      </c>
      <c r="E91" s="910">
        <v>59074</v>
      </c>
      <c r="F91" s="910">
        <v>65017</v>
      </c>
      <c r="G91" s="910">
        <v>68619</v>
      </c>
      <c r="H91" s="878">
        <f t="array" ref="H91">INDEX(Revenue_Data_Summary,MATCH($C91,'Revenue Build'!$C$28:$C$49,0),MATCH(Charts!H$90,'Revenue Build'!$C$28:$AG$28,0))</f>
        <v>0</v>
      </c>
      <c r="I91" s="878">
        <f t="array" ref="I91">INDEX(Revenue_Data_Summary,MATCH($C91,'Revenue Build'!$C$28:$C$49,0),MATCH(Charts!I$90,'Revenue Build'!$C$28:$AG$28,0))</f>
        <v>0</v>
      </c>
      <c r="J91" s="878">
        <f t="array" ref="J91">INDEX(Revenue_Data_Summary,MATCH($C91,'Revenue Build'!$C$28:$C$49,0),MATCH(Charts!J$90,'Revenue Build'!$C$28:$AG$28,0))</f>
        <v>0</v>
      </c>
      <c r="K91" s="878">
        <f t="array" ref="K91">INDEX(Revenue_Data_Summary,MATCH($C91,'Revenue Build'!$C$28:$C$49,0),MATCH(Charts!K$90,'Revenue Build'!$C$28:$AG$28,0))</f>
        <v>0</v>
      </c>
      <c r="L91" s="878">
        <f t="array" ref="L91">INDEX(Revenue_Data_Summary,MATCH($C91,'Revenue Build'!$C$28:$C$49,0),MATCH(Charts!L$90,'Revenue Build'!$C$28:$AG$28,0))</f>
        <v>0</v>
      </c>
      <c r="M91" s="878">
        <f t="array" ref="M91">INDEX(Revenue_Data_Summary,MATCH($C91,'Revenue Build'!$C$28:$C$49,0),MATCH(Charts!M$90,'Revenue Build'!$C$28:$AG$28,0))</f>
        <v>0</v>
      </c>
      <c r="N91" s="878">
        <f>IF(Charts!$R$88="1Q",SUM('Revenue Build'!K30),IF(Charts!$R$88="2Q",SUM('Revenue Build'!K30:L30),IF(Charts!$R$88="3Q",SUM('Revenue Build'!K30:M30),IF(Charts!$R$88="4Q",SUM('Revenue Build'!K30:N30),"N/A"))))</f>
        <v>0</v>
      </c>
      <c r="O91" s="878">
        <f>IF(Charts!$R$88="1Q",SUM('Revenue Build'!P30),IF(Charts!$R$88="2Q",SUM('Revenue Build'!P30:Q30),IF(Charts!$R$88="3Q",SUM('Revenue Build'!P30:R30),IF(Charts!$R$88="4Q",SUM('Revenue Build'!P30:S30),"N/A"))))</f>
        <v>0</v>
      </c>
      <c r="P91" s="878">
        <f>IF(Charts!$R$88="1Q",SUM('Revenue Build'!U30),IF(Charts!$R$88="2Q",SUM('Revenue Build'!U30:V30),IF(Charts!$R$88="3Q",SUM('Revenue Build'!U30:W30),IF(Charts!$R$88="4Q",SUM('Revenue Build'!U30:X30),"N/A"))))</f>
        <v>0</v>
      </c>
      <c r="Q91" s="878">
        <f>IF(Charts!$R$88="1Q",SUM('Revenue Build'!V30),IF(Charts!$R$88="2Q",SUM('Revenue Build'!V30:W30),IF(Charts!$R$88="3Q",SUM('Revenue Build'!V30:X30),IF(Charts!$R$88="4Q",SUM('Revenue Build'!V30:Y30),"N/A"))))</f>
        <v>0</v>
      </c>
      <c r="R91" s="878"/>
      <c r="S91" s="8"/>
      <c r="T91" s="878"/>
      <c r="U91" s="8"/>
      <c r="V91" s="8"/>
      <c r="W91" s="878"/>
      <c r="X91" s="878"/>
      <c r="Y91" s="8"/>
      <c r="Z91" s="8"/>
      <c r="AA91" s="8"/>
      <c r="AB91" s="8"/>
      <c r="AC91" s="8"/>
      <c r="AD91" s="878"/>
    </row>
    <row r="92" ht="15.75" customHeight="1" spans="1:30" x14ac:dyDescent="0.25">
      <c r="A92" s="9"/>
      <c r="B92" s="8"/>
      <c r="C92" s="903" t="s">
        <v>1076</v>
      </c>
      <c r="D92" s="906">
        <v>0.053</v>
      </c>
      <c r="E92" s="907">
        <f t="shared" ref="E92:M92" si="15">E91/D91-1</f>
        <v>0.05070878466108186</v>
      </c>
      <c r="F92" s="907">
        <f t="shared" si="15"/>
        <v>0.1006026339844941</v>
      </c>
      <c r="G92" s="907">
        <f t="shared" si="15"/>
        <v>0.055400895150499174</v>
      </c>
      <c r="H92" s="907">
        <f t="shared" si="15"/>
        <v>-1</v>
      </c>
      <c r="I92" s="907" t="e">
        <f t="shared" si="15"/>
        <v>#DIV/0!</v>
      </c>
      <c r="J92" s="907" t="e">
        <f t="shared" si="15"/>
        <v>#DIV/0!</v>
      </c>
      <c r="K92" s="907" t="e">
        <f t="shared" si="15"/>
        <v>#DIV/0!</v>
      </c>
      <c r="L92" s="907" t="e">
        <f t="shared" si="15"/>
        <v>#DIV/0!</v>
      </c>
      <c r="M92" s="907" t="e">
        <f t="shared" si="15"/>
        <v>#DIV/0!</v>
      </c>
      <c r="N92" s="907">
        <v>0.175</v>
      </c>
      <c r="O92" s="907" t="e">
        <f t="shared" ref="O92:Q92" si="16">O91/N91-1</f>
        <v>#DIV/0!</v>
      </c>
      <c r="P92" s="907" t="e">
        <f t="shared" si="16"/>
        <v>#DIV/0!</v>
      </c>
      <c r="Q92" s="907" t="e">
        <f t="shared" si="16"/>
        <v>#DIV/0!</v>
      </c>
      <c r="R92" s="8"/>
      <c r="S92" s="8"/>
      <c r="T92" s="8"/>
      <c r="U92" s="8"/>
      <c r="V92" s="8"/>
      <c r="W92" s="8"/>
      <c r="X92" s="8"/>
      <c r="Y92" s="8"/>
      <c r="Z92" s="8"/>
      <c r="AA92" s="8"/>
      <c r="AB92" s="8"/>
      <c r="AC92" s="8"/>
      <c r="AD92" s="8"/>
    </row>
    <row r="93" ht="15.75" customHeight="1" spans="1:30" x14ac:dyDescent="0.25">
      <c r="A93" s="9"/>
      <c r="B93" s="8"/>
      <c r="C93" s="8"/>
      <c r="D93" s="906"/>
      <c r="E93" s="907"/>
      <c r="F93" s="907"/>
      <c r="G93" s="907"/>
      <c r="H93" s="907"/>
      <c r="I93" s="907"/>
      <c r="J93" s="907"/>
      <c r="K93" s="907"/>
      <c r="L93" s="907"/>
      <c r="M93" s="906"/>
      <c r="N93" s="907"/>
      <c r="O93" s="907"/>
      <c r="P93" s="907"/>
      <c r="Q93" s="8"/>
      <c r="R93" s="8"/>
      <c r="S93" s="8"/>
      <c r="T93" s="8"/>
      <c r="U93" s="8"/>
      <c r="V93" s="8"/>
      <c r="W93" s="8"/>
      <c r="X93" s="8"/>
      <c r="Y93" s="8"/>
      <c r="Z93" s="8"/>
      <c r="AA93" s="8"/>
      <c r="AB93" s="8"/>
      <c r="AC93" s="8"/>
      <c r="AD93" s="8"/>
    </row>
    <row r="94" ht="15.75" customHeight="1" spans="1:30" x14ac:dyDescent="0.25">
      <c r="A94" s="9"/>
      <c r="B94" s="8"/>
      <c r="C94" s="8"/>
      <c r="D94" s="906"/>
      <c r="E94" s="907"/>
      <c r="F94" s="907"/>
      <c r="G94" s="907"/>
      <c r="H94" s="907"/>
      <c r="I94" s="907"/>
      <c r="J94" s="907"/>
      <c r="K94" s="907"/>
      <c r="L94" s="907"/>
      <c r="M94" s="906"/>
      <c r="N94" s="907"/>
      <c r="O94" s="907"/>
      <c r="P94" s="907"/>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1" t="str">
        <f>'Segment Analysis'!$C$16</f>
        <v>Investment Banking &amp; Capital Markets</v>
      </c>
      <c r="E116" s="911" t="str">
        <f>'Segment Analysis'!$C$17</f>
        <v>Asset Management and Other</v>
      </c>
      <c r="F116" s="911">
        <f>'Segment Analysis'!$C$20</f>
        <v>0</v>
      </c>
      <c r="G116" s="911">
        <f>'Segment Analysis'!$C$18</f>
        <v>0</v>
      </c>
      <c r="H116" s="911">
        <f>'Segment Analysis'!$C$19</f>
        <v>0</v>
      </c>
      <c r="I116" s="912">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3" t="s">
        <v>1078</v>
      </c>
      <c r="D117" s="913" t="str">
        <f>'Segment Analysis'!$T$16</f>
        <v>N/A</v>
      </c>
      <c r="E117" s="914" t="str">
        <f>'Segment Analysis'!$T$17</f>
        <v>N/A</v>
      </c>
      <c r="F117" s="914" t="str">
        <f>'Segment Analysis'!$T$20</f>
        <v>N/A</v>
      </c>
      <c r="G117" s="914" t="str">
        <f>'Segment Analysis'!$T$18</f>
        <v>N/A</v>
      </c>
      <c r="H117" s="914" t="str">
        <f>'Segment Analysis'!$T$19</f>
        <v>N/A</v>
      </c>
      <c r="I117" s="914" t="str">
        <f>'Segment Analysis'!$T$21</f>
        <v>N/A</v>
      </c>
      <c r="J117" s="166" t="s">
        <v>1079</v>
      </c>
      <c r="K117" s="915">
        <f>SUM(D117:I117)</f>
        <v>0</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6"/>
      <c r="S119" s="916"/>
      <c r="T119" s="916"/>
      <c r="U119" s="916"/>
      <c r="V119" s="916"/>
      <c r="W119" s="916"/>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7">
        <v>2021</v>
      </c>
      <c r="E135" s="918">
        <f t="shared" ref="E135:Q135" si="17">D135+1</f>
        <v>2022</v>
      </c>
      <c r="F135" s="918">
        <f t="shared" si="17"/>
        <v>2023</v>
      </c>
      <c r="G135" s="918">
        <f t="shared" si="17"/>
        <v>2024</v>
      </c>
      <c r="H135" s="918">
        <f t="shared" si="17"/>
        <v>2025</v>
      </c>
      <c r="I135" s="918">
        <f t="shared" si="17"/>
        <v>2026</v>
      </c>
      <c r="J135" s="918">
        <f t="shared" si="17"/>
        <v>2027</v>
      </c>
      <c r="K135" s="918">
        <f t="shared" si="17"/>
        <v>2028</v>
      </c>
      <c r="L135" s="918">
        <f t="shared" si="17"/>
        <v>2029</v>
      </c>
      <c r="M135" s="918">
        <f t="shared" si="17"/>
        <v>2030</v>
      </c>
      <c r="N135" s="918">
        <f t="shared" si="17"/>
        <v>2031</v>
      </c>
      <c r="O135" s="918">
        <f t="shared" si="17"/>
        <v>2032</v>
      </c>
      <c r="P135" s="918">
        <f t="shared" si="17"/>
        <v>2033</v>
      </c>
      <c r="Q135" s="919">
        <f t="shared" si="17"/>
        <v>2034</v>
      </c>
      <c r="R135" s="920"/>
      <c r="S135" s="920"/>
      <c r="T135" s="920"/>
      <c r="U135" s="920"/>
      <c r="V135" s="920"/>
      <c r="W135" s="920"/>
      <c r="X135" s="8"/>
      <c r="Y135" s="8"/>
      <c r="Z135" s="8"/>
      <c r="AA135" s="8"/>
      <c r="AB135" s="8"/>
      <c r="AC135" s="8"/>
      <c r="AD135" s="8"/>
    </row>
    <row r="136" ht="15.75" customHeight="1" hidden="1" spans="1:30" x14ac:dyDescent="0.25">
      <c r="A136" s="9"/>
      <c r="B136" s="8"/>
      <c r="C136" s="900" t="s">
        <v>1081</v>
      </c>
      <c r="D136" s="910">
        <v>0</v>
      </c>
      <c r="E136" s="910">
        <v>0</v>
      </c>
      <c r="F136" s="910">
        <v>0</v>
      </c>
      <c r="G136" s="910">
        <v>3600</v>
      </c>
      <c r="H136" s="910">
        <v>2255</v>
      </c>
      <c r="I136" s="910">
        <v>4100</v>
      </c>
      <c r="J136" s="910">
        <v>3450</v>
      </c>
      <c r="K136" s="910">
        <v>1950</v>
      </c>
      <c r="L136" s="910">
        <v>2900</v>
      </c>
      <c r="M136" s="910">
        <v>500</v>
      </c>
      <c r="N136" s="910">
        <v>2350</v>
      </c>
      <c r="O136" s="910">
        <v>1000</v>
      </c>
      <c r="P136" s="910">
        <v>2650</v>
      </c>
      <c r="Q136" s="910">
        <v>0</v>
      </c>
      <c r="R136" s="916"/>
      <c r="S136" s="916"/>
      <c r="T136" s="916"/>
      <c r="U136" s="916"/>
      <c r="V136" s="916"/>
      <c r="W136" s="916"/>
      <c r="X136" s="8"/>
      <c r="Y136" s="8"/>
      <c r="Z136" s="8"/>
      <c r="AA136" s="8"/>
      <c r="AB136" s="8"/>
      <c r="AC136" s="8"/>
      <c r="AD136" s="8"/>
    </row>
    <row r="137" ht="15.75" customHeight="1" hidden="1" spans="1:30" x14ac:dyDescent="0.25">
      <c r="A137" s="9"/>
      <c r="B137" s="8"/>
      <c r="C137" s="900" t="s">
        <v>1082</v>
      </c>
      <c r="D137" s="921">
        <v>0</v>
      </c>
      <c r="E137" s="921">
        <v>0</v>
      </c>
      <c r="F137" s="921">
        <v>0</v>
      </c>
      <c r="G137" s="921">
        <v>1000</v>
      </c>
      <c r="H137" s="921">
        <v>0</v>
      </c>
      <c r="I137" s="921">
        <v>0</v>
      </c>
      <c r="J137" s="921">
        <v>0</v>
      </c>
      <c r="K137" s="921">
        <v>0</v>
      </c>
      <c r="L137" s="921">
        <v>0</v>
      </c>
      <c r="M137" s="921">
        <v>0</v>
      </c>
      <c r="N137" s="921">
        <v>0</v>
      </c>
      <c r="O137" s="921">
        <v>0</v>
      </c>
      <c r="P137" s="921">
        <v>0</v>
      </c>
      <c r="Q137" s="921">
        <v>0</v>
      </c>
      <c r="R137" s="916"/>
      <c r="S137" s="916"/>
      <c r="T137" s="916"/>
      <c r="U137" s="916"/>
      <c r="V137" s="916"/>
      <c r="W137" s="916"/>
      <c r="X137" s="8"/>
      <c r="Y137" s="8"/>
      <c r="Z137" s="8"/>
      <c r="AA137" s="8"/>
      <c r="AB137" s="8"/>
      <c r="AC137" s="8"/>
      <c r="AD137" s="8"/>
    </row>
    <row r="138" ht="15.75" customHeight="1" hidden="1" spans="1:30" x14ac:dyDescent="0.25">
      <c r="A138" s="9"/>
      <c r="B138" s="8"/>
      <c r="C138" s="903" t="s">
        <v>1083</v>
      </c>
      <c r="D138" s="921">
        <v>0</v>
      </c>
      <c r="E138" s="921">
        <v>0</v>
      </c>
      <c r="F138" s="921">
        <v>0</v>
      </c>
      <c r="G138" s="921">
        <v>0</v>
      </c>
      <c r="H138" s="921">
        <v>0</v>
      </c>
      <c r="I138" s="921">
        <v>0</v>
      </c>
      <c r="J138" s="921">
        <v>0</v>
      </c>
      <c r="K138" s="921">
        <v>0</v>
      </c>
      <c r="L138" s="921">
        <v>0</v>
      </c>
      <c r="M138" s="921">
        <v>0</v>
      </c>
      <c r="N138" s="921">
        <v>0</v>
      </c>
      <c r="O138" s="921">
        <v>0</v>
      </c>
      <c r="P138" s="921">
        <v>0</v>
      </c>
      <c r="Q138" s="921">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2">
        <v>42735</v>
      </c>
      <c r="E159" s="923">
        <f t="shared" ref="E159:I159" si="18">EDATE(D159,12)</f>
        <v>43100</v>
      </c>
      <c r="F159" s="923">
        <f t="shared" si="18"/>
        <v>43465</v>
      </c>
      <c r="G159" s="923">
        <f t="shared" si="18"/>
        <v>43830</v>
      </c>
      <c r="H159" s="923">
        <f t="shared" si="18"/>
        <v>44196</v>
      </c>
      <c r="I159" s="924">
        <f t="shared" si="18"/>
        <v>44561</v>
      </c>
      <c r="J159" s="8"/>
      <c r="K159" s="188" t="s">
        <v>1087</v>
      </c>
      <c r="L159" s="922">
        <v>41639</v>
      </c>
      <c r="M159" s="923">
        <f t="shared" ref="M159:Q159" si="19">EDATE(L159,12)</f>
        <v>42004</v>
      </c>
      <c r="N159" s="923">
        <f t="shared" si="19"/>
        <v>42369</v>
      </c>
      <c r="O159" s="923">
        <f t="shared" si="19"/>
        <v>42735</v>
      </c>
      <c r="P159" s="923">
        <f t="shared" si="19"/>
        <v>43100</v>
      </c>
      <c r="Q159" s="924">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3" t="s">
        <v>1088</v>
      </c>
      <c r="D160" s="910">
        <v>380</v>
      </c>
      <c r="E160" s="910">
        <v>400</v>
      </c>
      <c r="F160" s="910">
        <v>420</v>
      </c>
      <c r="G160" s="910">
        <v>460</v>
      </c>
      <c r="H160" s="910">
        <v>480</v>
      </c>
      <c r="I160" s="910">
        <v>490</v>
      </c>
      <c r="J160" s="8"/>
      <c r="K160" s="903" t="s">
        <v>1089</v>
      </c>
      <c r="L160" s="906">
        <v>0.1</v>
      </c>
      <c r="M160" s="906">
        <v>0.11</v>
      </c>
      <c r="N160" s="906">
        <v>0.12</v>
      </c>
      <c r="O160" s="906">
        <v>0.13</v>
      </c>
      <c r="P160" s="906">
        <v>0.14</v>
      </c>
      <c r="Q160" s="906">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6">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5" t="s">
        <v>1093</v>
      </c>
      <c r="D181" s="456">
        <v>55.49</v>
      </c>
      <c r="E181" s="921">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5" t="s">
        <v>1094</v>
      </c>
      <c r="D182" s="926">
        <v>55.89</v>
      </c>
      <c r="E182" s="921">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5" t="s">
        <v>1095</v>
      </c>
      <c r="D183" s="926">
        <v>59.41</v>
      </c>
      <c r="E183" s="921">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5" t="s">
        <v>1096</v>
      </c>
      <c r="D184" s="926">
        <v>56.29</v>
      </c>
      <c r="E184" s="921">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5" t="s">
        <v>1097</v>
      </c>
      <c r="D185" s="926">
        <v>55.81</v>
      </c>
      <c r="E185" s="921">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5" t="s">
        <v>1098</v>
      </c>
      <c r="D186" s="926">
        <v>54.51</v>
      </c>
      <c r="E186" s="921">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5" t="s">
        <v>1099</v>
      </c>
      <c r="D187" s="926">
        <v>53.33</v>
      </c>
      <c r="E187" s="921">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5" t="s">
        <v>1100</v>
      </c>
      <c r="D188" s="926">
        <v>53.93</v>
      </c>
      <c r="E188" s="921">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5" t="s">
        <v>1101</v>
      </c>
      <c r="D189" s="926">
        <v>53</v>
      </c>
      <c r="E189" s="921">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5" t="s">
        <v>1102</v>
      </c>
      <c r="D190" s="926">
        <v>52.91</v>
      </c>
      <c r="E190" s="921">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5" t="s">
        <v>1103</v>
      </c>
      <c r="D191" s="926">
        <v>52.83</v>
      </c>
      <c r="E191" s="921">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5" t="s">
        <v>1104</v>
      </c>
      <c r="D192" s="926">
        <v>53.03</v>
      </c>
      <c r="E192" s="921">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5" t="s">
        <v>1105</v>
      </c>
      <c r="D193" s="926">
        <v>52.91</v>
      </c>
      <c r="E193" s="921">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5" t="s">
        <v>1106</v>
      </c>
      <c r="D194" s="926">
        <v>55.5</v>
      </c>
      <c r="E194" s="921">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5" t="s">
        <v>1107</v>
      </c>
      <c r="D195" s="926">
        <v>56.57</v>
      </c>
      <c r="E195" s="921">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5" t="s">
        <v>1108</v>
      </c>
      <c r="D196" s="926">
        <v>56.8</v>
      </c>
      <c r="E196" s="921">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5" t="s">
        <v>1109</v>
      </c>
      <c r="D197" s="926">
        <v>54.9</v>
      </c>
      <c r="E197" s="921">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5" t="s">
        <v>1110</v>
      </c>
      <c r="D198" s="926">
        <v>55.04</v>
      </c>
      <c r="E198" s="921">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5" t="s">
        <v>1111</v>
      </c>
      <c r="D199" s="926">
        <v>55.07</v>
      </c>
      <c r="E199" s="921">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5" t="s">
        <v>1112</v>
      </c>
      <c r="D200" s="926">
        <v>54.04</v>
      </c>
      <c r="E200" s="921">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5" t="s">
        <v>1113</v>
      </c>
      <c r="D201" s="926">
        <v>51.7</v>
      </c>
      <c r="E201" s="921">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5" t="s">
        <v>1114</v>
      </c>
      <c r="D202" s="926">
        <v>48.8</v>
      </c>
      <c r="E202" s="921">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5" t="s">
        <v>1115</v>
      </c>
      <c r="D203" s="926">
        <v>54.6</v>
      </c>
      <c r="E203" s="921">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5" t="s">
        <v>1116</v>
      </c>
      <c r="D204" s="926">
        <v>53.82</v>
      </c>
      <c r="E204" s="921">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5" t="s">
        <v>1117</v>
      </c>
      <c r="D205" s="926">
        <v>53.73</v>
      </c>
      <c r="E205" s="921">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5" t="s">
        <v>1118</v>
      </c>
      <c r="D206" s="926">
        <v>50.89</v>
      </c>
      <c r="E206" s="921">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5" t="s">
        <v>1119</v>
      </c>
      <c r="D207" s="926">
        <v>53.01</v>
      </c>
      <c r="E207" s="921">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5" t="s">
        <v>1120</v>
      </c>
      <c r="D208" s="926">
        <v>54.44</v>
      </c>
      <c r="E208" s="921">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5" t="s">
        <v>1121</v>
      </c>
      <c r="D209" s="926">
        <v>59.1</v>
      </c>
      <c r="E209" s="921">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5" t="s">
        <v>1122</v>
      </c>
      <c r="D210" s="926">
        <v>61.18</v>
      </c>
      <c r="E210" s="921">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5" t="s">
        <v>1123</v>
      </c>
      <c r="D211" s="926">
        <v>62.43</v>
      </c>
      <c r="E211" s="921">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5" t="s">
        <v>1124</v>
      </c>
      <c r="D212" s="926">
        <v>63.07</v>
      </c>
      <c r="E212" s="921">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5" t="s">
        <v>1125</v>
      </c>
      <c r="D213" s="926">
        <v>63.49</v>
      </c>
      <c r="E213" s="921">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5" t="s">
        <v>1126</v>
      </c>
      <c r="D214" s="926">
        <v>65.42</v>
      </c>
      <c r="E214" s="921">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5" t="s">
        <v>1127</v>
      </c>
      <c r="D215" s="926">
        <v>66.66</v>
      </c>
      <c r="E215" s="921">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5" t="s">
        <v>1128</v>
      </c>
      <c r="D216" s="926">
        <v>66.71</v>
      </c>
      <c r="E216" s="921">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5" t="s">
        <v>1129</v>
      </c>
      <c r="D217" s="926">
        <v>65.93</v>
      </c>
      <c r="E217" s="921">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5" t="s">
        <v>1130</v>
      </c>
      <c r="D218" s="926">
        <v>66.71</v>
      </c>
      <c r="E218" s="921">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5" t="s">
        <v>1131</v>
      </c>
      <c r="D219" s="926">
        <v>68.14</v>
      </c>
      <c r="E219" s="921">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5" t="s">
        <v>1132</v>
      </c>
      <c r="D220" s="926">
        <v>69.66</v>
      </c>
      <c r="E220" s="921">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5" t="s">
        <v>1133</v>
      </c>
      <c r="D221" s="926">
        <v>69.49</v>
      </c>
      <c r="E221" s="921">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5" t="s">
        <v>1134</v>
      </c>
      <c r="D222" s="926">
        <v>70.36</v>
      </c>
      <c r="E222" s="921">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5" t="s">
        <v>1135</v>
      </c>
      <c r="D223" s="926">
        <v>66.53</v>
      </c>
      <c r="E223" s="921">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5" t="s">
        <v>1136</v>
      </c>
      <c r="D224" s="926">
        <v>66.4</v>
      </c>
      <c r="E224" s="921">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5" t="s">
        <v>1137</v>
      </c>
      <c r="D225" s="926">
        <v>66.91</v>
      </c>
      <c r="E225" s="921">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5" t="s">
        <v>1138</v>
      </c>
      <c r="D226" s="926">
        <v>66.65</v>
      </c>
      <c r="E226" s="921">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5" t="s">
        <v>1139</v>
      </c>
      <c r="D227" s="926">
        <v>67.18</v>
      </c>
      <c r="E227" s="921">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5" t="s">
        <v>1140</v>
      </c>
      <c r="D228" s="926">
        <v>65.58</v>
      </c>
      <c r="E228" s="921">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5" t="s">
        <v>1141</v>
      </c>
      <c r="D229" s="926">
        <v>64.29</v>
      </c>
      <c r="E229" s="921">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5" t="s">
        <v>1142</v>
      </c>
      <c r="D230" s="926">
        <v>64.22</v>
      </c>
      <c r="E230" s="921">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5" t="s">
        <v>1143</v>
      </c>
      <c r="D231" s="926">
        <v>63.5</v>
      </c>
      <c r="E231" s="921">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5" t="s">
        <v>1144</v>
      </c>
      <c r="D232" s="926">
        <v>64.97</v>
      </c>
      <c r="E232" s="921">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5" t="s">
        <v>1145</v>
      </c>
      <c r="D233" s="926">
        <v>63.82</v>
      </c>
      <c r="E233" s="921">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5" t="s">
        <v>1146</v>
      </c>
      <c r="D234" s="926">
        <v>64.12</v>
      </c>
      <c r="E234" s="921">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5" t="s">
        <v>1147</v>
      </c>
      <c r="D235" s="926">
        <v>64.85</v>
      </c>
      <c r="E235" s="921">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5" t="s">
        <v>1148</v>
      </c>
      <c r="D236" s="926">
        <v>65.49</v>
      </c>
      <c r="E236" s="921">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5" t="s">
        <v>1149</v>
      </c>
      <c r="D237" s="926">
        <v>64.76</v>
      </c>
      <c r="E237" s="921">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5" t="s">
        <v>1150</v>
      </c>
      <c r="D238" s="926">
        <v>64.07</v>
      </c>
      <c r="E238" s="921">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5" t="s">
        <v>1151</v>
      </c>
      <c r="D239" s="926">
        <v>62.14</v>
      </c>
      <c r="E239" s="921">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5" t="s">
        <v>1152</v>
      </c>
      <c r="D240" s="926">
        <v>62.54</v>
      </c>
      <c r="E240" s="921">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5" t="s">
        <v>1153</v>
      </c>
      <c r="D241" s="926">
        <v>59.15</v>
      </c>
      <c r="E241" s="921">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5" t="s">
        <v>1154</v>
      </c>
      <c r="D242" s="926">
        <v>59.37</v>
      </c>
      <c r="E242" s="921">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5" t="s">
        <v>1155</v>
      </c>
      <c r="D243" s="926">
        <v>59.77</v>
      </c>
      <c r="E243" s="921">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5" t="s">
        <v>1156</v>
      </c>
      <c r="D244" s="926">
        <v>60.03</v>
      </c>
      <c r="E244" s="921">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5" t="s">
        <v>1157</v>
      </c>
      <c r="D245" s="926">
        <v>60.24</v>
      </c>
      <c r="E245" s="921">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5" t="s">
        <v>1158</v>
      </c>
      <c r="D246" s="926">
        <v>61.7</v>
      </c>
      <c r="E246" s="921">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5" t="s">
        <v>1159</v>
      </c>
      <c r="D247" s="926">
        <v>62.99</v>
      </c>
      <c r="E247" s="921">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5" t="s">
        <v>1160</v>
      </c>
      <c r="D248" s="926">
        <v>61.23</v>
      </c>
      <c r="E248" s="921">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5" t="s">
        <v>1161</v>
      </c>
      <c r="D249" s="926">
        <v>58.89</v>
      </c>
      <c r="E249" s="921">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5" t="s">
        <v>1162</v>
      </c>
      <c r="D250" s="926">
        <v>58.48</v>
      </c>
      <c r="E250" s="921">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5" t="s">
        <v>1163</v>
      </c>
      <c r="D251" s="926">
        <v>57.59</v>
      </c>
      <c r="E251" s="921">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5" t="s">
        <v>1164</v>
      </c>
      <c r="D252" s="926">
        <v>57.78</v>
      </c>
      <c r="E252" s="921">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5" t="s">
        <v>1165</v>
      </c>
      <c r="D253" s="926">
        <v>57.69</v>
      </c>
      <c r="E253" s="921">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5" t="s">
        <v>1166</v>
      </c>
      <c r="D254" s="926">
        <v>56.57</v>
      </c>
      <c r="E254" s="921">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5" t="s">
        <v>1167</v>
      </c>
      <c r="D255" s="926">
        <v>55.91</v>
      </c>
      <c r="E255" s="921">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5" t="s">
        <v>1168</v>
      </c>
      <c r="D256" s="926">
        <v>57.66</v>
      </c>
      <c r="E256" s="921">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5" t="s">
        <v>1169</v>
      </c>
      <c r="D257" s="926">
        <v>58.59</v>
      </c>
      <c r="E257" s="921">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5" t="s">
        <v>1170</v>
      </c>
      <c r="D258" s="926">
        <v>58.36</v>
      </c>
      <c r="E258" s="921">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5" t="s">
        <v>1171</v>
      </c>
      <c r="D259" s="926">
        <v>57.52</v>
      </c>
      <c r="E259" s="921">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5" t="s">
        <v>1172</v>
      </c>
      <c r="D260" s="926">
        <v>57.66</v>
      </c>
      <c r="E260" s="921">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5" t="s">
        <v>1173</v>
      </c>
      <c r="D261" s="926">
        <v>57.03</v>
      </c>
      <c r="E261" s="921">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5" t="s">
        <v>1174</v>
      </c>
      <c r="D262" s="926">
        <v>57.04</v>
      </c>
      <c r="E262" s="921">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5" t="s">
        <v>1175</v>
      </c>
      <c r="D263" s="926">
        <v>56.17</v>
      </c>
      <c r="E263" s="921">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5" t="s">
        <v>1176</v>
      </c>
      <c r="D264" s="926">
        <v>55.73</v>
      </c>
      <c r="E264" s="921">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5" t="s">
        <v>1177</v>
      </c>
      <c r="D265" s="926">
        <v>56.24</v>
      </c>
      <c r="E265" s="921">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5" t="s">
        <v>1178</v>
      </c>
      <c r="D266" s="926">
        <v>56.32</v>
      </c>
      <c r="E266" s="921">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5" t="s">
        <v>1179</v>
      </c>
      <c r="D267" s="926">
        <v>54.98</v>
      </c>
      <c r="E267" s="921">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5" t="s">
        <v>1180</v>
      </c>
      <c r="D268" s="926">
        <v>54.81</v>
      </c>
      <c r="E268" s="921">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5" t="s">
        <v>1181</v>
      </c>
      <c r="D269" s="926">
        <v>55.85</v>
      </c>
      <c r="E269" s="921">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5" t="s">
        <v>1182</v>
      </c>
      <c r="D270" s="926">
        <v>54.69</v>
      </c>
      <c r="E270" s="921">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5" t="s">
        <v>1183</v>
      </c>
      <c r="D271" s="926">
        <v>55.69</v>
      </c>
      <c r="E271" s="921">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5" t="s">
        <v>1184</v>
      </c>
      <c r="D272" s="926">
        <v>54.7</v>
      </c>
      <c r="E272" s="921">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5" t="s">
        <v>1185</v>
      </c>
      <c r="D273" s="926">
        <v>54.67</v>
      </c>
      <c r="E273" s="921">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5" t="s">
        <v>1186</v>
      </c>
      <c r="D274" s="926">
        <v>55.61</v>
      </c>
      <c r="E274" s="921">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5" t="s">
        <v>1187</v>
      </c>
      <c r="D275" s="926">
        <v>56.94</v>
      </c>
      <c r="E275" s="921">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5" t="s">
        <v>1188</v>
      </c>
      <c r="D276" s="926">
        <v>56.62</v>
      </c>
      <c r="E276" s="921">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5" t="s">
        <v>1189</v>
      </c>
      <c r="D277" s="926">
        <v>55.56</v>
      </c>
      <c r="E277" s="921">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5" t="s">
        <v>1190</v>
      </c>
      <c r="D278" s="926">
        <v>54.69</v>
      </c>
      <c r="E278" s="921">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5" t="s">
        <v>1191</v>
      </c>
      <c r="D279" s="926">
        <v>55.75</v>
      </c>
      <c r="E279" s="921">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5" t="s">
        <v>1192</v>
      </c>
      <c r="D280" s="926">
        <v>56.09</v>
      </c>
      <c r="E280" s="921">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5" t="s">
        <v>1193</v>
      </c>
      <c r="D281" s="926">
        <v>55.92</v>
      </c>
      <c r="E281" s="921">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5" t="s">
        <v>1194</v>
      </c>
      <c r="D282" s="926">
        <v>55.34</v>
      </c>
      <c r="E282" s="921">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5" t="s">
        <v>1195</v>
      </c>
      <c r="D283" s="926">
        <v>53.91</v>
      </c>
      <c r="E283" s="921">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5" t="s">
        <v>1196</v>
      </c>
      <c r="D284" s="926">
        <v>52.86</v>
      </c>
      <c r="E284" s="921">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5" t="s">
        <v>1197</v>
      </c>
      <c r="D285" s="926">
        <v>53.22</v>
      </c>
      <c r="E285" s="921">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5" t="s">
        <v>1198</v>
      </c>
      <c r="D286" s="926">
        <v>52.69</v>
      </c>
      <c r="E286" s="921">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5" t="s">
        <v>1199</v>
      </c>
      <c r="D287" s="926">
        <v>53.9</v>
      </c>
      <c r="E287" s="921">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5" t="s">
        <v>1200</v>
      </c>
      <c r="D288" s="926">
        <v>52.2</v>
      </c>
      <c r="E288" s="921">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5" t="s">
        <v>1201</v>
      </c>
      <c r="D289" s="926">
        <v>53.59</v>
      </c>
      <c r="E289" s="921">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5" t="s">
        <v>1202</v>
      </c>
      <c r="D290" s="926">
        <v>53.49</v>
      </c>
      <c r="E290" s="921">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5" t="s">
        <v>1203</v>
      </c>
      <c r="D291" s="926">
        <v>52.7</v>
      </c>
      <c r="E291" s="921">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5" t="s">
        <v>1204</v>
      </c>
      <c r="D292" s="926">
        <v>53.42</v>
      </c>
      <c r="E292" s="921">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5" t="s">
        <v>1205</v>
      </c>
      <c r="D293" s="926">
        <v>52.41</v>
      </c>
      <c r="E293" s="921">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5" t="s">
        <v>1206</v>
      </c>
      <c r="D294" s="926">
        <v>51.02</v>
      </c>
      <c r="E294" s="921">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5" t="s">
        <v>1207</v>
      </c>
      <c r="D295" s="926">
        <v>49.08</v>
      </c>
      <c r="E295" s="921">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5" t="s">
        <v>1208</v>
      </c>
      <c r="D296" s="926">
        <v>49.26</v>
      </c>
      <c r="E296" s="921">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5" t="s">
        <v>1209</v>
      </c>
      <c r="D297" s="926">
        <v>48.35</v>
      </c>
      <c r="E297" s="921">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5" t="s">
        <v>1210</v>
      </c>
      <c r="D298" s="926">
        <v>48.6</v>
      </c>
      <c r="E298" s="921">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5" t="s">
        <v>1211</v>
      </c>
      <c r="D299" s="926">
        <v>49.41</v>
      </c>
      <c r="E299" s="921">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5" t="s">
        <v>1212</v>
      </c>
      <c r="D300" s="926">
        <v>49.1</v>
      </c>
      <c r="E300" s="921">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5" t="s">
        <v>1213</v>
      </c>
      <c r="D301" s="926">
        <v>49.76</v>
      </c>
      <c r="E301" s="921">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5" t="s">
        <v>1214</v>
      </c>
      <c r="D302" s="926">
        <v>48.42</v>
      </c>
      <c r="E302" s="921">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5" t="s">
        <v>1215</v>
      </c>
      <c r="D303" s="926">
        <v>48.89</v>
      </c>
      <c r="E303" s="921">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5" t="s">
        <v>1216</v>
      </c>
      <c r="D304" s="926">
        <v>48.32</v>
      </c>
      <c r="E304" s="921">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5" t="s">
        <v>1217</v>
      </c>
      <c r="D305" s="926">
        <v>50.68</v>
      </c>
      <c r="E305" s="921">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5" t="s">
        <v>1218</v>
      </c>
      <c r="D306" s="926">
        <v>51.31</v>
      </c>
      <c r="E306" s="921">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5" t="s">
        <v>1219</v>
      </c>
      <c r="D307" s="926">
        <v>52.7</v>
      </c>
      <c r="E307" s="921">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5" t="s">
        <v>1220</v>
      </c>
      <c r="D308" s="926">
        <v>53.41</v>
      </c>
      <c r="E308" s="921">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5" t="s">
        <v>1221</v>
      </c>
      <c r="D309" s="926">
        <v>54.24</v>
      </c>
      <c r="E309" s="921">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5" t="s">
        <v>1222</v>
      </c>
      <c r="D310" s="926">
        <v>54.37</v>
      </c>
      <c r="E310" s="921">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5" t="s">
        <v>1223</v>
      </c>
      <c r="D311" s="926">
        <v>54.05</v>
      </c>
      <c r="E311" s="921">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5" t="s">
        <v>1224</v>
      </c>
      <c r="D312" s="926">
        <v>50.32</v>
      </c>
      <c r="E312" s="921">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5" t="s">
        <v>1225</v>
      </c>
      <c r="D313" s="926">
        <v>50.36</v>
      </c>
      <c r="E313" s="921">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5" t="s">
        <v>1226</v>
      </c>
      <c r="D314" s="926">
        <v>48.73</v>
      </c>
      <c r="E314" s="921">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5" t="s">
        <v>1227</v>
      </c>
      <c r="D315" s="926">
        <v>48.19</v>
      </c>
      <c r="E315" s="921">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5" t="s">
        <v>1228</v>
      </c>
      <c r="D316" s="926">
        <v>48.75</v>
      </c>
      <c r="E316" s="921">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5" t="s">
        <v>1229</v>
      </c>
      <c r="D317" s="926">
        <v>49.27</v>
      </c>
      <c r="E317" s="921">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5" t="s">
        <v>1230</v>
      </c>
      <c r="D318" s="926">
        <v>47.16</v>
      </c>
      <c r="E318" s="921">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5" t="s">
        <v>1231</v>
      </c>
      <c r="D319" s="926">
        <v>46.73</v>
      </c>
      <c r="E319" s="921">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5" t="s">
        <v>1232</v>
      </c>
      <c r="D320" s="926">
        <v>47.09</v>
      </c>
      <c r="E320" s="921">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5" t="s">
        <v>1233</v>
      </c>
      <c r="D321" s="926">
        <v>46.95</v>
      </c>
      <c r="E321" s="921">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5" t="s">
        <v>1234</v>
      </c>
      <c r="D322" s="926">
        <v>46.8</v>
      </c>
      <c r="E322" s="921">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5" t="s">
        <v>1235</v>
      </c>
      <c r="D323" s="926">
        <v>46.72</v>
      </c>
      <c r="E323" s="921">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5" t="s">
        <v>1236</v>
      </c>
      <c r="D324" s="926">
        <v>45.23</v>
      </c>
      <c r="E324" s="921">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5" t="s">
        <v>1237</v>
      </c>
      <c r="D325" s="926">
        <v>43.4</v>
      </c>
      <c r="E325" s="921">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5" t="s">
        <v>1238</v>
      </c>
      <c r="D326" s="926">
        <v>41.58</v>
      </c>
      <c r="E326" s="921">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5" t="s">
        <v>1239</v>
      </c>
      <c r="D327" s="926">
        <v>42.84</v>
      </c>
      <c r="E327" s="921">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5" t="s">
        <v>1240</v>
      </c>
      <c r="D328" s="926">
        <v>42.6</v>
      </c>
      <c r="E328" s="921">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5" t="s">
        <v>1241</v>
      </c>
      <c r="D329" s="926">
        <v>44.16</v>
      </c>
      <c r="E329" s="921">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5" t="s">
        <v>1242</v>
      </c>
      <c r="D330" s="926">
        <v>43.77</v>
      </c>
      <c r="E330" s="921">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5" t="s">
        <v>1243</v>
      </c>
      <c r="D331" s="926">
        <v>42.76</v>
      </c>
      <c r="E331" s="921">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5" t="s">
        <v>1244</v>
      </c>
      <c r="D332" s="926">
        <v>42.53</v>
      </c>
      <c r="E332" s="921">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5" t="s">
        <v>1245</v>
      </c>
      <c r="D333" s="926">
        <v>47.2</v>
      </c>
      <c r="E333" s="921">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5" t="s">
        <v>1246</v>
      </c>
      <c r="D334" s="926">
        <v>41.06</v>
      </c>
      <c r="E334" s="921">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5" t="s">
        <v>1247</v>
      </c>
      <c r="D335" s="926">
        <v>42.14</v>
      </c>
      <c r="E335" s="921">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5" t="s">
        <v>1248</v>
      </c>
      <c r="D336" s="926">
        <v>43.14</v>
      </c>
      <c r="E336" s="921">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5" t="s">
        <v>1249</v>
      </c>
      <c r="D337" s="926">
        <v>47.95</v>
      </c>
      <c r="E337" s="921">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5" t="s">
        <v>1250</v>
      </c>
      <c r="D338" s="926">
        <v>55.14</v>
      </c>
      <c r="E338" s="921">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5" t="s">
        <v>1251</v>
      </c>
      <c r="D339" s="926">
        <v>53.54</v>
      </c>
      <c r="E339" s="921">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5" t="s">
        <v>1252</v>
      </c>
      <c r="D340" s="926">
        <v>53.57</v>
      </c>
      <c r="E340" s="921">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5" t="s">
        <v>1253</v>
      </c>
      <c r="D341" s="926">
        <v>52.22</v>
      </c>
      <c r="E341" s="921">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5" t="s">
        <v>1254</v>
      </c>
      <c r="D342" s="926">
        <v>54.35</v>
      </c>
      <c r="E342" s="921">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5" t="s">
        <v>1255</v>
      </c>
      <c r="D343" s="926">
        <v>60.29</v>
      </c>
      <c r="E343" s="921">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5" t="s">
        <v>1256</v>
      </c>
      <c r="D344" s="926">
        <v>61.7</v>
      </c>
      <c r="E344" s="921">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5" t="s">
        <v>1257</v>
      </c>
      <c r="D345" s="926">
        <v>62.17</v>
      </c>
      <c r="E345" s="921">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5" t="s">
        <v>1258</v>
      </c>
      <c r="D346" s="926">
        <v>59.37</v>
      </c>
      <c r="E346" s="921">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5" t="s">
        <v>1259</v>
      </c>
      <c r="D347" s="926">
        <v>59.18</v>
      </c>
      <c r="E347" s="921">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5" t="s">
        <v>1260</v>
      </c>
      <c r="D348" s="926">
        <v>59.3</v>
      </c>
      <c r="E348" s="921">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5" t="s">
        <v>1261</v>
      </c>
      <c r="D349" s="926">
        <v>58.46</v>
      </c>
      <c r="E349" s="921">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5" t="s">
        <v>1262</v>
      </c>
      <c r="D350" s="926">
        <v>57.62</v>
      </c>
      <c r="E350" s="921">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5" t="s">
        <v>1263</v>
      </c>
      <c r="D351" s="926">
        <v>56.33</v>
      </c>
      <c r="E351" s="921">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5" t="s">
        <v>1264</v>
      </c>
      <c r="D352" s="926">
        <v>54.26</v>
      </c>
      <c r="E352" s="921">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5" t="s">
        <v>1265</v>
      </c>
      <c r="D353" s="926">
        <v>54.92</v>
      </c>
      <c r="E353" s="921">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5" t="s">
        <v>1266</v>
      </c>
      <c r="D354" s="926">
        <v>54.41</v>
      </c>
      <c r="E354" s="921">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5" t="s">
        <v>1267</v>
      </c>
      <c r="D355" s="926">
        <v>53.6</v>
      </c>
      <c r="E355" s="921">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5" t="s">
        <v>1268</v>
      </c>
      <c r="D356" s="926">
        <v>56.25</v>
      </c>
      <c r="E356" s="921">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5" t="s">
        <v>1269</v>
      </c>
      <c r="D357" s="926">
        <v>57.75</v>
      </c>
      <c r="E357" s="921">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5" t="s">
        <v>1270</v>
      </c>
      <c r="D358" s="926">
        <v>60.86</v>
      </c>
      <c r="E358" s="921">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5" t="s">
        <v>1271</v>
      </c>
      <c r="D359" s="926">
        <v>60.41</v>
      </c>
      <c r="E359" s="921">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5" t="s">
        <v>1272</v>
      </c>
      <c r="D360" s="926">
        <v>63.77</v>
      </c>
      <c r="E360" s="921">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5" t="s">
        <v>1273</v>
      </c>
      <c r="D361" s="926">
        <v>66.2</v>
      </c>
      <c r="E361" s="921">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5" t="s">
        <v>1274</v>
      </c>
      <c r="D362" s="926">
        <v>64.86</v>
      </c>
      <c r="E362" s="921">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5" t="s">
        <v>1275</v>
      </c>
      <c r="D363" s="926">
        <v>65.77</v>
      </c>
      <c r="E363" s="921">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5" t="s">
        <v>1276</v>
      </c>
      <c r="D364" s="926">
        <v>64.8</v>
      </c>
      <c r="E364" s="921">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5" t="s">
        <v>1277</v>
      </c>
      <c r="D365" s="926">
        <v>65.17</v>
      </c>
      <c r="E365" s="921">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5" t="s">
        <v>1278</v>
      </c>
      <c r="D366" s="926">
        <v>65.62</v>
      </c>
      <c r="E366" s="921">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5" t="s">
        <v>1279</v>
      </c>
      <c r="D367" s="926">
        <v>66.75</v>
      </c>
      <c r="E367" s="921">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5" t="s">
        <v>1280</v>
      </c>
      <c r="D368" s="926">
        <v>69.49</v>
      </c>
      <c r="E368" s="921">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5" t="s">
        <v>1281</v>
      </c>
      <c r="D369" s="926">
        <v>71.93</v>
      </c>
      <c r="E369" s="921">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5" t="s">
        <v>1282</v>
      </c>
      <c r="D370" s="926">
        <v>71.48</v>
      </c>
      <c r="E370" s="921">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5" t="s">
        <v>1283</v>
      </c>
      <c r="D371" s="926">
        <v>70.9</v>
      </c>
      <c r="E371" s="921">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5" t="s">
        <v>1284</v>
      </c>
      <c r="D372" s="926">
        <v>70.77</v>
      </c>
      <c r="E372" s="921">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5" t="s">
        <v>1285</v>
      </c>
      <c r="D373" s="926">
        <v>71.92</v>
      </c>
      <c r="E373" s="921">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5" t="s">
        <v>1286</v>
      </c>
      <c r="D374" s="926">
        <v>73.26</v>
      </c>
      <c r="E374" s="921">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5" t="s">
        <v>1287</v>
      </c>
      <c r="D375" s="926">
        <v>74.64</v>
      </c>
      <c r="E375" s="921">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5" t="s">
        <v>1288</v>
      </c>
      <c r="D376" s="926">
        <v>76.49</v>
      </c>
      <c r="E376" s="921">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5" t="s">
        <v>1289</v>
      </c>
      <c r="D377" s="926">
        <v>75.32</v>
      </c>
      <c r="E377" s="921">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5" t="s">
        <v>1290</v>
      </c>
      <c r="D378" s="926">
        <v>74.73</v>
      </c>
      <c r="E378" s="921">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5" t="s">
        <v>1291</v>
      </c>
      <c r="D379" s="926">
        <v>74.57</v>
      </c>
      <c r="E379" s="921">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5" t="s">
        <v>1292</v>
      </c>
      <c r="D380" s="926">
        <v>76.89</v>
      </c>
      <c r="E380" s="921">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5" t="s">
        <v>1293</v>
      </c>
      <c r="D381" s="926">
        <v>77.14</v>
      </c>
      <c r="E381" s="921">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5" t="s">
        <v>1294</v>
      </c>
      <c r="D382" s="926">
        <v>75.7</v>
      </c>
      <c r="E382" s="921">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5" t="s">
        <v>1295</v>
      </c>
      <c r="D383" s="926">
        <v>76.29</v>
      </c>
      <c r="E383" s="921">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5" t="s">
        <v>1296</v>
      </c>
      <c r="D384" s="926">
        <v>74.89</v>
      </c>
      <c r="E384" s="921">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5" t="s">
        <v>1297</v>
      </c>
      <c r="D385" s="926">
        <v>76.16</v>
      </c>
      <c r="E385" s="921">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5" t="s">
        <v>1298</v>
      </c>
      <c r="D386" s="926">
        <v>75.82</v>
      </c>
      <c r="E386" s="921">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5" t="s">
        <v>1299</v>
      </c>
      <c r="D387" s="926">
        <v>76.87</v>
      </c>
      <c r="E387" s="921">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5" t="s">
        <v>1300</v>
      </c>
      <c r="D388" s="926">
        <v>77.87</v>
      </c>
      <c r="E388" s="921">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5" t="s">
        <v>1301</v>
      </c>
      <c r="D389" s="926">
        <v>75.75</v>
      </c>
      <c r="E389" s="921">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5" t="s">
        <v>1302</v>
      </c>
      <c r="D390" s="926">
        <v>74.46</v>
      </c>
      <c r="E390" s="921">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5" t="s">
        <v>1303</v>
      </c>
      <c r="D391" s="926">
        <v>74.32</v>
      </c>
      <c r="E391" s="921">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5" t="s">
        <v>1304</v>
      </c>
      <c r="D392" s="926">
        <v>71.52</v>
      </c>
      <c r="E392" s="921">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5" t="s">
        <v>1305</v>
      </c>
      <c r="D393" s="926">
        <v>70.88</v>
      </c>
      <c r="E393" s="921">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5" t="s">
        <v>1306</v>
      </c>
      <c r="D394" s="926">
        <v>71.48</v>
      </c>
      <c r="E394" s="921">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5" t="s">
        <v>1307</v>
      </c>
      <c r="D395" s="926">
        <v>80.13</v>
      </c>
      <c r="E395" s="921">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5" t="s">
        <v>1308</v>
      </c>
      <c r="D396" s="926">
        <v>79.58</v>
      </c>
      <c r="E396" s="921">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5" t="s">
        <v>1309</v>
      </c>
      <c r="D397" s="926">
        <v>81.31</v>
      </c>
      <c r="E397" s="921">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5" t="s">
        <v>1310</v>
      </c>
      <c r="D398" s="926">
        <v>81</v>
      </c>
      <c r="E398" s="921">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5" t="s">
        <v>1311</v>
      </c>
      <c r="D399" s="926">
        <v>79.02</v>
      </c>
      <c r="E399" s="921">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5" t="s">
        <v>1312</v>
      </c>
      <c r="D400" s="926">
        <v>78.4</v>
      </c>
      <c r="E400" s="921">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5" t="s">
        <v>1313</v>
      </c>
      <c r="D401" s="926">
        <v>78.87</v>
      </c>
      <c r="E401" s="921">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5" t="s">
        <v>1314</v>
      </c>
      <c r="D402" s="926">
        <v>78.85</v>
      </c>
      <c r="E402" s="921">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5" t="s">
        <v>1315</v>
      </c>
      <c r="D403" s="926">
        <v>79.8</v>
      </c>
      <c r="E403" s="921">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5" t="s">
        <v>1316</v>
      </c>
      <c r="D404" s="926">
        <v>78.59</v>
      </c>
      <c r="E404" s="921">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5" t="s">
        <v>1317</v>
      </c>
      <c r="D405" s="926">
        <v>77.53</v>
      </c>
      <c r="E405" s="921">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5" t="s">
        <v>1318</v>
      </c>
      <c r="D406" s="926">
        <v>76.22</v>
      </c>
      <c r="E406" s="921">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5" t="s">
        <v>1319</v>
      </c>
      <c r="D407" s="926">
        <v>75.26</v>
      </c>
      <c r="E407" s="921">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5" t="s">
        <v>1320</v>
      </c>
      <c r="D408" s="926">
        <v>75.76</v>
      </c>
      <c r="E408" s="921">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5" t="s">
        <v>1321</v>
      </c>
      <c r="D409" s="926">
        <v>79.19</v>
      </c>
      <c r="E409" s="921">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5" t="s">
        <v>1322</v>
      </c>
      <c r="D410" s="926">
        <v>81.75</v>
      </c>
      <c r="E410" s="921">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5" t="s">
        <v>1323</v>
      </c>
      <c r="D411" s="926">
        <v>80.92</v>
      </c>
      <c r="E411" s="921">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5" t="s">
        <v>1324</v>
      </c>
      <c r="D412" s="926">
        <v>81.08</v>
      </c>
      <c r="E412" s="921">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5" t="s">
        <v>1325</v>
      </c>
      <c r="D413" s="926">
        <v>80.25</v>
      </c>
      <c r="E413" s="921">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5" t="s">
        <v>1326</v>
      </c>
      <c r="D414" s="926">
        <v>78.43</v>
      </c>
      <c r="E414" s="921">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5" t="s">
        <v>1327</v>
      </c>
      <c r="D415" s="926">
        <v>79.51</v>
      </c>
      <c r="E415" s="921">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5" t="s">
        <v>1328</v>
      </c>
      <c r="D416" s="926">
        <v>78.12</v>
      </c>
      <c r="E416" s="921">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5" t="s">
        <v>1329</v>
      </c>
      <c r="D417" s="926">
        <v>77.99</v>
      </c>
      <c r="E417" s="921">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5" t="s">
        <v>1330</v>
      </c>
      <c r="D418" s="926">
        <v>77.34</v>
      </c>
      <c r="E418" s="921">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5" t="s">
        <v>1331</v>
      </c>
      <c r="D419" s="926">
        <v>77.95</v>
      </c>
      <c r="E419" s="921">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5" t="s">
        <v>1332</v>
      </c>
      <c r="D420" s="926">
        <v>78.22</v>
      </c>
      <c r="E420" s="921">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5" t="s">
        <v>1333</v>
      </c>
      <c r="D421" s="926">
        <v>79.14</v>
      </c>
      <c r="E421" s="921">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5" t="s">
        <v>1334</v>
      </c>
      <c r="D422" s="926">
        <v>78.93</v>
      </c>
      <c r="E422" s="921">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5" t="s">
        <v>1335</v>
      </c>
      <c r="D423" s="926">
        <v>79.45</v>
      </c>
      <c r="E423" s="921">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5" t="s">
        <v>1336</v>
      </c>
      <c r="D424" s="926">
        <v>79.48</v>
      </c>
      <c r="E424" s="921">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5" t="s">
        <v>1337</v>
      </c>
      <c r="D425" s="926">
        <v>78.58</v>
      </c>
      <c r="E425" s="921">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5" t="s">
        <v>1338</v>
      </c>
      <c r="D426" s="926">
        <v>76.77</v>
      </c>
      <c r="E426" s="921">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5" t="s">
        <v>1339</v>
      </c>
      <c r="D427" s="926">
        <v>74.91</v>
      </c>
      <c r="E427" s="921">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5" t="s">
        <v>1340</v>
      </c>
      <c r="D428" s="926">
        <v>74.62</v>
      </c>
      <c r="E428" s="921">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5" t="s">
        <v>1341</v>
      </c>
      <c r="D429" s="926">
        <v>73.83</v>
      </c>
      <c r="E429" s="921">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5" t="s">
        <v>1342</v>
      </c>
      <c r="D430" s="926">
        <v>74.2</v>
      </c>
      <c r="E430" s="921">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5" t="s">
        <v>1343</v>
      </c>
      <c r="D431" s="926">
        <v>73.5</v>
      </c>
      <c r="E431" s="921">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5"/>
      <c r="D432" s="926"/>
      <c r="E432" s="921"/>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5"/>
      <c r="D433" s="926"/>
      <c r="E433" s="921"/>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5"/>
      <c r="D434" s="926"/>
      <c r="E434" s="921"/>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5"/>
      <c r="D435" s="926"/>
      <c r="E435" s="921"/>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5"/>
      <c r="D436" s="926"/>
      <c r="E436" s="921"/>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5"/>
      <c r="D437" s="926"/>
      <c r="E437" s="921"/>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5"/>
      <c r="D438" s="926"/>
      <c r="E438" s="921"/>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5"/>
      <c r="D439" s="926"/>
      <c r="E439" s="921"/>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5"/>
      <c r="D440" s="926"/>
      <c r="E440" s="921"/>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5"/>
      <c r="D441" s="926"/>
      <c r="E441" s="921"/>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5"/>
      <c r="D442" s="926"/>
      <c r="E442" s="921"/>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5"/>
      <c r="D443" s="926"/>
      <c r="E443" s="921"/>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5"/>
      <c r="D444" s="926"/>
      <c r="E444" s="921"/>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5"/>
      <c r="D445" s="926"/>
      <c r="E445" s="921"/>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5"/>
      <c r="D446" s="926"/>
      <c r="E446" s="921"/>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7"/>
      <c r="D447" s="926"/>
      <c r="E447" s="921"/>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8">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9">
        <f>Current_Date</f>
        <v>46091</v>
      </c>
      <c r="F5" s="8"/>
      <c r="G5" s="930" t="str">
        <f>'MM Banking Comparables'!D10</f>
        <v>Jefferies Financial Group Inc.</v>
      </c>
      <c r="H5" s="930" t="str">
        <f>'MM Banking Comparables'!D12</f>
        <v>Piper Sandler Companies</v>
      </c>
      <c r="I5" s="930" t="str">
        <f>'MM Banking Comparables'!D13</f>
        <v>Stifel Financial Corp.</v>
      </c>
      <c r="J5" s="930" t="str">
        <f>'MM Banking Comparables'!D14</f>
        <v>Raymond James Financial, Inc.</v>
      </c>
      <c r="K5" s="930" t="str">
        <f>'MM Banking Comparables'!D15</f>
        <v>Houlihan Lokey, Inc.</v>
      </c>
      <c r="L5" s="930"/>
      <c r="M5" s="8"/>
      <c r="N5" s="8"/>
      <c r="O5" s="8"/>
      <c r="P5" s="8"/>
      <c r="Q5" s="8"/>
      <c r="R5" s="8"/>
      <c r="S5" s="8"/>
      <c r="T5" s="8"/>
      <c r="U5" s="8"/>
      <c r="V5" s="8"/>
      <c r="W5" s="8"/>
      <c r="X5" s="8"/>
      <c r="Y5" s="8"/>
      <c r="Z5" s="8"/>
    </row>
    <row r="6" spans="1:26" x14ac:dyDescent="0.25">
      <c r="A6" s="9"/>
      <c r="B6" s="8"/>
      <c r="C6" s="190" t="s">
        <v>1346</v>
      </c>
      <c r="D6" s="122"/>
      <c r="E6" s="931">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2" t="s">
        <v>1347</v>
      </c>
      <c r="D10" s="103"/>
      <c r="E10" s="103"/>
      <c r="F10" s="40"/>
      <c r="G10" s="8"/>
      <c r="H10" s="8"/>
      <c r="I10" s="8"/>
      <c r="J10" s="8"/>
      <c r="K10" s="8"/>
      <c r="L10" s="8"/>
      <c r="M10" s="8"/>
      <c r="N10" s="8"/>
      <c r="O10" s="932"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3" t="str">
        <f t="array" ref="C12:C17">TRANSPOSE(G5:L5)</f>
        <v>Jefferies Financial Group Inc.</v>
      </c>
      <c r="D12" s="934">
        <f>'MM Banking Comparables'!J10</f>
        <v>0.04987597357887763</v>
      </c>
      <c r="E12" s="935"/>
      <c r="F12" s="8"/>
      <c r="G12" s="8"/>
      <c r="H12" s="8"/>
      <c r="I12" s="8"/>
      <c r="J12" s="8"/>
      <c r="K12" s="8"/>
      <c r="L12" s="8"/>
      <c r="M12" s="8"/>
      <c r="N12" s="8"/>
      <c r="O12" s="933" t="str">
        <f t="shared" ref="O12:P12" si="0">C12</f>
        <v>Jefferies Financial Group Inc.</v>
      </c>
      <c r="P12" s="935">
        <f t="shared" si="0"/>
        <v>0.04987597357887763</v>
      </c>
      <c r="Q12" s="935"/>
      <c r="R12" s="8"/>
      <c r="S12" s="8"/>
      <c r="T12" s="8"/>
      <c r="U12" s="8"/>
      <c r="V12" s="8"/>
      <c r="W12" s="8"/>
      <c r="X12" s="8"/>
      <c r="Y12" s="8"/>
      <c r="Z12" s="8"/>
    </row>
    <row r="13" spans="1:26" x14ac:dyDescent="0.25">
      <c r="A13" s="9"/>
      <c r="B13" s="688">
        <v>1</v>
      </c>
      <c r="C13" s="782" t="s">
        <v>649</v>
      </c>
      <c r="D13" s="936">
        <f>'MM Banking Comparables'!J12</f>
        <v>0.1536389010127701</v>
      </c>
      <c r="E13" s="937">
        <f>MEDIAN(D13:D17)</f>
        <v>0.11247225976618203</v>
      </c>
      <c r="F13" s="8"/>
      <c r="G13" s="8"/>
      <c r="H13" s="8"/>
      <c r="I13" s="8"/>
      <c r="J13" s="8"/>
      <c r="K13" s="8"/>
      <c r="L13" s="8"/>
      <c r="M13" s="8"/>
      <c r="N13" s="8"/>
      <c r="O13" s="782" t="str">
        <f t="shared" ref="O13:O17" si="1">INDEX($C$13:$C$17,MATCH(P13,$D$13:$D$17,0),1)</f>
        <v>Piper Sandler Companies</v>
      </c>
      <c r="P13" s="937">
        <f t="shared" ref="P13:P17" si="2">LARGE($D$13:$D$17,B13)</f>
        <v>0.1536389010127701</v>
      </c>
      <c r="Q13" s="937">
        <f t="shared" ref="Q13:Q17" si="3">E13</f>
        <v>0.11247225976618203</v>
      </c>
      <c r="R13" s="937"/>
      <c r="S13" s="8"/>
      <c r="T13" s="8"/>
      <c r="U13" s="8"/>
      <c r="V13" s="8"/>
      <c r="W13" s="8"/>
      <c r="X13" s="8"/>
      <c r="Y13" s="8"/>
      <c r="Z13" s="8"/>
    </row>
    <row r="14" spans="1:26" x14ac:dyDescent="0.25">
      <c r="A14" s="9"/>
      <c r="B14" s="8">
        <f t="shared" ref="B14:B17" si="4">B13+1</f>
        <v>2</v>
      </c>
      <c r="C14" s="782" t="s">
        <v>652</v>
      </c>
      <c r="D14" s="936">
        <f>'MM Banking Comparables'!J13</f>
        <v>0.10059767017370169</v>
      </c>
      <c r="E14" s="937">
        <f t="shared" ref="E14:E17" si="5">E13</f>
        <v>0.11247225976618203</v>
      </c>
      <c r="F14" s="8"/>
      <c r="G14" s="8"/>
      <c r="H14" s="8"/>
      <c r="I14" s="8"/>
      <c r="J14" s="8"/>
      <c r="K14" s="8"/>
      <c r="L14" s="8"/>
      <c r="M14" s="8"/>
      <c r="N14" s="8"/>
      <c r="O14" s="782" t="str">
        <f t="shared" si="1"/>
        <v>Houlihan Lokey, Inc.</v>
      </c>
      <c r="P14" s="937">
        <f t="shared" si="2"/>
        <v>0.14272165637140954</v>
      </c>
      <c r="Q14" s="937">
        <f t="shared" si="3"/>
        <v>0.11247225976618203</v>
      </c>
      <c r="R14" s="937"/>
      <c r="S14" s="8"/>
      <c r="T14" s="8"/>
      <c r="U14" s="8"/>
      <c r="V14" s="8"/>
      <c r="W14" s="8"/>
      <c r="X14" s="8"/>
      <c r="Y14" s="8"/>
      <c r="Z14" s="8"/>
    </row>
    <row r="15" spans="1:26" x14ac:dyDescent="0.25">
      <c r="A15" s="9"/>
      <c r="B15" s="8">
        <f t="shared" si="4"/>
        <v>3</v>
      </c>
      <c r="C15" s="782" t="s">
        <v>654</v>
      </c>
      <c r="D15" s="936">
        <f>'MM Banking Comparables'!J14</f>
        <v>0.11247225976618203</v>
      </c>
      <c r="E15" s="937">
        <f t="shared" si="5"/>
        <v>0.11247225976618203</v>
      </c>
      <c r="F15" s="8"/>
      <c r="G15" s="8"/>
      <c r="H15" s="8"/>
      <c r="I15" s="8"/>
      <c r="J15" s="8"/>
      <c r="K15" s="8"/>
      <c r="L15" s="8"/>
      <c r="M15" s="8"/>
      <c r="N15" s="8"/>
      <c r="O15" s="782" t="str">
        <f t="shared" si="1"/>
        <v>Raymond James Financial, Inc.</v>
      </c>
      <c r="P15" s="937">
        <f t="shared" si="2"/>
        <v>0.11247225976618203</v>
      </c>
      <c r="Q15" s="937">
        <f t="shared" si="3"/>
        <v>0.11247225976618203</v>
      </c>
      <c r="R15" s="937"/>
      <c r="S15" s="8"/>
      <c r="T15" s="8"/>
      <c r="U15" s="8"/>
      <c r="V15" s="8"/>
      <c r="W15" s="8"/>
      <c r="X15" s="8"/>
      <c r="Y15" s="8"/>
      <c r="Z15" s="8"/>
    </row>
    <row r="16" spans="1:26" x14ac:dyDescent="0.25">
      <c r="A16" s="9"/>
      <c r="B16" s="8">
        <f t="shared" si="4"/>
        <v>4</v>
      </c>
      <c r="C16" s="782" t="s">
        <v>656</v>
      </c>
      <c r="D16" s="936">
        <f>'MM Banking Comparables'!J15</f>
        <v>0.14272165637140954</v>
      </c>
      <c r="E16" s="937">
        <f t="shared" si="5"/>
        <v>0.11247225976618203</v>
      </c>
      <c r="F16" s="8"/>
      <c r="G16" s="8"/>
      <c r="H16" s="8"/>
      <c r="I16" s="8"/>
      <c r="J16" s="8"/>
      <c r="K16" s="8"/>
      <c r="L16" s="8"/>
      <c r="M16" s="8"/>
      <c r="N16" s="8"/>
      <c r="O16" s="782" t="str">
        <f t="shared" si="1"/>
        <v>Stifel Financial Corp.</v>
      </c>
      <c r="P16" s="937">
        <f t="shared" si="2"/>
        <v>0.10059767017370169</v>
      </c>
      <c r="Q16" s="937">
        <f t="shared" si="3"/>
        <v>0.11247225976618203</v>
      </c>
      <c r="R16" s="937"/>
      <c r="S16" s="8"/>
      <c r="T16" s="8"/>
      <c r="U16" s="8"/>
      <c r="V16" s="8"/>
      <c r="W16" s="8"/>
      <c r="X16" s="8"/>
      <c r="Y16" s="8"/>
      <c r="Z16" s="8"/>
    </row>
    <row r="17" spans="1:26" x14ac:dyDescent="0.25">
      <c r="A17" s="9"/>
      <c r="B17" s="8">
        <f t="shared" si="4"/>
        <v>5</v>
      </c>
      <c r="C17" s="782">
        <v>0</v>
      </c>
      <c r="D17" s="936">
        <f>'MM Banking Comparables'!J16</f>
        <v>0</v>
      </c>
      <c r="E17" s="937">
        <f t="shared" si="5"/>
        <v>0.11247225976618203</v>
      </c>
      <c r="F17" s="8"/>
      <c r="G17" s="8"/>
      <c r="H17" s="8"/>
      <c r="I17" s="8"/>
      <c r="J17" s="8"/>
      <c r="K17" s="8"/>
      <c r="L17" s="8"/>
      <c r="M17" s="8"/>
      <c r="N17" s="8"/>
      <c r="O17" s="782">
        <f t="shared" si="1"/>
        <v>0</v>
      </c>
      <c r="P17" s="937">
        <f t="shared" si="2"/>
        <v>0</v>
      </c>
      <c r="Q17" s="937">
        <f t="shared" si="3"/>
        <v>0.11247225976618203</v>
      </c>
      <c r="R17" s="937"/>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8" t="str">
        <f>"Median "&amp;TEXT(E13,"0.0%")</f>
        <v>Median 11.2%</v>
      </c>
      <c r="F19" s="8"/>
      <c r="G19" s="8"/>
      <c r="H19" s="8"/>
      <c r="I19" s="8"/>
      <c r="J19" s="8"/>
      <c r="K19" s="8"/>
      <c r="L19" s="8"/>
      <c r="M19" s="8"/>
      <c r="N19" s="8"/>
      <c r="O19" s="8"/>
      <c r="P19" s="8"/>
      <c r="Q19" s="938"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7"/>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7"/>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7"/>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7"/>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2" t="str">
        <f>C10</f>
        <v>Raw Data</v>
      </c>
      <c r="D26" s="103"/>
      <c r="E26" s="103"/>
      <c r="F26" s="40"/>
      <c r="G26" s="8"/>
      <c r="H26" s="8"/>
      <c r="I26" s="8"/>
      <c r="J26" s="8"/>
      <c r="K26" s="8"/>
      <c r="L26" s="8"/>
      <c r="M26" s="8"/>
      <c r="N26" s="8"/>
      <c r="O26" s="932"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8"/>
      <c r="C28" s="933" t="str">
        <f t="shared" ref="C28:C33" si="6">C12</f>
        <v>Jefferies Financial Group Inc.</v>
      </c>
      <c r="D28" s="934">
        <f>'MM Banking Comparables'!L10</f>
        <v>0.009197324414715657</v>
      </c>
      <c r="E28" s="935"/>
      <c r="F28" s="8"/>
      <c r="G28" s="8"/>
      <c r="H28" s="8"/>
      <c r="I28" s="8"/>
      <c r="J28" s="8"/>
      <c r="K28" s="8"/>
      <c r="L28" s="8"/>
      <c r="M28" s="8"/>
      <c r="N28" s="8"/>
      <c r="O28" s="933" t="str">
        <f t="shared" ref="O28:P28" si="7">C28</f>
        <v>Jefferies Financial Group Inc.</v>
      </c>
      <c r="P28" s="935">
        <f t="shared" si="7"/>
        <v>0.009197324414715657</v>
      </c>
      <c r="Q28" s="935"/>
      <c r="R28" s="8"/>
      <c r="S28" s="8"/>
      <c r="T28" s="8"/>
      <c r="U28" s="8"/>
      <c r="V28" s="8"/>
      <c r="W28" s="8"/>
      <c r="X28" s="8"/>
      <c r="Y28" s="8"/>
      <c r="Z28" s="8"/>
    </row>
    <row r="29" ht="15.75" customHeight="1" spans="1:26" x14ac:dyDescent="0.25">
      <c r="A29" s="9"/>
      <c r="B29" s="688">
        <v>1</v>
      </c>
      <c r="C29" s="782" t="str">
        <f t="shared" si="6"/>
        <v>Piper Sandler Companies</v>
      </c>
      <c r="D29" s="936">
        <f>'MM Banking Comparables'!L12+RAND()/1000000</f>
        <v>0.21900068208901452</v>
      </c>
      <c r="E29" s="937">
        <f>MEDIAN(D29:D32)</f>
        <v>0.1751505523969913</v>
      </c>
      <c r="F29" s="8"/>
      <c r="G29" s="8"/>
      <c r="H29" s="8"/>
      <c r="I29" s="8"/>
      <c r="J29" s="8"/>
      <c r="K29" s="8"/>
      <c r="L29" s="8"/>
      <c r="M29" s="8"/>
      <c r="N29" s="8"/>
      <c r="O29" s="782" t="str">
        <f t="shared" ref="O29:O33" si="8">INDEX($C$29:$C$33,MATCH(P29,$D$29:$D$33,0),1)</f>
        <v>Houlihan Lokey, Inc.</v>
      </c>
      <c r="P29" s="937">
        <f t="shared" ref="P29:P33" si="9">LARGE($D$29:$D$33,B29)</f>
        <v>0.36860570894147476</v>
      </c>
      <c r="Q29" s="937">
        <f t="shared" ref="Q29:Q33" si="10">E29</f>
        <v>0.1751505523969913</v>
      </c>
      <c r="R29" s="8"/>
      <c r="S29" s="8"/>
      <c r="T29" s="8"/>
      <c r="U29" s="8"/>
      <c r="V29" s="8"/>
      <c r="W29" s="8"/>
      <c r="X29" s="8"/>
      <c r="Y29" s="8"/>
      <c r="Z29" s="8"/>
    </row>
    <row r="30" ht="15.75" customHeight="1" spans="1:26" x14ac:dyDescent="0.25">
      <c r="A30" s="9"/>
      <c r="B30" s="8">
        <f t="shared" ref="B30:B33" si="11">B29+1</f>
        <v>2</v>
      </c>
      <c r="C30" s="782" t="str">
        <f t="shared" si="6"/>
        <v>Stifel Financial Corp.</v>
      </c>
      <c r="D30" s="936">
        <f>'MM Banking Comparables'!L13+RAND()/1000000</f>
        <v>0.007000587451926693</v>
      </c>
      <c r="E30" s="937">
        <f t="shared" ref="E30:E33" si="12">E29</f>
        <v>0.1751505523969913</v>
      </c>
      <c r="F30" s="8"/>
      <c r="G30" s="8"/>
      <c r="H30" s="8"/>
      <c r="I30" s="8"/>
      <c r="J30" s="8"/>
      <c r="K30" s="8"/>
      <c r="L30" s="8"/>
      <c r="M30" s="8"/>
      <c r="N30" s="8"/>
      <c r="O30" s="782" t="str">
        <f t="shared" si="8"/>
        <v>Piper Sandler Companies</v>
      </c>
      <c r="P30" s="937">
        <f t="shared" si="9"/>
        <v>0.21900068208901452</v>
      </c>
      <c r="Q30" s="937">
        <f t="shared" si="10"/>
        <v>0.1751505523969913</v>
      </c>
      <c r="R30" s="8"/>
      <c r="S30" s="8"/>
      <c r="T30" s="8"/>
      <c r="U30" s="8"/>
      <c r="V30" s="8"/>
      <c r="W30" s="8"/>
      <c r="X30" s="8"/>
      <c r="Y30" s="8"/>
      <c r="Z30" s="8"/>
    </row>
    <row r="31" ht="15.75" customHeight="1" spans="1:26" x14ac:dyDescent="0.25">
      <c r="A31" s="9"/>
      <c r="B31" s="8">
        <f t="shared" si="11"/>
        <v>3</v>
      </c>
      <c r="C31" s="782" t="str">
        <f t="shared" si="6"/>
        <v>Raymond James Financial, Inc.</v>
      </c>
      <c r="D31" s="936">
        <f>'MM Banking Comparables'!L14+RAND()/1000000</f>
        <v>0.13130042270496808</v>
      </c>
      <c r="E31" s="937">
        <f t="shared" si="12"/>
        <v>0.1751505523969913</v>
      </c>
      <c r="F31" s="8"/>
      <c r="G31" s="8"/>
      <c r="H31" s="8"/>
      <c r="I31" s="8"/>
      <c r="J31" s="8"/>
      <c r="K31" s="8"/>
      <c r="L31" s="8"/>
      <c r="M31" s="8"/>
      <c r="N31" s="8"/>
      <c r="O31" s="782" t="str">
        <f t="shared" si="8"/>
        <v>Raymond James Financial, Inc.</v>
      </c>
      <c r="P31" s="937">
        <f t="shared" si="9"/>
        <v>0.13130042270496808</v>
      </c>
      <c r="Q31" s="937">
        <f t="shared" si="10"/>
        <v>0.1751505523969913</v>
      </c>
      <c r="R31" s="8"/>
      <c r="S31" s="8"/>
      <c r="T31" s="8"/>
      <c r="U31" s="8"/>
      <c r="V31" s="8"/>
      <c r="W31" s="8"/>
      <c r="X31" s="8"/>
      <c r="Y31" s="8"/>
      <c r="Z31" s="8"/>
    </row>
    <row r="32" ht="15.75" customHeight="1" spans="1:26" x14ac:dyDescent="0.25">
      <c r="A32" s="9"/>
      <c r="B32" s="8">
        <f t="shared" si="11"/>
        <v>4</v>
      </c>
      <c r="C32" s="782" t="str">
        <f t="shared" si="6"/>
        <v>Houlihan Lokey, Inc.</v>
      </c>
      <c r="D32" s="936">
        <f>'MM Banking Comparables'!L15+RAND()/1000000</f>
        <v>0.36860570894147476</v>
      </c>
      <c r="E32" s="937">
        <f t="shared" si="12"/>
        <v>0.1751505523969913</v>
      </c>
      <c r="F32" s="8"/>
      <c r="G32" s="8"/>
      <c r="H32" s="8"/>
      <c r="I32" s="8"/>
      <c r="J32" s="8"/>
      <c r="K32" s="8"/>
      <c r="L32" s="8"/>
      <c r="M32" s="8"/>
      <c r="N32" s="8"/>
      <c r="O32" s="782" t="str">
        <f t="shared" si="8"/>
        <v>Stifel Financial Corp.</v>
      </c>
      <c r="P32" s="937">
        <f t="shared" si="9"/>
        <v>0.007000587451926693</v>
      </c>
      <c r="Q32" s="937">
        <f t="shared" si="10"/>
        <v>0.1751505523969913</v>
      </c>
      <c r="R32" s="8"/>
      <c r="S32" s="8"/>
      <c r="T32" s="8"/>
      <c r="U32" s="8"/>
      <c r="V32" s="8"/>
      <c r="W32" s="8"/>
      <c r="X32" s="8"/>
      <c r="Y32" s="8"/>
      <c r="Z32" s="8"/>
    </row>
    <row r="33" ht="15.75" customHeight="1" spans="1:26" x14ac:dyDescent="0.25">
      <c r="A33" s="9"/>
      <c r="B33" s="8">
        <f t="shared" si="11"/>
        <v>5</v>
      </c>
      <c r="C33" s="782">
        <f t="shared" si="6"/>
        <v>0</v>
      </c>
      <c r="D33" s="936">
        <f>'MM Banking Comparables'!L16+RAND()/1000000</f>
        <v>4.530131964864992e-8</v>
      </c>
      <c r="E33" s="937">
        <f t="shared" si="12"/>
        <v>0.1751505523969913</v>
      </c>
      <c r="F33" s="8"/>
      <c r="G33" s="8"/>
      <c r="H33" s="8"/>
      <c r="I33" s="8"/>
      <c r="J33" s="8"/>
      <c r="K33" s="8"/>
      <c r="L33" s="8"/>
      <c r="M33" s="8"/>
      <c r="N33" s="8"/>
      <c r="O33" s="782">
        <f t="shared" si="8"/>
        <v>0</v>
      </c>
      <c r="P33" s="937">
        <f t="shared" si="9"/>
        <v>4.530131964864992e-8</v>
      </c>
      <c r="Q33" s="937">
        <f t="shared" si="10"/>
        <v>0.1751505523969913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8" t="str">
        <f>"Median "&amp;TEXT(E29,"0.0%")</f>
        <v>Median 17.5%</v>
      </c>
      <c r="F35" s="8"/>
      <c r="G35" s="8"/>
      <c r="H35" s="8"/>
      <c r="I35" s="8"/>
      <c r="J35" s="8"/>
      <c r="K35" s="8"/>
      <c r="L35" s="8"/>
      <c r="M35" s="8"/>
      <c r="N35" s="8"/>
      <c r="O35" s="8"/>
      <c r="P35" s="8"/>
      <c r="Q35" s="938"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2" t="str">
        <f>C26</f>
        <v>Raw Data</v>
      </c>
      <c r="D42" s="103"/>
      <c r="E42" s="103"/>
      <c r="F42" s="40"/>
      <c r="G42" s="8"/>
      <c r="H42" s="8"/>
      <c r="I42" s="8"/>
      <c r="J42" s="8"/>
      <c r="K42" s="8"/>
      <c r="L42" s="8"/>
      <c r="M42" s="8"/>
      <c r="N42" s="8"/>
      <c r="O42" s="932"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3" t="str">
        <f t="shared" ref="C44:C48" si="13">C28</f>
        <v>Jefferies Financial Group Inc.</v>
      </c>
      <c r="D44" s="939">
        <f>'MM Banking Comparables'!R10</f>
        <v>21.4</v>
      </c>
      <c r="E44" s="935"/>
      <c r="F44" s="8"/>
      <c r="G44" s="8"/>
      <c r="H44" s="8"/>
      <c r="I44" s="8"/>
      <c r="J44" s="8"/>
      <c r="K44" s="8"/>
      <c r="L44" s="8"/>
      <c r="M44" s="8"/>
      <c r="N44" s="8"/>
      <c r="O44" s="933" t="str">
        <f t="shared" ref="O44:P44" si="14">C44</f>
        <v>Jefferies Financial Group Inc.</v>
      </c>
      <c r="P44" s="940">
        <f t="shared" si="14"/>
        <v>21.4</v>
      </c>
      <c r="Q44" s="935"/>
      <c r="R44" s="8"/>
      <c r="S44" s="8"/>
      <c r="T44" s="8"/>
      <c r="U44" s="8"/>
      <c r="V44" s="8"/>
      <c r="W44" s="8"/>
      <c r="X44" s="8"/>
      <c r="Y44" s="8"/>
      <c r="Z44" s="8"/>
    </row>
    <row r="45" ht="15.75" customHeight="1" spans="1:26" x14ac:dyDescent="0.25">
      <c r="A45" s="9"/>
      <c r="B45" s="688">
        <v>1</v>
      </c>
      <c r="C45" s="782" t="str">
        <f t="shared" si="13"/>
        <v>Piper Sandler Companies</v>
      </c>
      <c r="D45" s="941" t="s">
        <v>683</v>
      </c>
      <c r="E45" s="942">
        <f>MEDIAN(D45:D49)</f>
        <v>10.84054909060188</v>
      </c>
      <c r="F45" s="8"/>
      <c r="G45" s="8"/>
      <c r="H45" s="8"/>
      <c r="I45" s="8"/>
      <c r="J45" s="8"/>
      <c r="K45" s="8"/>
      <c r="L45" s="8"/>
      <c r="M45" s="8"/>
      <c r="N45" s="8"/>
      <c r="O45" s="782" t="str">
        <f t="shared" ref="O45:O49" si="15">INDEX($C$45:$C$49,MATCH(P45,$D$45:$D$49,0),1)</f>
        <v>Stifel Financial Corp.</v>
      </c>
      <c r="P45" s="942">
        <f t="shared" ref="P45:P49" si="16">LARGE($D$45:$D$49,B45)</f>
        <v>10.84054909060188</v>
      </c>
      <c r="Q45" s="942">
        <f t="shared" ref="Q45:Q49" si="17">E45</f>
        <v>10.84054909060188</v>
      </c>
      <c r="R45" s="8"/>
      <c r="S45" s="8"/>
      <c r="T45" s="8"/>
      <c r="U45" s="8"/>
      <c r="V45" s="8"/>
      <c r="W45" s="8"/>
      <c r="X45" s="8"/>
      <c r="Y45" s="8"/>
      <c r="Z45" s="8"/>
    </row>
    <row r="46" ht="15.75" customHeight="1" spans="1:26" x14ac:dyDescent="0.25">
      <c r="A46" s="9"/>
      <c r="B46" s="8">
        <f t="shared" ref="B46:B49" si="18">B45+1</f>
        <v>2</v>
      </c>
      <c r="C46" s="782" t="str">
        <f t="shared" si="13"/>
        <v>Stifel Financial Corp.</v>
      </c>
      <c r="D46" s="941">
        <f>'MM Banking Comparables'!R13+RAND()/1000000</f>
        <v>10.84054909060188</v>
      </c>
      <c r="E46" s="942">
        <f t="shared" ref="E46:E48" si="19">E45</f>
        <v>10.84054909060188</v>
      </c>
      <c r="F46" s="8"/>
      <c r="G46" s="8"/>
      <c r="H46" s="8"/>
      <c r="I46" s="8"/>
      <c r="J46" s="8"/>
      <c r="K46" s="8"/>
      <c r="L46" s="8"/>
      <c r="M46" s="8"/>
      <c r="N46" s="8"/>
      <c r="O46" s="782" t="e">
        <f t="shared" si="15"/>
        <v>#NUM!</v>
      </c>
      <c r="P46" s="942" t="e">
        <f t="shared" si="16"/>
        <v>#NUM!</v>
      </c>
      <c r="Q46" s="942">
        <f t="shared" si="17"/>
        <v>10.84054909060188</v>
      </c>
      <c r="R46" s="8"/>
      <c r="S46" s="8"/>
      <c r="T46" s="8"/>
      <c r="U46" s="8"/>
      <c r="V46" s="8"/>
      <c r="W46" s="8"/>
      <c r="X46" s="8"/>
      <c r="Y46" s="8"/>
      <c r="Z46" s="8"/>
    </row>
    <row r="47" ht="15.75" customHeight="1" spans="1:26" x14ac:dyDescent="0.25">
      <c r="A47" s="9"/>
      <c r="B47" s="8">
        <f t="shared" si="18"/>
        <v>3</v>
      </c>
      <c r="C47" s="782" t="str">
        <f t="shared" si="13"/>
        <v>Raymond James Financial, Inc.</v>
      </c>
      <c r="D47" s="941" t="s">
        <v>683</v>
      </c>
      <c r="E47" s="942">
        <f t="shared" si="19"/>
        <v>10.84054909060188</v>
      </c>
      <c r="F47" s="8"/>
      <c r="G47" s="8"/>
      <c r="H47" s="8"/>
      <c r="I47" s="8"/>
      <c r="J47" s="8"/>
      <c r="K47" s="8"/>
      <c r="L47" s="8"/>
      <c r="M47" s="8"/>
      <c r="N47" s="8"/>
      <c r="O47" s="782" t="e">
        <f t="shared" si="15"/>
        <v>#NUM!</v>
      </c>
      <c r="P47" s="942" t="e">
        <f t="shared" si="16"/>
        <v>#NUM!</v>
      </c>
      <c r="Q47" s="942">
        <f t="shared" si="17"/>
        <v>10.84054909060188</v>
      </c>
      <c r="R47" s="8"/>
      <c r="S47" s="8"/>
      <c r="T47" s="8"/>
      <c r="U47" s="8"/>
      <c r="V47" s="8"/>
      <c r="W47" s="8"/>
      <c r="X47" s="8"/>
      <c r="Y47" s="8"/>
      <c r="Z47" s="8"/>
    </row>
    <row r="48" ht="15.75" customHeight="1" spans="1:26" x14ac:dyDescent="0.25">
      <c r="A48" s="9"/>
      <c r="B48" s="8">
        <f t="shared" si="18"/>
        <v>4</v>
      </c>
      <c r="C48" s="782" t="str">
        <f t="shared" si="13"/>
        <v>Houlihan Lokey, Inc.</v>
      </c>
      <c r="D48" s="941" t="s">
        <v>683</v>
      </c>
      <c r="E48" s="942">
        <f t="shared" si="19"/>
        <v>10.84054909060188</v>
      </c>
      <c r="F48" s="8"/>
      <c r="G48" s="8"/>
      <c r="H48" s="8"/>
      <c r="I48" s="8"/>
      <c r="J48" s="8"/>
      <c r="K48" s="8"/>
      <c r="L48" s="8"/>
      <c r="M48" s="8"/>
      <c r="N48" s="8"/>
      <c r="O48" s="782" t="e">
        <f t="shared" si="15"/>
        <v>#NUM!</v>
      </c>
      <c r="P48" s="942" t="e">
        <f t="shared" si="16"/>
        <v>#NUM!</v>
      </c>
      <c r="Q48" s="942">
        <f t="shared" si="17"/>
        <v>10.84054909060188</v>
      </c>
      <c r="R48" s="8"/>
      <c r="S48" s="8"/>
      <c r="T48" s="8"/>
      <c r="U48" s="8"/>
      <c r="V48" s="8"/>
      <c r="W48" s="8"/>
      <c r="X48" s="8"/>
      <c r="Y48" s="8"/>
      <c r="Z48" s="8"/>
    </row>
    <row r="49" ht="15.75" customHeight="1" spans="1:26" x14ac:dyDescent="0.25">
      <c r="A49" s="9"/>
      <c r="B49" s="8">
        <f t="shared" si="18"/>
        <v>5</v>
      </c>
      <c r="C49" s="782"/>
      <c r="D49" s="941"/>
      <c r="E49" s="942"/>
      <c r="F49" s="8"/>
      <c r="G49" s="8"/>
      <c r="H49" s="8"/>
      <c r="I49" s="8"/>
      <c r="J49" s="8"/>
      <c r="K49" s="8"/>
      <c r="L49" s="8"/>
      <c r="M49" s="8"/>
      <c r="N49" s="8"/>
      <c r="O49" s="782" t="e">
        <f t="shared" si="15"/>
        <v>#NUM!</v>
      </c>
      <c r="P49" s="942" t="e">
        <f t="shared" si="16"/>
        <v>#NUM!</v>
      </c>
      <c r="Q49" s="942">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8" t="str">
        <f>"Median "&amp;TEXT(E45,"0.0x")</f>
        <v>Median 10.8x</v>
      </c>
      <c r="F51" s="8"/>
      <c r="G51" s="8"/>
      <c r="H51" s="8"/>
      <c r="I51" s="8"/>
      <c r="J51" s="8"/>
      <c r="K51" s="8"/>
      <c r="L51" s="8"/>
      <c r="M51" s="8"/>
      <c r="N51" s="8"/>
      <c r="O51" s="8"/>
      <c r="P51" s="8"/>
      <c r="Q51" s="938"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2" t="str">
        <f>C42</f>
        <v>Raw Data</v>
      </c>
      <c r="D58" s="103"/>
      <c r="E58" s="103"/>
      <c r="F58" s="40"/>
      <c r="G58" s="8"/>
      <c r="H58" s="8"/>
      <c r="I58" s="8"/>
      <c r="J58" s="8"/>
      <c r="K58" s="8"/>
      <c r="L58" s="8"/>
      <c r="M58" s="8"/>
      <c r="N58" s="8"/>
      <c r="O58" s="932"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3" t="str">
        <f t="shared" ref="C60:C64" si="20">C44</f>
        <v>Jefferies Financial Group Inc.</v>
      </c>
      <c r="D60" s="939">
        <f>'MM Banking Comparables'!V10</f>
        <v>17.93991486846302</v>
      </c>
      <c r="E60" s="935"/>
      <c r="F60" s="8"/>
      <c r="G60" s="8"/>
      <c r="H60" s="8"/>
      <c r="I60" s="8"/>
      <c r="J60" s="8"/>
      <c r="K60" s="8"/>
      <c r="L60" s="8"/>
      <c r="M60" s="8"/>
      <c r="N60" s="8"/>
      <c r="O60" s="933" t="str">
        <f t="shared" ref="O60:P60" si="21">C60</f>
        <v>Jefferies Financial Group Inc.</v>
      </c>
      <c r="P60" s="940">
        <f t="shared" si="21"/>
        <v>17.93991486846302</v>
      </c>
      <c r="Q60" s="935"/>
      <c r="R60" s="8"/>
      <c r="S60" s="8"/>
      <c r="T60" s="8"/>
      <c r="U60" s="8"/>
      <c r="V60" s="8"/>
      <c r="W60" s="8"/>
      <c r="X60" s="8"/>
      <c r="Y60" s="8"/>
      <c r="Z60" s="8"/>
    </row>
    <row r="61" ht="15.75" customHeight="1" spans="1:26" x14ac:dyDescent="0.25">
      <c r="A61" s="9"/>
      <c r="B61" s="688">
        <v>1</v>
      </c>
      <c r="C61" s="782" t="str">
        <f t="shared" si="20"/>
        <v>Piper Sandler Companies</v>
      </c>
      <c r="D61" s="941">
        <f>'MM Banking Comparables'!V12+RAND()/1000000</f>
        <v>20.802103765665624</v>
      </c>
      <c r="E61" s="942">
        <f>MEDIAN(D61:D64)</f>
        <v>17.94992946062777</v>
      </c>
      <c r="F61" s="8"/>
      <c r="G61" s="8"/>
      <c r="H61" s="8"/>
      <c r="I61" s="8"/>
      <c r="J61" s="8"/>
      <c r="K61" s="8"/>
      <c r="L61" s="8"/>
      <c r="M61" s="8"/>
      <c r="N61" s="8"/>
      <c r="O61" s="782" t="str">
        <f t="shared" ref="O61:O65" si="22">INDEX($C$61:$C$65,MATCH(P61,$D$61:$D$65,0),1)</f>
        <v>Houlihan Lokey, Inc.</v>
      </c>
      <c r="P61" s="942">
        <f t="shared" ref="P61:P65" si="23">LARGE($D$61:$D$65,B61)</f>
        <v>22.99384021010072</v>
      </c>
      <c r="Q61" s="942">
        <f t="shared" ref="Q61:Q65" si="24">E61</f>
        <v>17.94992946062777</v>
      </c>
      <c r="R61" s="8"/>
      <c r="S61" s="8"/>
      <c r="T61" s="8"/>
      <c r="U61" s="8"/>
      <c r="V61" s="8"/>
      <c r="W61" s="8"/>
      <c r="X61" s="8"/>
      <c r="Y61" s="8"/>
      <c r="Z61" s="8"/>
    </row>
    <row r="62" ht="15.75" customHeight="1" spans="1:26" x14ac:dyDescent="0.25">
      <c r="A62" s="9"/>
      <c r="B62" s="8">
        <f t="shared" ref="B62:B65" si="25">B61+1</f>
        <v>2</v>
      </c>
      <c r="C62" s="782" t="str">
        <f t="shared" si="20"/>
        <v>Stifel Financial Corp.</v>
      </c>
      <c r="D62" s="941">
        <f>'MM Banking Comparables'!V13+RAND()/1000000</f>
        <v>15.097755155589923</v>
      </c>
      <c r="E62" s="942">
        <f t="shared" ref="E62:E64" si="26">E61</f>
        <v>17.94992946062777</v>
      </c>
      <c r="F62" s="8"/>
      <c r="G62" s="8"/>
      <c r="H62" s="8"/>
      <c r="I62" s="8"/>
      <c r="J62" s="8"/>
      <c r="K62" s="8"/>
      <c r="L62" s="8"/>
      <c r="M62" s="8"/>
      <c r="N62" s="8"/>
      <c r="O62" s="782" t="str">
        <f t="shared" si="22"/>
        <v>Piper Sandler Companies</v>
      </c>
      <c r="P62" s="942">
        <f t="shared" si="23"/>
        <v>20.802103765665624</v>
      </c>
      <c r="Q62" s="942">
        <f t="shared" si="24"/>
        <v>17.94992946062777</v>
      </c>
      <c r="R62" s="8"/>
      <c r="S62" s="8"/>
      <c r="T62" s="8"/>
      <c r="U62" s="8"/>
      <c r="V62" s="8"/>
      <c r="W62" s="8"/>
      <c r="X62" s="8"/>
      <c r="Y62" s="8"/>
      <c r="Z62" s="8"/>
    </row>
    <row r="63" ht="15.75" customHeight="1" spans="1:26" x14ac:dyDescent="0.25">
      <c r="A63" s="9"/>
      <c r="B63" s="8">
        <f t="shared" si="25"/>
        <v>3</v>
      </c>
      <c r="C63" s="782" t="str">
        <f t="shared" si="20"/>
        <v>Raymond James Financial, Inc.</v>
      </c>
      <c r="D63" s="941">
        <f>'MM Banking Comparables'!V14+RAND()/1000000</f>
        <v>13.297628836589352</v>
      </c>
      <c r="E63" s="942">
        <f t="shared" si="26"/>
        <v>17.94992946062777</v>
      </c>
      <c r="F63" s="8"/>
      <c r="G63" s="8"/>
      <c r="H63" s="8"/>
      <c r="I63" s="8"/>
      <c r="J63" s="8"/>
      <c r="K63" s="8"/>
      <c r="L63" s="8"/>
      <c r="M63" s="8"/>
      <c r="N63" s="8"/>
      <c r="O63" s="782" t="str">
        <f t="shared" si="22"/>
        <v>Stifel Financial Corp.</v>
      </c>
      <c r="P63" s="942">
        <f t="shared" si="23"/>
        <v>15.097755155589923</v>
      </c>
      <c r="Q63" s="942">
        <f t="shared" si="24"/>
        <v>17.94992946062777</v>
      </c>
      <c r="R63" s="8"/>
      <c r="S63" s="8"/>
      <c r="T63" s="8"/>
      <c r="U63" s="8"/>
      <c r="V63" s="8"/>
      <c r="W63" s="8"/>
      <c r="X63" s="8"/>
      <c r="Y63" s="8"/>
      <c r="Z63" s="8"/>
    </row>
    <row r="64" ht="15.75" customHeight="1" spans="1:26" x14ac:dyDescent="0.25">
      <c r="A64" s="9"/>
      <c r="B64" s="8">
        <f t="shared" si="25"/>
        <v>4</v>
      </c>
      <c r="C64" s="782" t="str">
        <f t="shared" si="20"/>
        <v>Houlihan Lokey, Inc.</v>
      </c>
      <c r="D64" s="941">
        <f>'MM Banking Comparables'!V15+RAND()/1000000</f>
        <v>22.99384021010072</v>
      </c>
      <c r="E64" s="942">
        <f t="shared" si="26"/>
        <v>17.94992946062777</v>
      </c>
      <c r="F64" s="8"/>
      <c r="G64" s="8"/>
      <c r="H64" s="8"/>
      <c r="I64" s="8"/>
      <c r="J64" s="8"/>
      <c r="K64" s="8"/>
      <c r="L64" s="8"/>
      <c r="M64" s="8"/>
      <c r="N64" s="8"/>
      <c r="O64" s="782" t="str">
        <f t="shared" si="22"/>
        <v>Raymond James Financial, Inc.</v>
      </c>
      <c r="P64" s="942">
        <f t="shared" si="23"/>
        <v>13.297628836589352</v>
      </c>
      <c r="Q64" s="942">
        <f t="shared" si="24"/>
        <v>17.94992946062777</v>
      </c>
      <c r="R64" s="8"/>
      <c r="S64" s="8"/>
      <c r="T64" s="8"/>
      <c r="U64" s="8"/>
      <c r="V64" s="8"/>
      <c r="W64" s="8"/>
      <c r="X64" s="8"/>
      <c r="Y64" s="8"/>
      <c r="Z64" s="8"/>
    </row>
    <row r="65" ht="15.75" customHeight="1" spans="1:26" x14ac:dyDescent="0.25">
      <c r="A65" s="9"/>
      <c r="B65" s="8">
        <f t="shared" si="25"/>
        <v>5</v>
      </c>
      <c r="C65" s="782"/>
      <c r="D65" s="941"/>
      <c r="E65" s="942"/>
      <c r="F65" s="8"/>
      <c r="G65" s="8"/>
      <c r="H65" s="8"/>
      <c r="I65" s="8"/>
      <c r="J65" s="8"/>
      <c r="K65" s="8"/>
      <c r="L65" s="8"/>
      <c r="M65" s="8"/>
      <c r="N65" s="8"/>
      <c r="O65" s="782" t="e">
        <f t="shared" si="22"/>
        <v>#NUM!</v>
      </c>
      <c r="P65" s="942" t="e">
        <f t="shared" si="23"/>
        <v>#NUM!</v>
      </c>
      <c r="Q65" s="942">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8" t="str">
        <f>"Median "&amp;TEXT(E61,"0.0x")</f>
        <v>Median 17.9x</v>
      </c>
      <c r="F67" s="8"/>
      <c r="G67" s="8"/>
      <c r="H67" s="8"/>
      <c r="I67" s="8"/>
      <c r="J67" s="8"/>
      <c r="K67" s="8"/>
      <c r="L67" s="8"/>
      <c r="M67" s="8"/>
      <c r="N67" s="8"/>
      <c r="O67" s="8"/>
      <c r="P67" s="8"/>
      <c r="Q67" s="938"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2" t="str">
        <f>C58</f>
        <v>Raw Data</v>
      </c>
      <c r="D74" s="103"/>
      <c r="E74" s="103"/>
      <c r="F74" s="40"/>
      <c r="G74" s="8"/>
      <c r="H74" s="8"/>
      <c r="I74" s="8"/>
      <c r="J74" s="8"/>
      <c r="K74" s="8"/>
      <c r="L74" s="8"/>
      <c r="M74" s="8"/>
      <c r="N74" s="8"/>
      <c r="O74" s="932"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3" t="str">
        <f t="shared" ref="C76:C80" si="27">C60</f>
        <v>Jefferies Financial Group Inc.</v>
      </c>
      <c r="D76" s="939">
        <f>'MM Banking Comparables'!O27</f>
        <v>3.177415</v>
      </c>
      <c r="E76" s="935"/>
      <c r="F76" s="8"/>
      <c r="G76" s="8"/>
      <c r="H76" s="8"/>
      <c r="I76" s="8"/>
      <c r="J76" s="8"/>
      <c r="K76" s="8"/>
      <c r="L76" s="8"/>
      <c r="M76" s="8"/>
      <c r="N76" s="8"/>
      <c r="O76" s="933" t="str">
        <f t="shared" ref="O76:P76" si="28">C76</f>
        <v>Jefferies Financial Group Inc.</v>
      </c>
      <c r="P76" s="940">
        <f t="shared" si="28"/>
        <v>3.177415</v>
      </c>
      <c r="Q76" s="935"/>
      <c r="R76" s="8"/>
      <c r="S76" s="8"/>
      <c r="T76" s="8"/>
      <c r="U76" s="8"/>
      <c r="V76" s="8"/>
      <c r="W76" s="8"/>
      <c r="X76" s="8"/>
      <c r="Y76" s="8"/>
      <c r="Z76" s="8"/>
    </row>
    <row r="77" ht="15.75" customHeight="1" spans="1:26" x14ac:dyDescent="0.25">
      <c r="A77" s="9"/>
      <c r="B77" s="688">
        <v>1</v>
      </c>
      <c r="C77" s="782" t="str">
        <f t="shared" si="27"/>
        <v>Piper Sandler Companies</v>
      </c>
      <c r="D77" s="941">
        <f>'MM Banking Comparables'!O29+RAND()/1000000</f>
        <v>0.07147818287867042</v>
      </c>
      <c r="E77" s="942">
        <f>MEDIAN(D77:D80)</f>
        <v>0.28526593699679287</v>
      </c>
      <c r="F77" s="8"/>
      <c r="G77" s="8"/>
      <c r="H77" s="8"/>
      <c r="I77" s="8"/>
      <c r="J77" s="8"/>
      <c r="K77" s="8"/>
      <c r="L77" s="8"/>
      <c r="M77" s="8"/>
      <c r="N77" s="8"/>
      <c r="O77" s="782" t="str">
        <f t="shared" ref="O77:O81" si="29">INDEX($C$77:$C$81,MATCH(P77,$D$77:$D$81,0),1)</f>
        <v>Stifel Financial Corp.</v>
      </c>
      <c r="P77" s="942">
        <f t="shared" ref="P77:P81" si="30">LARGE($D$77:$D$81,B77)</f>
        <v>0.3930249324611558</v>
      </c>
      <c r="Q77" s="942">
        <f t="shared" ref="Q77:Q81" si="31">E77</f>
        <v>0.28526593699679287</v>
      </c>
      <c r="R77" s="8"/>
      <c r="S77" s="8"/>
      <c r="T77" s="8"/>
      <c r="U77" s="8"/>
      <c r="V77" s="8"/>
      <c r="W77" s="8"/>
      <c r="X77" s="8"/>
      <c r="Y77" s="8"/>
      <c r="Z77" s="8"/>
    </row>
    <row r="78" ht="15.75" customHeight="1" spans="1:26" x14ac:dyDescent="0.25">
      <c r="A78" s="9"/>
      <c r="B78" s="8">
        <f t="shared" ref="B78:B81" si="32">B77+1</f>
        <v>2</v>
      </c>
      <c r="C78" s="782" t="str">
        <f t="shared" si="27"/>
        <v>Stifel Financial Corp.</v>
      </c>
      <c r="D78" s="941">
        <f>'MM Banking Comparables'!O30+RAND()/1000000</f>
        <v>0.3930249324611558</v>
      </c>
      <c r="E78" s="942">
        <f t="shared" ref="E78:E80" si="33">E77</f>
        <v>0.28526593699679287</v>
      </c>
      <c r="F78" s="8"/>
      <c r="G78" s="8"/>
      <c r="H78" s="8"/>
      <c r="I78" s="8"/>
      <c r="J78" s="8"/>
      <c r="K78" s="8"/>
      <c r="L78" s="8"/>
      <c r="M78" s="8"/>
      <c r="N78" s="8"/>
      <c r="O78" s="782" t="str">
        <f t="shared" si="29"/>
        <v>Raymond James Financial, Inc.</v>
      </c>
      <c r="P78" s="942">
        <f t="shared" si="30"/>
        <v>0.3690560479749418</v>
      </c>
      <c r="Q78" s="942">
        <f t="shared" si="31"/>
        <v>0.28526593699679287</v>
      </c>
      <c r="R78" s="8"/>
      <c r="S78" s="8"/>
      <c r="T78" s="8"/>
      <c r="U78" s="8"/>
      <c r="V78" s="8"/>
      <c r="W78" s="8"/>
      <c r="X78" s="8"/>
      <c r="Y78" s="8"/>
      <c r="Z78" s="8"/>
    </row>
    <row r="79" ht="15.75" customHeight="1" spans="1:26" x14ac:dyDescent="0.25">
      <c r="A79" s="9"/>
      <c r="B79" s="8">
        <f t="shared" si="32"/>
        <v>3</v>
      </c>
      <c r="C79" s="782" t="str">
        <f t="shared" si="27"/>
        <v>Raymond James Financial, Inc.</v>
      </c>
      <c r="D79" s="941">
        <f>'MM Banking Comparables'!O31+RAND()/1000000</f>
        <v>0.3690560479749418</v>
      </c>
      <c r="E79" s="942">
        <f t="shared" si="33"/>
        <v>0.28526593699679287</v>
      </c>
      <c r="F79" s="8"/>
      <c r="G79" s="8"/>
      <c r="H79" s="8"/>
      <c r="I79" s="8"/>
      <c r="J79" s="8"/>
      <c r="K79" s="8"/>
      <c r="L79" s="8"/>
      <c r="M79" s="8"/>
      <c r="N79" s="8"/>
      <c r="O79" s="782" t="str">
        <f t="shared" si="29"/>
        <v>Houlihan Lokey, Inc.</v>
      </c>
      <c r="P79" s="942">
        <f t="shared" si="30"/>
        <v>0.20147582601864397</v>
      </c>
      <c r="Q79" s="942">
        <f t="shared" si="31"/>
        <v>0.28526593699679287</v>
      </c>
      <c r="R79" s="8"/>
      <c r="S79" s="8"/>
      <c r="T79" s="8"/>
      <c r="U79" s="8"/>
      <c r="V79" s="8"/>
      <c r="W79" s="8"/>
      <c r="X79" s="8"/>
      <c r="Y79" s="8"/>
      <c r="Z79" s="8"/>
    </row>
    <row r="80" ht="15.75" customHeight="1" spans="1:26" x14ac:dyDescent="0.25">
      <c r="A80" s="9"/>
      <c r="B80" s="8">
        <f t="shared" si="32"/>
        <v>4</v>
      </c>
      <c r="C80" s="782" t="str">
        <f t="shared" si="27"/>
        <v>Houlihan Lokey, Inc.</v>
      </c>
      <c r="D80" s="941">
        <f>'MM Banking Comparables'!O32+RAND()/1000000</f>
        <v>0.20147582601864397</v>
      </c>
      <c r="E80" s="942">
        <f t="shared" si="33"/>
        <v>0.28526593699679287</v>
      </c>
      <c r="F80" s="8"/>
      <c r="G80" s="8"/>
      <c r="H80" s="8"/>
      <c r="I80" s="8"/>
      <c r="J80" s="8"/>
      <c r="K80" s="8"/>
      <c r="L80" s="8"/>
      <c r="M80" s="8"/>
      <c r="N80" s="8"/>
      <c r="O80" s="782" t="str">
        <f t="shared" si="29"/>
        <v>Piper Sandler Companies</v>
      </c>
      <c r="P80" s="942">
        <f t="shared" si="30"/>
        <v>0.07147818287867042</v>
      </c>
      <c r="Q80" s="942">
        <f t="shared" si="31"/>
        <v>0.28526593699679287</v>
      </c>
      <c r="R80" s="8"/>
      <c r="S80" s="8"/>
      <c r="T80" s="8"/>
      <c r="U80" s="8"/>
      <c r="V80" s="8"/>
      <c r="W80" s="8"/>
      <c r="X80" s="8"/>
      <c r="Y80" s="8"/>
      <c r="Z80" s="8"/>
    </row>
    <row r="81" ht="15.75" customHeight="1" spans="1:26" x14ac:dyDescent="0.25">
      <c r="A81" s="9"/>
      <c r="B81" s="8">
        <f t="shared" si="32"/>
        <v>5</v>
      </c>
      <c r="C81" s="782"/>
      <c r="D81" s="941"/>
      <c r="E81" s="942"/>
      <c r="F81" s="8"/>
      <c r="G81" s="8"/>
      <c r="H81" s="8"/>
      <c r="I81" s="8"/>
      <c r="J81" s="8"/>
      <c r="K81" s="8"/>
      <c r="L81" s="8"/>
      <c r="M81" s="8"/>
      <c r="N81" s="8"/>
      <c r="O81" s="782" t="e">
        <f t="shared" si="29"/>
        <v>#NUM!</v>
      </c>
      <c r="P81" s="942" t="e">
        <f t="shared" si="30"/>
        <v>#NUM!</v>
      </c>
      <c r="Q81" s="942">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8" t="str">
        <f>"Median "&amp;TEXT(E77,"0.0x")</f>
        <v>Median 0.3x</v>
      </c>
      <c r="F83" s="8"/>
      <c r="G83" s="8"/>
      <c r="H83" s="8"/>
      <c r="I83" s="8"/>
      <c r="J83" s="8"/>
      <c r="K83" s="8"/>
      <c r="L83" s="8"/>
      <c r="M83" s="8"/>
      <c r="N83" s="8"/>
      <c r="O83" s="8"/>
      <c r="P83" s="8"/>
      <c r="Q83" s="938"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2" t="str">
        <f>C74</f>
        <v>Raw Data</v>
      </c>
      <c r="D90" s="103"/>
      <c r="E90" s="103"/>
      <c r="F90" s="40"/>
      <c r="G90" s="8"/>
      <c r="H90" s="8"/>
      <c r="I90" s="8"/>
      <c r="J90" s="8"/>
      <c r="K90" s="8"/>
      <c r="L90" s="8"/>
      <c r="M90" s="8"/>
      <c r="N90" s="8"/>
      <c r="O90" s="932"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3" t="str">
        <f t="shared" ref="C92:C96" si="34">C76</f>
        <v>Jefferies Financial Group Inc.</v>
      </c>
      <c r="D92" s="939" t="str">
        <f>'MM Banking Comparables'!P27</f>
        <v>NA</v>
      </c>
      <c r="E92" s="935"/>
      <c r="F92" s="8"/>
      <c r="G92" s="8"/>
      <c r="H92" s="8"/>
      <c r="I92" s="8"/>
      <c r="J92" s="8"/>
      <c r="K92" s="8"/>
      <c r="L92" s="8"/>
      <c r="M92" s="8"/>
      <c r="N92" s="8"/>
      <c r="O92" s="933" t="str">
        <f t="shared" ref="O92:P92" si="35">C92</f>
        <v>Jefferies Financial Group Inc.</v>
      </c>
      <c r="P92" s="940" t="str">
        <f t="shared" si="35"/>
        <v>NA</v>
      </c>
      <c r="Q92" s="935"/>
      <c r="R92" s="8"/>
      <c r="S92" s="8"/>
      <c r="T92" s="8"/>
      <c r="U92" s="8"/>
      <c r="V92" s="8"/>
      <c r="W92" s="8"/>
      <c r="X92" s="8"/>
      <c r="Y92" s="8"/>
      <c r="Z92" s="8"/>
    </row>
    <row r="93" ht="15.75" customHeight="1" spans="1:26" x14ac:dyDescent="0.25">
      <c r="A93" s="9"/>
      <c r="B93" s="688">
        <v>1</v>
      </c>
      <c r="C93" s="782" t="str">
        <f t="shared" si="34"/>
        <v>Piper Sandler Companies</v>
      </c>
      <c r="D93" s="941" t="str">
        <f>'MM Banking Comparables'!P29</f>
        <v>NA</v>
      </c>
      <c r="E93" s="942" t="e">
        <f>MEDIAN(D93:D96)</f>
        <v>#NUM!</v>
      </c>
      <c r="F93" s="8"/>
      <c r="G93" s="8"/>
      <c r="H93" s="8"/>
      <c r="I93" s="8"/>
      <c r="J93" s="8"/>
      <c r="K93" s="8"/>
      <c r="L93" s="8"/>
      <c r="M93" s="8"/>
      <c r="N93" s="8"/>
      <c r="O93" s="782" t="e">
        <f t="shared" ref="O93:O97" si="36">INDEX($C$93:$C$97,MATCH(P93,$D$93:$D$97,0),1)</f>
        <v>#NUM!</v>
      </c>
      <c r="P93" s="942" t="e">
        <f t="shared" ref="P93:P97" si="37">LARGE($D$93:$D$97,B93)</f>
        <v>#NUM!</v>
      </c>
      <c r="Q93" s="942" t="e">
        <f t="shared" ref="Q93:Q97" si="38">E93</f>
        <v>#NUM!</v>
      </c>
      <c r="R93" s="8"/>
      <c r="S93" s="8"/>
      <c r="T93" s="8"/>
      <c r="U93" s="8"/>
      <c r="V93" s="8"/>
      <c r="W93" s="8"/>
      <c r="X93" s="8"/>
      <c r="Y93" s="8"/>
      <c r="Z93" s="8"/>
    </row>
    <row r="94" ht="15.75" customHeight="1" spans="1:26" x14ac:dyDescent="0.25">
      <c r="A94" s="9"/>
      <c r="B94" s="8">
        <f t="shared" ref="B94:B97" si="39">B93+1</f>
        <v>2</v>
      </c>
      <c r="C94" s="782" t="str">
        <f t="shared" si="34"/>
        <v>Stifel Financial Corp.</v>
      </c>
      <c r="D94" s="941" t="str">
        <f>'MM Banking Comparables'!P30</f>
        <v>NA</v>
      </c>
      <c r="E94" s="942" t="e">
        <f t="shared" ref="E94:E96" si="40">E93</f>
        <v>#NUM!</v>
      </c>
      <c r="F94" s="8"/>
      <c r="G94" s="8"/>
      <c r="H94" s="8"/>
      <c r="I94" s="8"/>
      <c r="J94" s="8"/>
      <c r="K94" s="8"/>
      <c r="L94" s="8"/>
      <c r="M94" s="8"/>
      <c r="N94" s="8"/>
      <c r="O94" s="782" t="e">
        <f t="shared" si="36"/>
        <v>#NUM!</v>
      </c>
      <c r="P94" s="942" t="e">
        <f t="shared" si="37"/>
        <v>#NUM!</v>
      </c>
      <c r="Q94" s="942" t="e">
        <f t="shared" si="38"/>
        <v>#NUM!</v>
      </c>
      <c r="R94" s="8"/>
      <c r="S94" s="8"/>
      <c r="T94" s="8"/>
      <c r="U94" s="8"/>
      <c r="V94" s="8"/>
      <c r="W94" s="8"/>
      <c r="X94" s="8"/>
      <c r="Y94" s="8"/>
      <c r="Z94" s="8"/>
    </row>
    <row r="95" ht="15.75" customHeight="1" spans="1:26" x14ac:dyDescent="0.25">
      <c r="A95" s="9"/>
      <c r="B95" s="8">
        <f t="shared" si="39"/>
        <v>3</v>
      </c>
      <c r="C95" s="782" t="str">
        <f t="shared" si="34"/>
        <v>Raymond James Financial, Inc.</v>
      </c>
      <c r="D95" s="941" t="str">
        <f>'MM Banking Comparables'!P31</f>
        <v>NA</v>
      </c>
      <c r="E95" s="942" t="e">
        <f t="shared" si="40"/>
        <v>#NUM!</v>
      </c>
      <c r="F95" s="8"/>
      <c r="G95" s="8"/>
      <c r="H95" s="8"/>
      <c r="I95" s="8"/>
      <c r="J95" s="8"/>
      <c r="K95" s="8"/>
      <c r="L95" s="8"/>
      <c r="M95" s="8"/>
      <c r="N95" s="8"/>
      <c r="O95" s="782" t="e">
        <f t="shared" si="36"/>
        <v>#NUM!</v>
      </c>
      <c r="P95" s="942" t="e">
        <f t="shared" si="37"/>
        <v>#NUM!</v>
      </c>
      <c r="Q95" s="942" t="e">
        <f t="shared" si="38"/>
        <v>#NUM!</v>
      </c>
      <c r="R95" s="8"/>
      <c r="S95" s="8"/>
      <c r="T95" s="8"/>
      <c r="U95" s="8"/>
      <c r="V95" s="8"/>
      <c r="W95" s="8"/>
      <c r="X95" s="8"/>
      <c r="Y95" s="8"/>
      <c r="Z95" s="8"/>
    </row>
    <row r="96" ht="15.75" customHeight="1" spans="1:26" x14ac:dyDescent="0.25">
      <c r="A96" s="9"/>
      <c r="B96" s="8">
        <f t="shared" si="39"/>
        <v>4</v>
      </c>
      <c r="C96" s="782" t="str">
        <f t="shared" si="34"/>
        <v>Houlihan Lokey, Inc.</v>
      </c>
      <c r="D96" s="941" t="str">
        <f>'MM Banking Comparables'!P32</f>
        <v>NA</v>
      </c>
      <c r="E96" s="942" t="e">
        <f t="shared" si="40"/>
        <v>#NUM!</v>
      </c>
      <c r="F96" s="8"/>
      <c r="G96" s="8"/>
      <c r="H96" s="8"/>
      <c r="I96" s="8"/>
      <c r="J96" s="8"/>
      <c r="K96" s="8"/>
      <c r="L96" s="8"/>
      <c r="M96" s="8"/>
      <c r="N96" s="8"/>
      <c r="O96" s="782" t="e">
        <f t="shared" si="36"/>
        <v>#NUM!</v>
      </c>
      <c r="P96" s="942" t="e">
        <f t="shared" si="37"/>
        <v>#NUM!</v>
      </c>
      <c r="Q96" s="942" t="e">
        <f t="shared" si="38"/>
        <v>#NUM!</v>
      </c>
      <c r="R96" s="8"/>
      <c r="S96" s="8"/>
      <c r="T96" s="8"/>
      <c r="U96" s="8"/>
      <c r="V96" s="8"/>
      <c r="W96" s="8"/>
      <c r="X96" s="8"/>
      <c r="Y96" s="8"/>
      <c r="Z96" s="8"/>
    </row>
    <row r="97" ht="15.75" customHeight="1" spans="1:26" x14ac:dyDescent="0.25">
      <c r="A97" s="9"/>
      <c r="B97" s="8">
        <f t="shared" si="39"/>
        <v>5</v>
      </c>
      <c r="C97" s="782"/>
      <c r="D97" s="941"/>
      <c r="E97" s="942"/>
      <c r="F97" s="8"/>
      <c r="G97" s="8"/>
      <c r="H97" s="8"/>
      <c r="I97" s="8"/>
      <c r="J97" s="8"/>
      <c r="K97" s="8"/>
      <c r="L97" s="8"/>
      <c r="M97" s="8"/>
      <c r="N97" s="8"/>
      <c r="O97" s="782" t="e">
        <f t="shared" si="36"/>
        <v>#NUM!</v>
      </c>
      <c r="P97" s="942" t="e">
        <f t="shared" si="37"/>
        <v>#NUM!</v>
      </c>
      <c r="Q97" s="942">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8" t="e">
        <f>"Median "&amp;TEXT(E93,"0.0x")</f>
        <v>#NUM!</v>
      </c>
      <c r="F99" s="8"/>
      <c r="G99" s="8"/>
      <c r="H99" s="8"/>
      <c r="I99" s="8"/>
      <c r="J99" s="8"/>
      <c r="K99" s="8"/>
      <c r="L99" s="8"/>
      <c r="M99" s="8"/>
      <c r="N99" s="8"/>
      <c r="O99" s="8"/>
      <c r="P99" s="8"/>
      <c r="Q99" s="938"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2" t="str">
        <f>C90</f>
        <v>Raw Data</v>
      </c>
      <c r="D106" s="103"/>
      <c r="E106" s="103"/>
      <c r="F106" s="40"/>
      <c r="G106" s="8"/>
      <c r="H106" s="8"/>
      <c r="I106" s="8"/>
      <c r="J106" s="8"/>
      <c r="K106" s="8"/>
      <c r="L106" s="8"/>
      <c r="M106" s="8"/>
      <c r="N106" s="8"/>
      <c r="O106" s="932"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3" t="str">
        <f t="shared" ref="C108:C112" si="41">C92</f>
        <v>Jefferies Financial Group Inc.</v>
      </c>
      <c r="D108" s="934">
        <f>'MM Banking Comparables'!M10</f>
        <v>0.177</v>
      </c>
      <c r="E108" s="935"/>
      <c r="F108" s="8"/>
      <c r="G108" s="8"/>
      <c r="H108" s="8"/>
      <c r="I108" s="8"/>
      <c r="J108" s="8"/>
      <c r="K108" s="8"/>
      <c r="L108" s="8"/>
      <c r="M108" s="8"/>
      <c r="N108" s="8"/>
      <c r="O108" s="933" t="str">
        <f t="shared" ref="O108:P108" si="42">C108</f>
        <v>Jefferies Financial Group Inc.</v>
      </c>
      <c r="P108" s="935">
        <f t="shared" si="42"/>
        <v>0.177</v>
      </c>
      <c r="Q108" s="935"/>
      <c r="R108" s="8"/>
      <c r="S108" s="8"/>
      <c r="T108" s="8"/>
      <c r="U108" s="8"/>
      <c r="V108" s="8"/>
      <c r="W108" s="8"/>
      <c r="X108" s="8"/>
      <c r="Y108" s="8"/>
      <c r="Z108" s="8"/>
    </row>
    <row r="109" ht="15.75" customHeight="1" spans="1:26" x14ac:dyDescent="0.25">
      <c r="A109" s="9"/>
      <c r="B109" s="688">
        <v>1</v>
      </c>
      <c r="C109" s="782" t="str">
        <f t="shared" si="41"/>
        <v>Piper Sandler Companies</v>
      </c>
      <c r="D109" s="936">
        <f>'MM Banking Comparables'!M12+RAND()/1000000</f>
        <v>0.17840943182356198</v>
      </c>
      <c r="E109" s="937">
        <f>MEDIAN(D109:D113)</f>
        <v>0.18156439996449275</v>
      </c>
      <c r="F109" s="8"/>
      <c r="G109" s="8"/>
      <c r="H109" s="8"/>
      <c r="I109" s="8"/>
      <c r="J109" s="8"/>
      <c r="K109" s="8"/>
      <c r="L109" s="8"/>
      <c r="M109" s="8"/>
      <c r="N109" s="8"/>
      <c r="O109" s="782" t="str">
        <f t="shared" ref="O109:O112" si="43">INDEX($C$109:$C$113,MATCH(P109,$D$109:$D$113,0),1)</f>
        <v>Houlihan Lokey, Inc.</v>
      </c>
      <c r="P109" s="937">
        <f t="shared" ref="P109:P112" si="44">LARGE($D$109:$D$113,B109)</f>
        <v>0.2361629376602665</v>
      </c>
      <c r="Q109" s="937">
        <f t="shared" ref="Q109:Q112" si="45">E109</f>
        <v>0.18156439996449275</v>
      </c>
      <c r="R109" s="8"/>
      <c r="S109" s="8"/>
      <c r="T109" s="8"/>
      <c r="U109" s="8"/>
      <c r="V109" s="8"/>
      <c r="W109" s="8"/>
      <c r="X109" s="8"/>
      <c r="Y109" s="8"/>
      <c r="Z109" s="8"/>
    </row>
    <row r="110" ht="15.75" customHeight="1" spans="1:26" x14ac:dyDescent="0.25">
      <c r="A110" s="9"/>
      <c r="B110" s="8">
        <f t="shared" ref="B110:B113" si="46">B109+1</f>
        <v>2</v>
      </c>
      <c r="C110" s="782" t="str">
        <f t="shared" si="41"/>
        <v>Stifel Financial Corp.</v>
      </c>
      <c r="D110" s="936">
        <f>'MM Banking Comparables'!M13+RAND()/1000000</f>
        <v>0.18156439996449275</v>
      </c>
      <c r="E110" s="937">
        <f t="shared" ref="E110:E112" si="47">E109</f>
        <v>0.18156439996449275</v>
      </c>
      <c r="F110" s="8"/>
      <c r="G110" s="8"/>
      <c r="H110" s="8"/>
      <c r="I110" s="8"/>
      <c r="J110" s="8"/>
      <c r="K110" s="8"/>
      <c r="L110" s="8"/>
      <c r="M110" s="8"/>
      <c r="N110" s="8"/>
      <c r="O110" s="782" t="str">
        <f t="shared" si="43"/>
        <v>Stifel Financial Corp.</v>
      </c>
      <c r="P110" s="937">
        <f t="shared" si="44"/>
        <v>0.18156439996449275</v>
      </c>
      <c r="Q110" s="937">
        <f t="shared" si="45"/>
        <v>0.18156439996449275</v>
      </c>
      <c r="R110" s="8"/>
      <c r="S110" s="8"/>
      <c r="T110" s="8"/>
      <c r="U110" s="8"/>
      <c r="V110" s="8"/>
      <c r="W110" s="8"/>
      <c r="X110" s="8"/>
      <c r="Y110" s="8"/>
      <c r="Z110" s="8"/>
    </row>
    <row r="111" ht="15.75" customHeight="1" spans="1:26" x14ac:dyDescent="0.25">
      <c r="A111" s="9"/>
      <c r="B111" s="8">
        <f t="shared" si="46"/>
        <v>3</v>
      </c>
      <c r="C111" s="782" t="str">
        <f t="shared" si="41"/>
        <v>Raymond James Financial, Inc.</v>
      </c>
      <c r="D111" s="936" t="s">
        <v>683</v>
      </c>
      <c r="E111" s="937">
        <f t="shared" si="47"/>
        <v>0.18156439996449275</v>
      </c>
      <c r="F111" s="8"/>
      <c r="G111" s="8"/>
      <c r="H111" s="8"/>
      <c r="I111" s="8"/>
      <c r="J111" s="8"/>
      <c r="K111" s="8"/>
      <c r="L111" s="8"/>
      <c r="M111" s="8"/>
      <c r="N111" s="8"/>
      <c r="O111" s="782" t="str">
        <f t="shared" si="43"/>
        <v>Piper Sandler Companies</v>
      </c>
      <c r="P111" s="937">
        <f t="shared" si="44"/>
        <v>0.17840943182356198</v>
      </c>
      <c r="Q111" s="937">
        <f t="shared" si="45"/>
        <v>0.18156439996449275</v>
      </c>
      <c r="R111" s="8"/>
      <c r="S111" s="8"/>
      <c r="T111" s="8"/>
      <c r="U111" s="8"/>
      <c r="V111" s="8"/>
      <c r="W111" s="8"/>
      <c r="X111" s="8"/>
      <c r="Y111" s="8"/>
      <c r="Z111" s="8"/>
    </row>
    <row r="112" ht="15.75" customHeight="1" spans="1:26" x14ac:dyDescent="0.25">
      <c r="A112" s="9"/>
      <c r="B112" s="8">
        <f t="shared" si="46"/>
        <v>4</v>
      </c>
      <c r="C112" s="782" t="str">
        <f t="shared" si="41"/>
        <v>Houlihan Lokey, Inc.</v>
      </c>
      <c r="D112" s="936">
        <f>'MM Banking Comparables'!M15+RAND()/1000000</f>
        <v>0.2361629376602665</v>
      </c>
      <c r="E112" s="937">
        <f t="shared" si="47"/>
        <v>0.18156439996449275</v>
      </c>
      <c r="F112" s="8"/>
      <c r="G112" s="8"/>
      <c r="H112" s="8"/>
      <c r="I112" s="8"/>
      <c r="J112" s="8"/>
      <c r="K112" s="8"/>
      <c r="L112" s="8"/>
      <c r="M112" s="8"/>
      <c r="N112" s="8"/>
      <c r="O112" s="782" t="e">
        <f t="shared" si="43"/>
        <v>#NUM!</v>
      </c>
      <c r="P112" s="937" t="e">
        <f t="shared" si="44"/>
        <v>#NUM!</v>
      </c>
      <c r="Q112" s="937">
        <f t="shared" si="45"/>
        <v>0.18156439996449275</v>
      </c>
      <c r="R112" s="8"/>
      <c r="S112" s="8"/>
      <c r="T112" s="8"/>
      <c r="U112" s="8"/>
      <c r="V112" s="8"/>
      <c r="W112" s="8"/>
      <c r="X112" s="8"/>
      <c r="Y112" s="8"/>
      <c r="Z112" s="8"/>
    </row>
    <row r="113" ht="15.75" customHeight="1" spans="1:26" x14ac:dyDescent="0.25">
      <c r="A113" s="9"/>
      <c r="B113" s="8">
        <f t="shared" si="46"/>
        <v>5</v>
      </c>
      <c r="C113" s="782"/>
      <c r="D113" s="936"/>
      <c r="E113" s="937"/>
      <c r="F113" s="8"/>
      <c r="G113" s="8"/>
      <c r="H113" s="8"/>
      <c r="I113" s="8"/>
      <c r="J113" s="8"/>
      <c r="K113" s="8"/>
      <c r="L113" s="8"/>
      <c r="M113" s="8"/>
      <c r="N113" s="8"/>
      <c r="O113" s="782"/>
      <c r="P113" s="937"/>
      <c r="Q113" s="937"/>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8" t="str">
        <f>"Median "&amp;TEXT(E109,"0.0%")</f>
        <v>Median 18.2%</v>
      </c>
      <c r="F115" s="8"/>
      <c r="G115" s="8"/>
      <c r="H115" s="8"/>
      <c r="I115" s="8"/>
      <c r="J115" s="8"/>
      <c r="K115" s="8"/>
      <c r="L115" s="8"/>
      <c r="M115" s="8"/>
      <c r="N115" s="8"/>
      <c r="O115" s="8"/>
      <c r="P115" s="8"/>
      <c r="Q115" s="938"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2" t="str">
        <f>C106</f>
        <v>Raw Data</v>
      </c>
      <c r="D122" s="103"/>
      <c r="E122" s="103"/>
      <c r="F122" s="40"/>
      <c r="G122" s="8"/>
      <c r="H122" s="8"/>
      <c r="I122" s="8"/>
      <c r="J122" s="8"/>
      <c r="K122" s="8"/>
      <c r="L122" s="8"/>
      <c r="M122" s="8"/>
      <c r="N122" s="8"/>
      <c r="O122" s="932"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3" t="str">
        <f t="shared" ref="C124:C128" si="48">C108</f>
        <v>Jefferies Financial Group Inc.</v>
      </c>
      <c r="D124" s="934">
        <f>'MM Banking Comparables'!I27</f>
        <v>0.026930999999999997</v>
      </c>
      <c r="E124" s="935"/>
      <c r="F124" s="8"/>
      <c r="G124" s="8"/>
      <c r="H124" s="8"/>
      <c r="I124" s="8"/>
      <c r="J124" s="8"/>
      <c r="K124" s="8"/>
      <c r="L124" s="8"/>
      <c r="M124" s="8"/>
      <c r="N124" s="8"/>
      <c r="O124" s="933" t="str">
        <f t="shared" ref="O124:P124" si="49">C124</f>
        <v>Jefferies Financial Group Inc.</v>
      </c>
      <c r="P124" s="935">
        <f t="shared" si="49"/>
        <v>0.026930999999999997</v>
      </c>
      <c r="Q124" s="935"/>
      <c r="R124" s="8"/>
      <c r="S124" s="8"/>
      <c r="T124" s="8"/>
      <c r="U124" s="8"/>
      <c r="V124" s="8"/>
      <c r="W124" s="8"/>
      <c r="X124" s="8"/>
      <c r="Y124" s="8"/>
      <c r="Z124" s="8"/>
    </row>
    <row r="125" ht="15.75" customHeight="1" spans="1:26" x14ac:dyDescent="0.25">
      <c r="A125" s="9"/>
      <c r="B125" s="688">
        <v>1</v>
      </c>
      <c r="C125" s="782" t="str">
        <f t="shared" si="48"/>
        <v>Piper Sandler Companies</v>
      </c>
      <c r="D125" s="936">
        <f>'MM Banking Comparables'!I29</f>
        <v>0.017114</v>
      </c>
      <c r="E125" s="937">
        <f>MEDIAN(D125:D128)</f>
        <v>0.0138625</v>
      </c>
      <c r="F125" s="8"/>
      <c r="G125" s="8"/>
      <c r="H125" s="8"/>
      <c r="I125" s="8"/>
      <c r="J125" s="8"/>
      <c r="K125" s="8"/>
      <c r="L125" s="8"/>
      <c r="M125" s="8"/>
      <c r="N125" s="8"/>
      <c r="O125" s="782" t="str">
        <f t="shared" ref="O125:O128" si="50">INDEX($C$125:$C$129,MATCH(P125,$D$125:$D$129,0),1)</f>
        <v>Piper Sandler Companies</v>
      </c>
      <c r="P125" s="937">
        <f t="shared" ref="P125:P128" si="51">LARGE($D$125:$D$129,B125)</f>
        <v>0.017114</v>
      </c>
      <c r="Q125" s="937">
        <f t="shared" ref="Q125:Q128" si="52">E125</f>
        <v>0.0138625</v>
      </c>
      <c r="R125" s="8"/>
      <c r="S125" s="8"/>
      <c r="T125" s="8"/>
      <c r="U125" s="8"/>
      <c r="V125" s="8"/>
      <c r="W125" s="8"/>
      <c r="X125" s="8"/>
      <c r="Y125" s="8"/>
      <c r="Z125" s="8"/>
    </row>
    <row r="126" ht="15.75" customHeight="1" spans="1:26" x14ac:dyDescent="0.25">
      <c r="A126" s="9"/>
      <c r="B126" s="8">
        <f t="shared" ref="B126:B129" si="53">B125+1</f>
        <v>2</v>
      </c>
      <c r="C126" s="782" t="str">
        <f t="shared" si="48"/>
        <v>Stifel Financial Corp.</v>
      </c>
      <c r="D126" s="936">
        <f>'MM Banking Comparables'!I30</f>
        <v>0.014717000000000001</v>
      </c>
      <c r="E126" s="937">
        <f t="shared" ref="E126:E128" si="54">MEDIAN(D126:D129)</f>
        <v>0.013007999999999999</v>
      </c>
      <c r="F126" s="8"/>
      <c r="G126" s="8"/>
      <c r="H126" s="8"/>
      <c r="I126" s="8"/>
      <c r="J126" s="8"/>
      <c r="K126" s="8"/>
      <c r="L126" s="8"/>
      <c r="M126" s="8"/>
      <c r="N126" s="8"/>
      <c r="O126" s="782" t="str">
        <f t="shared" si="50"/>
        <v>Stifel Financial Corp.</v>
      </c>
      <c r="P126" s="937">
        <f t="shared" si="51"/>
        <v>0.014717000000000001</v>
      </c>
      <c r="Q126" s="937">
        <f t="shared" si="52"/>
        <v>0.013007999999999999</v>
      </c>
      <c r="R126" s="8"/>
      <c r="S126" s="8"/>
      <c r="T126" s="8"/>
      <c r="U126" s="8"/>
      <c r="V126" s="8"/>
      <c r="W126" s="8"/>
      <c r="X126" s="8"/>
      <c r="Y126" s="8"/>
      <c r="Z126" s="8"/>
    </row>
    <row r="127" ht="15.75" customHeight="1" spans="1:26" x14ac:dyDescent="0.25">
      <c r="A127" s="9"/>
      <c r="B127" s="8">
        <f t="shared" si="53"/>
        <v>3</v>
      </c>
      <c r="C127" s="782" t="str">
        <f t="shared" si="48"/>
        <v>Raymond James Financial, Inc.</v>
      </c>
      <c r="D127" s="936">
        <f>'MM Banking Comparables'!I31</f>
        <v>0.012054</v>
      </c>
      <c r="E127" s="937">
        <f t="shared" si="54"/>
        <v>0.012531</v>
      </c>
      <c r="F127" s="8"/>
      <c r="G127" s="8"/>
      <c r="H127" s="8"/>
      <c r="I127" s="8"/>
      <c r="J127" s="8"/>
      <c r="K127" s="8"/>
      <c r="L127" s="8"/>
      <c r="M127" s="8"/>
      <c r="N127" s="8"/>
      <c r="O127" s="782" t="str">
        <f t="shared" si="50"/>
        <v>Houlihan Lokey, Inc.</v>
      </c>
      <c r="P127" s="937">
        <f t="shared" si="51"/>
        <v>0.013007999999999999</v>
      </c>
      <c r="Q127" s="937">
        <f t="shared" si="52"/>
        <v>0.012531</v>
      </c>
      <c r="R127" s="8"/>
      <c r="S127" s="8"/>
      <c r="T127" s="8"/>
      <c r="U127" s="8"/>
      <c r="V127" s="8"/>
      <c r="W127" s="8"/>
      <c r="X127" s="8"/>
      <c r="Y127" s="8"/>
      <c r="Z127" s="8"/>
    </row>
    <row r="128" ht="15.75" customHeight="1" spans="1:26" x14ac:dyDescent="0.25">
      <c r="A128" s="9"/>
      <c r="B128" s="8">
        <f t="shared" si="53"/>
        <v>4</v>
      </c>
      <c r="C128" s="782" t="str">
        <f t="shared" si="48"/>
        <v>Houlihan Lokey, Inc.</v>
      </c>
      <c r="D128" s="936">
        <f>'MM Banking Comparables'!I32</f>
        <v>0.013007999999999999</v>
      </c>
      <c r="E128" s="937">
        <f t="shared" si="54"/>
        <v>0.013007999999999999</v>
      </c>
      <c r="F128" s="8"/>
      <c r="G128" s="8"/>
      <c r="H128" s="8"/>
      <c r="I128" s="8"/>
      <c r="J128" s="8"/>
      <c r="K128" s="8"/>
      <c r="L128" s="8"/>
      <c r="M128" s="8"/>
      <c r="N128" s="8"/>
      <c r="O128" s="782" t="str">
        <f t="shared" si="50"/>
        <v>Raymond James Financial, Inc.</v>
      </c>
      <c r="P128" s="937">
        <f t="shared" si="51"/>
        <v>0.012054</v>
      </c>
      <c r="Q128" s="937">
        <f t="shared" si="52"/>
        <v>0.013007999999999999</v>
      </c>
      <c r="R128" s="8"/>
      <c r="S128" s="8"/>
      <c r="T128" s="8"/>
      <c r="U128" s="8"/>
      <c r="V128" s="8"/>
      <c r="W128" s="8"/>
      <c r="X128" s="8"/>
      <c r="Y128" s="8"/>
      <c r="Z128" s="8"/>
    </row>
    <row r="129" ht="15.75" customHeight="1" spans="1:26" x14ac:dyDescent="0.25">
      <c r="A129" s="9"/>
      <c r="B129" s="8">
        <f t="shared" si="53"/>
        <v>5</v>
      </c>
      <c r="C129" s="782"/>
      <c r="D129" s="936"/>
      <c r="E129" s="937"/>
      <c r="F129" s="8"/>
      <c r="G129" s="8"/>
      <c r="H129" s="8"/>
      <c r="I129" s="8"/>
      <c r="J129" s="8"/>
      <c r="K129" s="8"/>
      <c r="L129" s="8"/>
      <c r="M129" s="8"/>
      <c r="N129" s="8"/>
      <c r="O129" s="782"/>
      <c r="P129" s="937"/>
      <c r="Q129" s="937"/>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8" t="str">
        <f>"Median "&amp;TEXT(E125,"0.0%")</f>
        <v>Median 1.4%</v>
      </c>
      <c r="F131" s="8"/>
      <c r="G131" s="8"/>
      <c r="H131" s="8"/>
      <c r="I131" s="8"/>
      <c r="J131" s="8"/>
      <c r="K131" s="8"/>
      <c r="L131" s="8"/>
      <c r="M131" s="8"/>
      <c r="N131" s="8"/>
      <c r="O131" s="8"/>
      <c r="P131" s="8"/>
      <c r="Q131" s="938"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2" t="str">
        <f>C122</f>
        <v>Raw Data</v>
      </c>
      <c r="D138" s="103"/>
      <c r="E138" s="103"/>
      <c r="F138" s="4"/>
      <c r="G138" s="4"/>
      <c r="H138" s="4"/>
      <c r="I138" s="4"/>
      <c r="J138" s="4"/>
      <c r="K138" s="4"/>
      <c r="L138" s="4"/>
      <c r="M138" s="4"/>
      <c r="N138" s="4"/>
      <c r="O138" s="932"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3" t="str">
        <f t="shared" ref="C140:C145" si="55">C124</f>
        <v>Jefferies Financial Group Inc.</v>
      </c>
      <c r="D140" s="943">
        <v>0.2828</v>
      </c>
      <c r="E140" s="4"/>
      <c r="F140" s="4"/>
      <c r="G140" s="4"/>
      <c r="H140" s="4"/>
      <c r="I140" s="4"/>
      <c r="J140" s="4"/>
      <c r="K140" s="4"/>
      <c r="L140" s="4"/>
      <c r="M140" s="4"/>
      <c r="N140" s="4"/>
      <c r="O140" s="782" t="str">
        <f t="shared" ref="O140:O145" si="56">INDEX($C$140:$C$145,MATCH(P140,$D$140:$D$145,0),1)</f>
        <v>Jefferies Financial Group Inc.</v>
      </c>
      <c r="P140" s="937">
        <f t="shared" ref="P140:P145" si="57">LARGE($D$140:$D$145,B140)</f>
        <v>0.2828</v>
      </c>
      <c r="Q140" s="4"/>
      <c r="R140" s="4"/>
      <c r="S140" s="4"/>
      <c r="T140" s="4"/>
      <c r="U140" s="4"/>
      <c r="V140" s="4"/>
      <c r="W140" s="4"/>
      <c r="X140" s="4"/>
      <c r="Y140" s="4"/>
      <c r="Z140" s="4"/>
    </row>
    <row r="141" ht="15.75" customHeight="1" spans="1:26" x14ac:dyDescent="0.25">
      <c r="A141" s="4"/>
      <c r="B141" s="688">
        <f t="shared" ref="B141:B145" si="58">B140+1</f>
        <v>2</v>
      </c>
      <c r="C141" s="782" t="str">
        <f t="shared" si="55"/>
        <v>Piper Sandler Companies</v>
      </c>
      <c r="D141" s="943">
        <v>0.2175</v>
      </c>
      <c r="E141" s="937"/>
      <c r="F141" s="4"/>
      <c r="G141" s="4"/>
      <c r="H141" s="4"/>
      <c r="I141" s="4"/>
      <c r="J141" s="4"/>
      <c r="K141" s="4"/>
      <c r="L141" s="4"/>
      <c r="M141" s="4"/>
      <c r="N141" s="4"/>
      <c r="O141" s="782" t="str">
        <f t="shared" si="56"/>
        <v>Piper Sandler Companies</v>
      </c>
      <c r="P141" s="937">
        <f t="shared" si="57"/>
        <v>0.2175</v>
      </c>
      <c r="Q141" s="4"/>
      <c r="R141" s="4"/>
      <c r="S141" s="4"/>
      <c r="T141" s="4"/>
      <c r="U141" s="4"/>
      <c r="V141" s="4"/>
      <c r="W141" s="4"/>
      <c r="X141" s="4"/>
      <c r="Y141" s="4"/>
      <c r="Z141" s="4"/>
    </row>
    <row r="142" ht="15.75" customHeight="1" spans="1:26" x14ac:dyDescent="0.25">
      <c r="A142" s="4"/>
      <c r="B142" s="688">
        <f t="shared" si="58"/>
        <v>3</v>
      </c>
      <c r="C142" s="782" t="str">
        <f t="shared" si="55"/>
        <v>Stifel Financial Corp.</v>
      </c>
      <c r="D142" s="943">
        <v>0</v>
      </c>
      <c r="E142" s="937"/>
      <c r="F142" s="4"/>
      <c r="G142" s="4"/>
      <c r="H142" s="4"/>
      <c r="I142" s="4"/>
      <c r="J142" s="4"/>
      <c r="K142" s="4"/>
      <c r="L142" s="4"/>
      <c r="M142" s="4"/>
      <c r="N142" s="4"/>
      <c r="O142" s="782" t="str">
        <f t="shared" si="56"/>
        <v>Stifel Financial Corp.</v>
      </c>
      <c r="P142" s="937">
        <f t="shared" si="57"/>
        <v>0</v>
      </c>
      <c r="Q142" s="4"/>
      <c r="R142" s="4"/>
      <c r="S142" s="4"/>
      <c r="T142" s="4"/>
      <c r="U142" s="4"/>
      <c r="V142" s="4"/>
      <c r="W142" s="4"/>
      <c r="X142" s="4"/>
      <c r="Y142" s="4"/>
      <c r="Z142" s="4"/>
    </row>
    <row r="143" ht="15.75" customHeight="1" spans="1:26" x14ac:dyDescent="0.25">
      <c r="A143" s="4"/>
      <c r="B143" s="688">
        <f t="shared" si="58"/>
        <v>4</v>
      </c>
      <c r="C143" s="782" t="str">
        <f t="shared" si="55"/>
        <v>Raymond James Financial, Inc.</v>
      </c>
      <c r="D143" s="943">
        <v>0</v>
      </c>
      <c r="E143" s="937"/>
      <c r="F143" s="4"/>
      <c r="G143" s="4"/>
      <c r="H143" s="4"/>
      <c r="I143" s="4"/>
      <c r="J143" s="4"/>
      <c r="K143" s="4"/>
      <c r="L143" s="4"/>
      <c r="M143" s="4"/>
      <c r="N143" s="4"/>
      <c r="O143" s="782" t="str">
        <f t="shared" si="56"/>
        <v>Stifel Financial Corp.</v>
      </c>
      <c r="P143" s="937">
        <f t="shared" si="57"/>
        <v>0</v>
      </c>
      <c r="Q143" s="4"/>
      <c r="R143" s="4"/>
      <c r="S143" s="4"/>
      <c r="T143" s="4"/>
      <c r="U143" s="4"/>
      <c r="V143" s="4"/>
      <c r="W143" s="4"/>
      <c r="X143" s="4"/>
      <c r="Y143" s="4"/>
      <c r="Z143" s="4"/>
    </row>
    <row r="144" ht="15.75" customHeight="1" spans="1:26" x14ac:dyDescent="0.25">
      <c r="A144" s="4"/>
      <c r="B144" s="688">
        <f t="shared" si="58"/>
        <v>5</v>
      </c>
      <c r="C144" s="782" t="str">
        <f t="shared" si="55"/>
        <v>Houlihan Lokey, Inc.</v>
      </c>
      <c r="D144" s="943">
        <v>0</v>
      </c>
      <c r="E144" s="937"/>
      <c r="F144" s="4"/>
      <c r="G144" s="4"/>
      <c r="H144" s="4"/>
      <c r="I144" s="4"/>
      <c r="J144" s="4"/>
      <c r="K144" s="4"/>
      <c r="L144" s="4"/>
      <c r="M144" s="4"/>
      <c r="N144" s="4"/>
      <c r="O144" s="782" t="str">
        <f t="shared" si="56"/>
        <v>Stifel Financial Corp.</v>
      </c>
      <c r="P144" s="937">
        <f t="shared" si="57"/>
        <v>0</v>
      </c>
      <c r="Q144" s="4"/>
      <c r="R144" s="4"/>
      <c r="S144" s="4"/>
      <c r="T144" s="4"/>
      <c r="U144" s="4"/>
      <c r="V144" s="4"/>
      <c r="W144" s="4"/>
      <c r="X144" s="4"/>
      <c r="Y144" s="4"/>
      <c r="Z144" s="4"/>
    </row>
    <row r="145" ht="15.75" customHeight="1" spans="1:26" x14ac:dyDescent="0.25">
      <c r="A145" s="4"/>
      <c r="B145" s="688">
        <f t="shared" si="58"/>
        <v>6</v>
      </c>
      <c r="C145" s="782">
        <f t="shared" si="55"/>
        <v>0</v>
      </c>
      <c r="D145" s="943">
        <v>0</v>
      </c>
      <c r="E145" s="937"/>
      <c r="F145" s="4"/>
      <c r="G145" s="4"/>
      <c r="H145" s="4"/>
      <c r="I145" s="4"/>
      <c r="J145" s="4"/>
      <c r="K145" s="4"/>
      <c r="L145" s="4"/>
      <c r="M145" s="4"/>
      <c r="N145" s="4"/>
      <c r="O145" s="782" t="str">
        <f t="shared" si="56"/>
        <v>Stifel Financial Corp.</v>
      </c>
      <c r="P145" s="937">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2" t="str">
        <f>C138</f>
        <v>Raw Data</v>
      </c>
      <c r="D154" s="103"/>
      <c r="E154" s="103"/>
      <c r="F154" s="4"/>
      <c r="G154" s="4"/>
      <c r="H154" s="4"/>
      <c r="I154" s="4"/>
      <c r="J154" s="4"/>
      <c r="K154" s="4"/>
      <c r="L154" s="4"/>
      <c r="M154" s="4"/>
      <c r="N154" s="4"/>
      <c r="O154" s="932"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3" t="str">
        <f t="shared" ref="C156:C161" si="59">C140</f>
        <v>Jefferies Financial Group Inc.</v>
      </c>
      <c r="D156" s="943">
        <v>0.244</v>
      </c>
      <c r="E156" s="4"/>
      <c r="F156" s="4"/>
      <c r="G156" s="4"/>
      <c r="H156" s="4"/>
      <c r="I156" s="4"/>
      <c r="J156" s="4"/>
      <c r="K156" s="4"/>
      <c r="L156" s="4"/>
      <c r="M156" s="4"/>
      <c r="N156" s="4"/>
      <c r="O156" s="782" t="str">
        <f t="shared" ref="O156:O161" si="60">INDEX($C$156:$C$161,MATCH(P156,$D$156:$D$161,0),1)</f>
        <v>Jefferies Financial Group Inc.</v>
      </c>
      <c r="P156" s="937">
        <f t="shared" ref="P156:P161" si="61">LARGE($D$156:$D$161,B156)</f>
        <v>0.244</v>
      </c>
      <c r="Q156" s="4"/>
      <c r="R156" s="4"/>
      <c r="S156" s="4"/>
      <c r="T156" s="4"/>
      <c r="U156" s="4"/>
      <c r="V156" s="4"/>
      <c r="W156" s="4"/>
      <c r="X156" s="4"/>
      <c r="Y156" s="4"/>
      <c r="Z156" s="4"/>
    </row>
    <row r="157" ht="15.75" customHeight="1" spans="1:26" x14ac:dyDescent="0.25">
      <c r="A157" s="4"/>
      <c r="B157" s="688">
        <f t="shared" ref="B157:B161" si="62">B156+1</f>
        <v>2</v>
      </c>
      <c r="C157" s="782" t="str">
        <f t="shared" si="59"/>
        <v>Piper Sandler Companies</v>
      </c>
      <c r="D157" s="943">
        <v>0.1296</v>
      </c>
      <c r="E157" s="4"/>
      <c r="F157" s="4"/>
      <c r="G157" s="4"/>
      <c r="H157" s="4"/>
      <c r="I157" s="4"/>
      <c r="J157" s="4"/>
      <c r="K157" s="4"/>
      <c r="L157" s="4"/>
      <c r="M157" s="4"/>
      <c r="N157" s="4"/>
      <c r="O157" s="782" t="str">
        <f t="shared" si="60"/>
        <v>Piper Sandler Companies</v>
      </c>
      <c r="P157" s="937">
        <f t="shared" si="61"/>
        <v>0.1296</v>
      </c>
      <c r="Q157" s="4"/>
      <c r="R157" s="4"/>
      <c r="S157" s="4"/>
      <c r="T157" s="4"/>
      <c r="U157" s="4"/>
      <c r="V157" s="4"/>
      <c r="W157" s="4"/>
      <c r="X157" s="4"/>
      <c r="Y157" s="4"/>
      <c r="Z157" s="4"/>
    </row>
    <row r="158" ht="15.75" customHeight="1" spans="1:26" x14ac:dyDescent="0.25">
      <c r="A158" s="4"/>
      <c r="B158" s="688">
        <f t="shared" si="62"/>
        <v>3</v>
      </c>
      <c r="C158" s="782" t="str">
        <f t="shared" si="59"/>
        <v>Stifel Financial Corp.</v>
      </c>
      <c r="D158" s="943">
        <v>0</v>
      </c>
      <c r="E158" s="4"/>
      <c r="F158" s="4"/>
      <c r="G158" s="4"/>
      <c r="H158" s="4"/>
      <c r="I158" s="4"/>
      <c r="J158" s="4"/>
      <c r="K158" s="4"/>
      <c r="L158" s="4"/>
      <c r="M158" s="4"/>
      <c r="N158" s="4"/>
      <c r="O158" s="782" t="str">
        <f t="shared" si="60"/>
        <v>Stifel Financial Corp.</v>
      </c>
      <c r="P158" s="937">
        <f t="shared" si="61"/>
        <v>0</v>
      </c>
      <c r="Q158" s="4"/>
      <c r="R158" s="4"/>
      <c r="S158" s="4"/>
      <c r="T158" s="4"/>
      <c r="U158" s="4"/>
      <c r="V158" s="4"/>
      <c r="W158" s="4"/>
      <c r="X158" s="4"/>
      <c r="Y158" s="4"/>
      <c r="Z158" s="4"/>
    </row>
    <row r="159" ht="15.75" customHeight="1" spans="1:26" x14ac:dyDescent="0.25">
      <c r="A159" s="4"/>
      <c r="B159" s="688">
        <f t="shared" si="62"/>
        <v>4</v>
      </c>
      <c r="C159" s="782" t="str">
        <f t="shared" si="59"/>
        <v>Raymond James Financial, Inc.</v>
      </c>
      <c r="D159" s="943">
        <v>0</v>
      </c>
      <c r="E159" s="4"/>
      <c r="F159" s="4"/>
      <c r="G159" s="4"/>
      <c r="H159" s="4"/>
      <c r="I159" s="4"/>
      <c r="J159" s="4"/>
      <c r="K159" s="4"/>
      <c r="L159" s="4"/>
      <c r="M159" s="4"/>
      <c r="N159" s="4"/>
      <c r="O159" s="782" t="str">
        <f t="shared" si="60"/>
        <v>Stifel Financial Corp.</v>
      </c>
      <c r="P159" s="937">
        <f t="shared" si="61"/>
        <v>0</v>
      </c>
      <c r="Q159" s="4"/>
      <c r="R159" s="4"/>
      <c r="S159" s="4"/>
      <c r="T159" s="4"/>
      <c r="U159" s="4"/>
      <c r="V159" s="4"/>
      <c r="W159" s="4"/>
      <c r="X159" s="4"/>
      <c r="Y159" s="4"/>
      <c r="Z159" s="4"/>
    </row>
    <row r="160" ht="15.75" customHeight="1" spans="1:26" x14ac:dyDescent="0.25">
      <c r="A160" s="4"/>
      <c r="B160" s="688">
        <f t="shared" si="62"/>
        <v>5</v>
      </c>
      <c r="C160" s="782" t="str">
        <f t="shared" si="59"/>
        <v>Houlihan Lokey, Inc.</v>
      </c>
      <c r="D160" s="943">
        <v>0</v>
      </c>
      <c r="E160" s="4"/>
      <c r="F160" s="4"/>
      <c r="G160" s="4"/>
      <c r="H160" s="4"/>
      <c r="I160" s="4"/>
      <c r="J160" s="4"/>
      <c r="K160" s="4"/>
      <c r="L160" s="4"/>
      <c r="M160" s="4"/>
      <c r="N160" s="4"/>
      <c r="O160" s="782" t="str">
        <f t="shared" si="60"/>
        <v>Stifel Financial Corp.</v>
      </c>
      <c r="P160" s="937">
        <f t="shared" si="61"/>
        <v>0</v>
      </c>
      <c r="Q160" s="4"/>
      <c r="R160" s="4"/>
      <c r="S160" s="4"/>
      <c r="T160" s="4"/>
      <c r="U160" s="4"/>
      <c r="V160" s="4"/>
      <c r="W160" s="4"/>
      <c r="X160" s="4"/>
      <c r="Y160" s="4"/>
      <c r="Z160" s="4"/>
    </row>
    <row r="161" ht="15.75" customHeight="1" spans="1:26" x14ac:dyDescent="0.25">
      <c r="A161" s="4"/>
      <c r="B161" s="688">
        <f t="shared" si="62"/>
        <v>6</v>
      </c>
      <c r="C161" s="782">
        <f t="shared" si="59"/>
        <v>0</v>
      </c>
      <c r="D161" s="943">
        <v>0</v>
      </c>
      <c r="E161" s="4"/>
      <c r="F161" s="4"/>
      <c r="G161" s="4"/>
      <c r="H161" s="4"/>
      <c r="I161" s="4"/>
      <c r="J161" s="4"/>
      <c r="K161" s="4"/>
      <c r="L161" s="4"/>
      <c r="M161" s="4"/>
      <c r="N161" s="4"/>
      <c r="O161" s="782" t="str">
        <f t="shared" si="60"/>
        <v>Stifel Financial Corp.</v>
      </c>
      <c r="P161" s="937">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3"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6"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8">
        <v>19670.3</v>
      </c>
      <c r="J12" s="947">
        <f t="array" ref="J12">INDEX(Data,MATCH($C12,Line_Items,0),MATCH(LEFT(J$10,4),Fiscal_Periods,0))</f>
        <v>0</v>
      </c>
      <c r="K12" s="947" t="e">
        <f t="array" ref="K12">INDEX(Data,MATCH($C12,Line_Items,0),MATCH(LEFT(K$10,4),Fiscal_Periods,0))</f>
        <v>#N/A</v>
      </c>
      <c r="L12" s="949">
        <f t="shared" ref="L12:N12" si="1">IFERROR($H12/I12-1,"N/A")</f>
        <v>-1</v>
      </c>
      <c r="M12" s="627" t="str">
        <f t="shared" si="1"/>
        <v>N/A</v>
      </c>
      <c r="N12" s="627"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1">
        <v>3968.1</v>
      </c>
      <c r="J13" s="950">
        <f t="array" ref="J13">INDEX(Data,MATCH($C13,Line_Items,0),MATCH(LEFT(J$10,4),Fiscal_Periods,0))</f>
        <v>0</v>
      </c>
      <c r="K13" s="950" t="e">
        <f t="array" ref="K13">INDEX(Data,MATCH($C13,Line_Items,0),MATCH(LEFT(K$10,4),Fiscal_Periods,0))</f>
        <v>#N/A</v>
      </c>
      <c r="L13" s="949">
        <f t="shared" ref="L13:N13" si="2">IFERROR($H13/I13-1,"N/A")</f>
        <v>-1.012127970565258</v>
      </c>
      <c r="M13" s="627" t="str">
        <f t="shared" si="2"/>
        <v>N/A</v>
      </c>
      <c r="N13" s="627"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3">
        <v>0.202</v>
      </c>
      <c r="J14" s="952" t="e">
        <f t="array" ref="J14">INDEX(Data,MATCH($C14,Line_Items,0),MATCH(LEFT(J$10,4),Fiscal_Periods,0))</f>
        <v>#DIV/0!</v>
      </c>
      <c r="K14" s="952" t="e">
        <f t="array" ref="K14">INDEX(Data,MATCH($C14,Line_Items,0),MATCH(LEFT(K$10,4),Fiscal_Periods,0))</f>
        <v>#N/A</v>
      </c>
      <c r="L14" s="954">
        <f t="shared" ref="L14:N14" si="3">$H14-I14</f>
        <v>0.798</v>
      </c>
      <c r="M14" s="955" t="e">
        <f t="shared" si="3"/>
        <v>#DIV/0!</v>
      </c>
      <c r="N14" s="955"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1">
        <v>2224.4</v>
      </c>
      <c r="J15" s="950">
        <f t="array" ref="J15">INDEX(Data,MATCH($C15,Line_Items,0),MATCH(LEFT(J$10,4),Fiscal_Periods,0))</f>
        <v>-1759.8350000000007</v>
      </c>
      <c r="K15" s="950" t="e">
        <f t="array" ref="K15">INDEX(Data,MATCH($C15,Line_Items,0),MATCH(LEFT(K$10,4),Fiscal_Periods,0))</f>
        <v>#N/A</v>
      </c>
      <c r="L15" s="949">
        <f t="shared" ref="L15:N15" si="4">IFERROR($H15/I15-1,"N/A")</f>
        <v>-0.836856144106276</v>
      </c>
      <c r="M15" s="627">
        <f t="shared" si="4"/>
        <v>0.277897010528916</v>
      </c>
      <c r="N15" s="627"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6">
        <f>H15/$H$12</f>
        <v>0.11273537346857365</v>
      </c>
      <c r="I16" s="953">
        <v>0.113</v>
      </c>
      <c r="J16" s="956" t="e">
        <f t="shared" ref="J16:K16" si="5">J15/$H$12</f>
        <v>#DIV/0!</v>
      </c>
      <c r="K16" s="956" t="e">
        <f t="shared" si="5"/>
        <v>#N/A</v>
      </c>
      <c r="L16" s="954">
        <f t="shared" ref="L16:N16" si="6">$H16-I16</f>
        <v>-0.0002646265314263513</v>
      </c>
      <c r="M16" s="955">
        <f t="shared" si="6"/>
        <v>0.024515921869799687</v>
      </c>
      <c r="N16" s="955"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1">
        <v>1952.8</v>
      </c>
      <c r="J17" s="950">
        <f t="array" ref="J17">INDEX(Data,MATCH($C17,Line_Items,0),MATCH(LEFT(J$10,4),Fiscal_Periods,0))</f>
        <v>-1815.6450000000007</v>
      </c>
      <c r="K17" s="950" t="e">
        <f t="array" ref="K17">INDEX(Data,MATCH($C17,Line_Items,0),MATCH(LEFT(K$10,4),Fiscal_Periods,0))</f>
        <v>#N/A</v>
      </c>
      <c r="L17" s="949">
        <f t="shared" ref="L17:N17" si="7">IFERROR($H17/I17-1,"N/A")</f>
        <v>-1.0057913636829168</v>
      </c>
      <c r="M17" s="627">
        <f t="shared" si="7"/>
        <v>-0.9937711529511551</v>
      </c>
      <c r="N17" s="627"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6" t="e">
        <f>H17/$H$12</f>
        <v>#DIV/0!</v>
      </c>
      <c r="I18" s="953">
        <v>0.099</v>
      </c>
      <c r="J18" s="956" t="e">
        <f t="shared" ref="J18:K18" si="8">J17/$H$12</f>
        <v>#DIV/0!</v>
      </c>
      <c r="K18" s="956" t="e">
        <f t="shared" si="8"/>
        <v>#N/A</v>
      </c>
      <c r="L18" s="954" t="e">
        <f t="shared" ref="L18:N18" si="9">$H18-I18</f>
        <v>#DIV/0!</v>
      </c>
      <c r="M18" s="955" t="e">
        <f t="shared" si="9"/>
        <v>#DIV/0!</v>
      </c>
      <c r="N18" s="955" t="e">
        <f t="shared" si="9"/>
        <v>#DIV/0!</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1">
        <v>1379.1</v>
      </c>
      <c r="J19" s="950">
        <f t="array" ref="J19">INDEX(Data,MATCH($C19,Line_Items,0),MATCH(LEFT(J$10,4),Fiscal_Periods,0))</f>
        <v>-1815.6450000000007</v>
      </c>
      <c r="K19" s="950" t="e">
        <f t="array" ref="K19">INDEX(Data,MATCH($C19,Line_Items,0),MATCH(LEFT(K$10,4),Fiscal_Periods,0))</f>
        <v>#N/A</v>
      </c>
      <c r="L19" s="949">
        <f t="shared" ref="L19:N19" si="10">IFERROR($H19/I19-1,"N/A")</f>
        <v>-0.8082333745242499</v>
      </c>
      <c r="M19" s="627">
        <f t="shared" si="10"/>
        <v>0.22625575856339397</v>
      </c>
      <c r="N19" s="627"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2">
        <f>H19/H12</f>
        <v>0.08215715341086056</v>
      </c>
      <c r="I20" s="953">
        <v>0.07</v>
      </c>
      <c r="J20" s="952" t="e">
        <f t="shared" ref="J20:K20" si="11">J19/J12</f>
        <v>#DIV/0!</v>
      </c>
      <c r="K20" s="952" t="e">
        <f t="shared" si="11"/>
        <v>#N/A</v>
      </c>
      <c r="L20" s="954">
        <f t="shared" ref="L20:N20" si="12">$H20-I20</f>
        <v>0.012157153410860558</v>
      </c>
      <c r="M20" s="955">
        <f t="shared" si="12"/>
        <v>0.009019862070313064</v>
      </c>
      <c r="N20" s="955"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8">
        <v>2.15</v>
      </c>
      <c r="J21" s="957">
        <f t="array" ref="J21">INDEX(Data,MATCH($C21,Line_Items,0),MATCH(LEFT(J$10,4),Fiscal_Periods,0))</f>
        <v>-8.151190144828641</v>
      </c>
      <c r="K21" s="957" t="e">
        <f t="array" ref="K21">INDEX(Data,MATCH($C21,Line_Items,0),MATCH(LEFT(K$10,4),Fiscal_Periods,0))</f>
        <v>#N/A</v>
      </c>
      <c r="L21" s="949">
        <f t="shared" ref="L21:N21" si="13">IFERROR($H21/I21-1,"N/A")</f>
        <v>-0.5067394283986397</v>
      </c>
      <c r="M21" s="627">
        <f t="shared" si="13"/>
        <v>0.23915802330195945</v>
      </c>
      <c r="N21" s="627"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6"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8">
        <v>6520.1</v>
      </c>
      <c r="J26" s="947" t="e">
        <f t="array" ref="J26">INDEX(Data,MATCH($C26,Line_Items,0),MATCH(LEFT(J$24,4),Fiscal_Periods,0))</f>
        <v>#N/A</v>
      </c>
      <c r="K26" s="947" t="e">
        <f t="array" ref="K26">INDEX(Data,MATCH($C26,Line_Items,0),MATCH(LEFT(K$24,4),Fiscal_Periods,0))</f>
        <v>#N/A</v>
      </c>
      <c r="L26" s="949" t="str">
        <f t="shared" ref="L26:N26" si="15">IFERROR($H26/I26-1,"N/A")</f>
        <v>N/A</v>
      </c>
      <c r="M26" s="627" t="str">
        <f t="shared" si="15"/>
        <v>N/A</v>
      </c>
      <c r="N26" s="627"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1">
        <v>11000.3</v>
      </c>
      <c r="J27" s="950" t="e">
        <f t="array" ref="J27">INDEX(Data,MATCH($C27,Line_Items,0),MATCH(LEFT(J$24,4),Fiscal_Periods,0))</f>
        <v>#N/A</v>
      </c>
      <c r="K27" s="950" t="e">
        <f t="array" ref="K27">INDEX(Data,MATCH($C27,Line_Items,0),MATCH(LEFT(K$24,4),Fiscal_Periods,0))</f>
        <v>#N/A</v>
      </c>
      <c r="L27" s="949" t="str">
        <f t="shared" ref="L27:N27" si="16">IFERROR($H27/I27-1,"N/A")</f>
        <v>N/A</v>
      </c>
      <c r="M27" s="627" t="str">
        <f t="shared" si="16"/>
        <v>N/A</v>
      </c>
      <c r="N27" s="627"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1">
        <v>75</v>
      </c>
      <c r="J28" s="950" t="e">
        <f t="array" ref="J28">INDEX(Data,MATCH($C28,Line_Items,0),MATCH(LEFT(J$24,4),Fiscal_Periods,0))</f>
        <v>#N/A</v>
      </c>
      <c r="K28" s="950" t="e">
        <f t="array" ref="K28">INDEX(Data,MATCH($C28,Line_Items,0),MATCH(LEFT(K$24,4),Fiscal_Periods,0))</f>
        <v>#N/A</v>
      </c>
      <c r="L28" s="949" t="str">
        <f t="shared" ref="L28:N28" si="17">IFERROR($H28/I28-1,"N/A")</f>
        <v>N/A</v>
      </c>
      <c r="M28" s="627" t="str">
        <f t="shared" si="17"/>
        <v>N/A</v>
      </c>
      <c r="N28" s="627"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1">
        <v>-200</v>
      </c>
      <c r="J29" s="950" t="e">
        <f t="array" ref="J29">INDEX(Data,MATCH($C29,Line_Items,0),MATCH(LEFT(J$24,4),Fiscal_Periods,0))</f>
        <v>#N/A</v>
      </c>
      <c r="K29" s="950" t="e">
        <f t="array" ref="K29">INDEX(Data,MATCH($C29,Line_Items,0),MATCH(LEFT(K$24,4),Fiscal_Periods,0))</f>
        <v>#N/A</v>
      </c>
      <c r="L29" s="949" t="str">
        <f t="shared" ref="L29:N29" si="18">IFERROR($H29/I29-1,"N/A")</f>
        <v>N/A</v>
      </c>
      <c r="M29" s="627" t="str">
        <f t="shared" si="18"/>
        <v>N/A</v>
      </c>
      <c r="N29" s="627" t="str">
        <f t="shared" si="18"/>
        <v>N/A</v>
      </c>
      <c r="O29" s="8"/>
      <c r="P29" s="8"/>
      <c r="Q29" s="4"/>
      <c r="R29" s="4"/>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60">
        <v>5000</v>
      </c>
      <c r="J30" s="959" t="e">
        <f t="array" ref="J30">INDEX(Data,MATCH($C30,Line_Items,0),MATCH(LEFT(J$24,4),Fiscal_Periods,0))</f>
        <v>#N/A</v>
      </c>
      <c r="K30" s="959" t="e">
        <f t="array" ref="K30">INDEX(Data,MATCH($C30,Line_Items,0),MATCH(LEFT(K$24,4),Fiscal_Periods,0))</f>
        <v>#N/A</v>
      </c>
      <c r="L30" s="961" t="str">
        <f t="shared" ref="L30:N30" si="19">IFERROR($H30/I30-1,"N/A")</f>
        <v>N/A</v>
      </c>
      <c r="M30" s="623" t="str">
        <f t="shared" si="19"/>
        <v>N/A</v>
      </c>
      <c r="N30" s="623" t="str">
        <f t="shared" si="19"/>
        <v>N/A</v>
      </c>
      <c r="O30" s="8"/>
      <c r="P30" s="8"/>
      <c r="Q30" s="4"/>
      <c r="R30" s="4"/>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3" t="e">
        <f t="array" ref="I31">INDEX(Data,MATCH($C31,Line_Items,0),MATCH($H$6,Fiscal_Periods,0))</f>
        <v>#N/A</v>
      </c>
      <c r="J31" s="962" t="e">
        <f t="array" ref="J31">INDEX(Data,MATCH($C31,Line_Items,0),MATCH(LEFT(J$24,4),Fiscal_Periods,0))</f>
        <v>#N/A</v>
      </c>
      <c r="K31" s="962" t="e">
        <f t="array" ref="K31">INDEX(Data,MATCH($C31,Line_Items,0),MATCH(LEFT(K$24,4),Fiscal_Periods,0))</f>
        <v>#N/A</v>
      </c>
      <c r="L31" s="961" t="str">
        <f t="shared" ref="L31:N31" si="20">IFERROR($H31/I31-1,"N/A")</f>
        <v>N/A</v>
      </c>
      <c r="M31" s="623" t="str">
        <f t="shared" si="20"/>
        <v>N/A</v>
      </c>
      <c r="N31" s="623"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8">
        <v>820</v>
      </c>
      <c r="J32" s="947" t="e">
        <f t="array" ref="J32">INDEX(Data,MATCH($C32,Line_Items,0),MATCH(LEFT(J$24,4),Fiscal_Periods,0))</f>
        <v>#REF!</v>
      </c>
      <c r="K32" s="947" t="e">
        <f t="array" ref="K32">INDEX(Data,MATCH($C32,Line_Items,0),MATCH(LEFT(K$24,4),Fiscal_Periods,0))</f>
        <v>#REF!</v>
      </c>
      <c r="L32" s="949" t="str">
        <f t="shared" ref="L32:N32" si="21">IFERROR($H32/I32-1,"N/A")</f>
        <v>N/A</v>
      </c>
      <c r="M32" s="627" t="str">
        <f t="shared" si="21"/>
        <v>N/A</v>
      </c>
      <c r="N32" s="627"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1">
        <v>1400</v>
      </c>
      <c r="J33" s="950" t="e">
        <f t="array" ref="J33">INDEX(Data,MATCH($C33,Line_Items,0),MATCH(LEFT(J$24,4),Fiscal_Periods,0))</f>
        <v>#REF!</v>
      </c>
      <c r="K33" s="950" t="e">
        <f t="array" ref="K33">INDEX(Data,MATCH($C33,Line_Items,0),MATCH(LEFT(K$24,4),Fiscal_Periods,0))</f>
        <v>#REF!</v>
      </c>
      <c r="L33" s="949" t="str">
        <f t="shared" ref="L33:N33" si="22">IFERROR($H33/I33-1,"N/A")</f>
        <v>N/A</v>
      </c>
      <c r="M33" s="627" t="str">
        <f t="shared" si="22"/>
        <v>N/A</v>
      </c>
      <c r="N33" s="627"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1">
        <v>10</v>
      </c>
      <c r="J34" s="950" t="e">
        <f t="array" ref="J34">INDEX(Data,MATCH($C34,Line_Items,0),MATCH(LEFT(J$24,4),Fiscal_Periods,0))</f>
        <v>#REF!</v>
      </c>
      <c r="K34" s="950" t="e">
        <f t="array" ref="K34">INDEX(Data,MATCH($C34,Line_Items,0),MATCH(LEFT(K$24,4),Fiscal_Periods,0))</f>
        <v>#REF!</v>
      </c>
      <c r="L34" s="949" t="str">
        <f t="shared" ref="L34:N34" si="23">IFERROR($H34/I34-1,"N/A")</f>
        <v>N/A</v>
      </c>
      <c r="M34" s="627" t="str">
        <f t="shared" si="23"/>
        <v>N/A</v>
      </c>
      <c r="N34" s="627"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1">
        <v>-23</v>
      </c>
      <c r="J35" s="950" t="e">
        <f t="array" ref="J35">INDEX(Data,MATCH($C35,Line_Items,0),MATCH(LEFT(J$24,4),Fiscal_Periods,0))</f>
        <v>#REF!</v>
      </c>
      <c r="K35" s="950" t="e">
        <f t="array" ref="K35">INDEX(Data,MATCH($C35,Line_Items,0),MATCH(LEFT(K$24,4),Fiscal_Periods,0))</f>
        <v>#REF!</v>
      </c>
      <c r="L35" s="949" t="str">
        <f t="shared" ref="L35:N35" si="24">IFERROR($H35/I35-1,"N/A")</f>
        <v>N/A</v>
      </c>
      <c r="M35" s="627" t="str">
        <f t="shared" si="24"/>
        <v>N/A</v>
      </c>
      <c r="N35" s="627"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1">
        <v>650</v>
      </c>
      <c r="J36" s="950" t="e">
        <f t="array" ref="J36">INDEX(Data,MATCH($C36,Line_Items,0),MATCH(LEFT(J$24,4),Fiscal_Periods,0))</f>
        <v>#REF!</v>
      </c>
      <c r="K36" s="950" t="e">
        <f t="array" ref="K36">INDEX(Data,MATCH($C36,Line_Items,0),MATCH(LEFT(K$24,4),Fiscal_Periods,0))</f>
        <v>#REF!</v>
      </c>
      <c r="L36" s="949" t="str">
        <f t="shared" ref="L36:N36" si="25">IFERROR($H36/I36-1,"N/A")</f>
        <v>N/A</v>
      </c>
      <c r="M36" s="627" t="str">
        <f t="shared" si="25"/>
        <v>N/A</v>
      </c>
      <c r="N36" s="627"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1">
        <v>300</v>
      </c>
      <c r="J37" s="950" t="e">
        <f t="array" ref="J37">INDEX(Data,MATCH($C37,Line_Items,0),MATCH(LEFT(J$24,4),Fiscal_Periods,0))</f>
        <v>#REF!</v>
      </c>
      <c r="K37" s="950" t="e">
        <f t="array" ref="K37">INDEX(Data,MATCH($C37,Line_Items,0),MATCH(LEFT(K$24,4),Fiscal_Periods,0))</f>
        <v>#REF!</v>
      </c>
      <c r="L37" s="949" t="str">
        <f t="shared" ref="L37:N37" si="26">IFERROR($H37/I37-1,"N/A")</f>
        <v>N/A</v>
      </c>
      <c r="M37" s="627" t="str">
        <f t="shared" si="26"/>
        <v>N/A</v>
      </c>
      <c r="N37" s="627"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6"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8">
        <v>50</v>
      </c>
      <c r="J42" s="947">
        <f t="array" ref="J42">INDEX(Data,MATCH($C42,Line_Items,0),MATCH(LEFT(J$40,4),Fiscal_Periods,0))</f>
        <v>0</v>
      </c>
      <c r="K42" s="947" t="e">
        <f t="array" ref="K42">INDEX(Data,MATCH($C42,Line_Items,0),MATCH(LEFT(K$40,4),Fiscal_Periods,0))</f>
        <v>#N/A</v>
      </c>
      <c r="L42" s="949">
        <f t="shared" ref="L42:N42" si="28">IFERROR($H42/I42-1,"N/A")</f>
        <v>-40.68278279799998</v>
      </c>
      <c r="M42" s="627" t="str">
        <f t="shared" si="28"/>
        <v>N/A</v>
      </c>
      <c r="N42" s="627"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1">
        <v>-668</v>
      </c>
      <c r="J43" s="950">
        <f t="array" ref="J43">INDEX(Data,MATCH($C43,Line_Items,0),MATCH(LEFT(J$40,4),Fiscal_Periods,0))</f>
        <v>0</v>
      </c>
      <c r="K43" s="950" t="e">
        <f t="array" ref="K43">INDEX(Data,MATCH($C43,Line_Items,0),MATCH(LEFT(K$40,4),Fiscal_Periods,0))</f>
        <v>#N/A</v>
      </c>
      <c r="L43" s="949">
        <f t="shared" ref="L43:N43" si="29">IFERROR($H43/I43-1,"N/A")</f>
        <v>-1</v>
      </c>
      <c r="M43" s="627" t="str">
        <f t="shared" si="29"/>
        <v>N/A</v>
      </c>
      <c r="N43" s="627"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1">
        <v>1412.6</v>
      </c>
      <c r="J44" s="950">
        <f t="array" ref="J44">INDEX(Data,MATCH($C44,Line_Items,0),MATCH(LEFT(J$40,4),Fiscal_Periods,0))</f>
        <v>-1777.8350000000007</v>
      </c>
      <c r="K44" s="950" t="e">
        <f t="array" ref="K44">INDEX(Data,MATCH($C44,Line_Items,0),MATCH(LEFT(K$40,4),Fiscal_Periods,0))</f>
        <v>#N/A</v>
      </c>
      <c r="L44" s="949">
        <f t="shared" ref="L44:N44" si="30">IFERROR($H44/I44-1,"N/A")</f>
        <v>-0.4474955260022264</v>
      </c>
      <c r="M44" s="627">
        <f t="shared" si="30"/>
        <v>-0.670411105737467</v>
      </c>
      <c r="N44" s="627"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4"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6"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7">
        <f t="array" ref="I12">INDEX(Data,MATCH($C12,Line_Items,0),MATCH($H$6,Fiscal_Periods,0))</f>
        <v>0</v>
      </c>
      <c r="J12" s="948">
        <v>19670.3</v>
      </c>
      <c r="K12" s="947">
        <f t="array" ref="K12">INDEX(Data,MATCH($C12,Line_Items,0),MATCH(LEFT(K$10,4),Fiscal_Periods,0))</f>
        <v>0</v>
      </c>
      <c r="L12" s="947" t="e">
        <f t="array" ref="L12">INDEX(Data,MATCH($C12,Line_Items,0),MATCH(LEFT(L$10,4),Fiscal_Periods,0))</f>
        <v>#N/A</v>
      </c>
      <c r="M12" s="949" t="str">
        <f t="shared" ref="M12:N12" si="1">IFERROR($H12/I12-1,"N/A")</f>
        <v>N/A</v>
      </c>
      <c r="N12" s="627">
        <f t="shared" si="1"/>
        <v>-1</v>
      </c>
      <c r="O12" s="627" t="str">
        <f t="shared" ref="O12:P12" si="2">IFERROR($I12/K12-1,"N/A")</f>
        <v>N/A</v>
      </c>
      <c r="P12" s="627"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0">
        <f t="array" ref="I13">INDEX(Data,MATCH($C13,Line_Items,0),MATCH($H$6,Fiscal_Periods,0))</f>
        <v>-48.125</v>
      </c>
      <c r="J13" s="951">
        <v>3968.1</v>
      </c>
      <c r="K13" s="950">
        <f t="array" ref="K13">INDEX(Data,MATCH($C13,Line_Items,0),MATCH(LEFT(K$10,4),Fiscal_Periods,0))</f>
        <v>0</v>
      </c>
      <c r="L13" s="950" t="e">
        <f t="array" ref="L13">INDEX(Data,MATCH($C13,Line_Items,0),MATCH(LEFT(L$10,4),Fiscal_Periods,0))</f>
        <v>#N/A</v>
      </c>
      <c r="M13" s="949">
        <f t="shared" ref="M13:P13" si="3">IFERROR($H13/I13-1,"N/A")</f>
        <v>0</v>
      </c>
      <c r="N13" s="627">
        <f t="shared" si="3"/>
        <v>-1.012127970565258</v>
      </c>
      <c r="O13" s="627" t="str">
        <f t="shared" si="3"/>
        <v>N/A</v>
      </c>
      <c r="P13" s="627"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2">
        <f t="array" ref="I14">INDEX(Data,MATCH($C14,Line_Items,0),MATCH($H$6,Fiscal_Periods,0))</f>
        <v>1</v>
      </c>
      <c r="J14" s="953">
        <v>0.202</v>
      </c>
      <c r="K14" s="952" t="e">
        <f t="array" ref="K14">INDEX(Data,MATCH($C14,Line_Items,0),MATCH(LEFT(K$10,4),Fiscal_Periods,0))</f>
        <v>#DIV/0!</v>
      </c>
      <c r="L14" s="952" t="e">
        <f t="array" ref="L14">INDEX(Data,MATCH($C14,Line_Items,0),MATCH(LEFT(L$10,4),Fiscal_Periods,0))</f>
        <v>#N/A</v>
      </c>
      <c r="M14" s="954">
        <f t="shared" ref="M14:P14" si="4">$H14-I14</f>
        <v>0</v>
      </c>
      <c r="N14" s="955">
        <f t="shared" si="4"/>
        <v>0.798</v>
      </c>
      <c r="O14" s="955" t="e">
        <f t="shared" si="4"/>
        <v>#DIV/0!</v>
      </c>
      <c r="P14" s="955"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0">
        <f t="array" ref="I15">INDEX(Data,MATCH($C15,Line_Items,0),MATCH($H$6,Fiscal_Periods,0))</f>
        <v>362.8971930499997</v>
      </c>
      <c r="J15" s="951">
        <v>2224.4</v>
      </c>
      <c r="K15" s="950">
        <f t="array" ref="K15">INDEX(Data,MATCH($C15,Line_Items,0),MATCH(LEFT(K$10,4),Fiscal_Periods,0))</f>
        <v>-1759.8350000000007</v>
      </c>
      <c r="L15" s="950" t="e">
        <f t="array" ref="L15">INDEX(Data,MATCH($C15,Line_Items,0),MATCH(LEFT(L$10,4),Fiscal_Periods,0))</f>
        <v>#N/A</v>
      </c>
      <c r="M15" s="949">
        <f t="shared" ref="M15:P15" si="5">IFERROR($H15/I15-1,"N/A")</f>
        <v>0</v>
      </c>
      <c r="N15" s="627">
        <f t="shared" si="5"/>
        <v>-0.836856144106276</v>
      </c>
      <c r="O15" s="627">
        <f t="shared" si="5"/>
        <v>0.277897010528916</v>
      </c>
      <c r="P15" s="627"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6">
        <f t="shared" ref="H16:I16" si="6">H15/$H$12</f>
        <v>0.11273537346857365</v>
      </c>
      <c r="I16" s="956">
        <f t="shared" si="6"/>
        <v>0.11273537346857365</v>
      </c>
      <c r="J16" s="953">
        <v>0.113</v>
      </c>
      <c r="K16" s="956" t="e">
        <f t="shared" ref="K16:L16" si="7">K15/$H$12</f>
        <v>#DIV/0!</v>
      </c>
      <c r="L16" s="956" t="e">
        <f t="shared" si="7"/>
        <v>#N/A</v>
      </c>
      <c r="M16" s="954">
        <f t="shared" ref="M16:P16" si="8">$H16-I16</f>
        <v>0</v>
      </c>
      <c r="N16" s="955">
        <f t="shared" si="8"/>
        <v>-0.0002646265314263513</v>
      </c>
      <c r="O16" s="955">
        <f t="shared" si="8"/>
        <v>0.024515921869799687</v>
      </c>
      <c r="P16" s="955"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0">
        <f t="array" ref="I17">INDEX(Data,MATCH($C17,Line_Items,0),MATCH($H$6,Fiscal_Periods,0))</f>
        <v>-11.309375000000003</v>
      </c>
      <c r="J17" s="951">
        <v>1952.8</v>
      </c>
      <c r="K17" s="950">
        <f t="array" ref="K17">INDEX(Data,MATCH($C17,Line_Items,0),MATCH(LEFT(K$10,4),Fiscal_Periods,0))</f>
        <v>-1815.6450000000007</v>
      </c>
      <c r="L17" s="950" t="e">
        <f t="array" ref="L17">INDEX(Data,MATCH($C17,Line_Items,0),MATCH(LEFT(L$10,4),Fiscal_Periods,0))</f>
        <v>#N/A</v>
      </c>
      <c r="M17" s="949">
        <f t="shared" ref="M17:P17" si="9">IFERROR($H17/I17-1,"N/A")</f>
        <v>0</v>
      </c>
      <c r="N17" s="627">
        <f t="shared" si="9"/>
        <v>-1.0057913636829168</v>
      </c>
      <c r="O17" s="627">
        <f t="shared" si="9"/>
        <v>-0.9937711529511551</v>
      </c>
      <c r="P17" s="627"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6" t="e">
        <f t="shared" ref="H18:I18" si="10">H17/$H$12</f>
        <v>#DIV/0!</v>
      </c>
      <c r="I18" s="956" t="e">
        <f t="shared" si="10"/>
        <v>#DIV/0!</v>
      </c>
      <c r="J18" s="953">
        <v>0.099</v>
      </c>
      <c r="K18" s="956" t="e">
        <f t="shared" ref="K18:L18" si="11">K17/$H$12</f>
        <v>#DIV/0!</v>
      </c>
      <c r="L18" s="956" t="e">
        <f t="shared" si="11"/>
        <v>#N/A</v>
      </c>
      <c r="M18" s="954" t="e">
        <f t="shared" ref="M18:P18" si="12">$H18-I18</f>
        <v>#DIV/0!</v>
      </c>
      <c r="N18" s="955" t="e">
        <f t="shared" si="12"/>
        <v>#DIV/0!</v>
      </c>
      <c r="O18" s="955" t="e">
        <f t="shared" si="12"/>
        <v>#DIV/0!</v>
      </c>
      <c r="P18" s="955" t="e">
        <f t="shared" si="12"/>
        <v>#DIV/0!</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0">
        <f t="array" ref="I19">INDEX(Data,MATCH($C19,Line_Items,0),MATCH($H$6,Fiscal_Periods,0))</f>
        <v>264.46535319360686</v>
      </c>
      <c r="J19" s="951">
        <v>1379.1</v>
      </c>
      <c r="K19" s="950">
        <f t="array" ref="K19">INDEX(Data,MATCH($C19,Line_Items,0),MATCH(LEFT(K$10,4),Fiscal_Periods,0))</f>
        <v>-1815.6450000000007</v>
      </c>
      <c r="L19" s="950" t="e">
        <f t="array" ref="L19">INDEX(Data,MATCH($C19,Line_Items,0),MATCH(LEFT(L$10,4),Fiscal_Periods,0))</f>
        <v>#N/A</v>
      </c>
      <c r="M19" s="949">
        <f t="shared" ref="M19:P19" si="13">IFERROR($H19/I19-1,"N/A")</f>
        <v>0</v>
      </c>
      <c r="N19" s="627">
        <f t="shared" si="13"/>
        <v>-0.8082333745242499</v>
      </c>
      <c r="O19" s="627">
        <f t="shared" si="13"/>
        <v>0.22625575856339397</v>
      </c>
      <c r="P19" s="627"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2">
        <f t="shared" ref="H20:I20" si="14">H19/H12</f>
        <v>0.08215715341086056</v>
      </c>
      <c r="I20" s="952">
        <f t="shared" si="14"/>
        <v>0.08215715341086056</v>
      </c>
      <c r="J20" s="953">
        <v>0.07</v>
      </c>
      <c r="K20" s="952" t="e">
        <f t="shared" ref="K20:L20" si="15">K19/K12</f>
        <v>#DIV/0!</v>
      </c>
      <c r="L20" s="952" t="e">
        <f t="shared" si="15"/>
        <v>#N/A</v>
      </c>
      <c r="M20" s="954">
        <f t="shared" ref="M20:P20" si="16">$H20-I20</f>
        <v>0</v>
      </c>
      <c r="N20" s="955">
        <f t="shared" si="16"/>
        <v>0.012157153410860558</v>
      </c>
      <c r="O20" s="955">
        <f t="shared" si="16"/>
        <v>0.009019862070313064</v>
      </c>
      <c r="P20" s="955"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7">
        <f t="array" ref="I21">INDEX(Data,MATCH($C21,Line_Items,0),MATCH($H$6,Fiscal_Periods,0))</f>
        <v>1.0605102289429245</v>
      </c>
      <c r="J21" s="958">
        <v>2.15</v>
      </c>
      <c r="K21" s="957">
        <f t="array" ref="K21">INDEX(Data,MATCH($C21,Line_Items,0),MATCH(LEFT(K$10,4),Fiscal_Periods,0))</f>
        <v>-8.151190144828641</v>
      </c>
      <c r="L21" s="957" t="e">
        <f t="array" ref="L21">INDEX(Data,MATCH($C21,Line_Items,0),MATCH(LEFT(L$10,4),Fiscal_Periods,0))</f>
        <v>#N/A</v>
      </c>
      <c r="M21" s="949">
        <f t="shared" ref="M21:P21" si="17">IFERROR($H21/I21-1,"N/A")</f>
        <v>0</v>
      </c>
      <c r="N21" s="627">
        <f t="shared" si="17"/>
        <v>-0.5067394283986397</v>
      </c>
      <c r="O21" s="627">
        <f t="shared" si="17"/>
        <v>0.23915802330195945</v>
      </c>
      <c r="P21" s="627"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6"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7" t="e">
        <f t="array" ref="I26">INDEX(Data,MATCH($C26,Line_Items,0),MATCH($H$6,Fiscal_Periods,0))</f>
        <v>#N/A</v>
      </c>
      <c r="J26" s="948">
        <v>6520.1</v>
      </c>
      <c r="K26" s="947" t="e">
        <f t="array" ref="K26">INDEX(Data,MATCH($C26,Line_Items,0),MATCH(LEFT(K$24,4),Fiscal_Periods,0))</f>
        <v>#N/A</v>
      </c>
      <c r="L26" s="947" t="e">
        <f t="array" ref="L26">INDEX(Data,MATCH($C26,Line_Items,0),MATCH(LEFT(L$24,4),Fiscal_Periods,0))</f>
        <v>#N/A</v>
      </c>
      <c r="M26" s="949" t="str">
        <f t="shared" ref="M26:N26" si="19">IFERROR($H26/I26-1,"N/A")</f>
        <v>N/A</v>
      </c>
      <c r="N26" s="627" t="str">
        <f t="shared" si="19"/>
        <v>N/A</v>
      </c>
      <c r="O26" s="627" t="str">
        <f t="shared" ref="O26:P26" si="20">IFERROR($I26/K26-1,"N/A")</f>
        <v>N/A</v>
      </c>
      <c r="P26" s="627"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0" t="e">
        <f t="array" ref="I27">INDEX(Data,MATCH($C27,Line_Items,0),MATCH($H$6,Fiscal_Periods,0))</f>
        <v>#N/A</v>
      </c>
      <c r="J27" s="951">
        <v>11000.3</v>
      </c>
      <c r="K27" s="950" t="e">
        <f t="array" ref="K27">INDEX(Data,MATCH($C27,Line_Items,0),MATCH(LEFT(K$24,4),Fiscal_Periods,0))</f>
        <v>#N/A</v>
      </c>
      <c r="L27" s="950" t="e">
        <f t="array" ref="L27">INDEX(Data,MATCH($C27,Line_Items,0),MATCH(LEFT(L$24,4),Fiscal_Periods,0))</f>
        <v>#N/A</v>
      </c>
      <c r="M27" s="949" t="str">
        <f t="shared" ref="M27:N27" si="21">IFERROR($H27/I27-1,"N/A")</f>
        <v>N/A</v>
      </c>
      <c r="N27" s="627" t="str">
        <f t="shared" si="21"/>
        <v>N/A</v>
      </c>
      <c r="O27" s="627" t="str">
        <f t="shared" ref="O27:P27" si="22">IFERROR($I27/K27-1,"N/A")</f>
        <v>N/A</v>
      </c>
      <c r="P27" s="627"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0" t="e">
        <f t="array" ref="I28">INDEX(Data,MATCH($C28,Line_Items,0),MATCH($H$6,Fiscal_Periods,0))</f>
        <v>#N/A</v>
      </c>
      <c r="J28" s="951">
        <v>75</v>
      </c>
      <c r="K28" s="950" t="e">
        <f t="array" ref="K28">INDEX(Data,MATCH($C28,Line_Items,0),MATCH(LEFT(K$24,4),Fiscal_Periods,0))</f>
        <v>#N/A</v>
      </c>
      <c r="L28" s="950" t="e">
        <f t="array" ref="L28">INDEX(Data,MATCH($C28,Line_Items,0),MATCH(LEFT(L$24,4),Fiscal_Periods,0))</f>
        <v>#N/A</v>
      </c>
      <c r="M28" s="949" t="str">
        <f t="shared" ref="M28:N28" si="23">IFERROR($H28/I28-1,"N/A")</f>
        <v>N/A</v>
      </c>
      <c r="N28" s="627" t="str">
        <f t="shared" si="23"/>
        <v>N/A</v>
      </c>
      <c r="O28" s="627" t="str">
        <f t="shared" ref="O28:P28" si="24">IFERROR($I28/K28-1,"N/A")</f>
        <v>N/A</v>
      </c>
      <c r="P28" s="627"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0" t="e">
        <f t="array" ref="I29">INDEX(Data,MATCH($C29,Line_Items,0),MATCH($H$6,Fiscal_Periods,0))</f>
        <v>#N/A</v>
      </c>
      <c r="J29" s="951">
        <v>-200</v>
      </c>
      <c r="K29" s="950" t="e">
        <f t="array" ref="K29">INDEX(Data,MATCH($C29,Line_Items,0),MATCH(LEFT(K$24,4),Fiscal_Periods,0))</f>
        <v>#N/A</v>
      </c>
      <c r="L29" s="950" t="e">
        <f t="array" ref="L29">INDEX(Data,MATCH($C29,Line_Items,0),MATCH(LEFT(L$24,4),Fiscal_Periods,0))</f>
        <v>#N/A</v>
      </c>
      <c r="M29" s="949" t="str">
        <f t="shared" ref="M29:N29" si="25">IFERROR($H29/I29-1,"N/A")</f>
        <v>N/A</v>
      </c>
      <c r="N29" s="627" t="str">
        <f t="shared" si="25"/>
        <v>N/A</v>
      </c>
      <c r="O29" s="627" t="str">
        <f t="shared" ref="O29:P29" si="26">IFERROR($I29/K29-1,"N/A")</f>
        <v>N/A</v>
      </c>
      <c r="P29" s="627" t="str">
        <f t="shared" si="26"/>
        <v>N/A</v>
      </c>
      <c r="Q29" s="8"/>
      <c r="R29" s="8"/>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59" t="e">
        <f t="array" ref="I30">INDEX(Data,MATCH($C30,Line_Items,0),MATCH($H$6,Fiscal_Periods,0))</f>
        <v>#N/A</v>
      </c>
      <c r="J30" s="960">
        <v>5000</v>
      </c>
      <c r="K30" s="959" t="e">
        <f t="array" ref="K30">INDEX(Data,MATCH($C30,Line_Items,0),MATCH(LEFT(K$24,4),Fiscal_Periods,0))</f>
        <v>#N/A</v>
      </c>
      <c r="L30" s="959" t="e">
        <f t="array" ref="L30">INDEX(Data,MATCH($C30,Line_Items,0),MATCH(LEFT(L$24,4),Fiscal_Periods,0))</f>
        <v>#N/A</v>
      </c>
      <c r="M30" s="961" t="str">
        <f t="shared" ref="M30:N30" si="27">IFERROR($H30/I30-1,"N/A")</f>
        <v>N/A</v>
      </c>
      <c r="N30" s="623" t="str">
        <f t="shared" si="27"/>
        <v>N/A</v>
      </c>
      <c r="O30" s="623" t="str">
        <f t="shared" ref="O30:P30" si="28">IFERROR($I30/K30-1,"N/A")</f>
        <v>N/A</v>
      </c>
      <c r="P30" s="623" t="str">
        <f t="shared" si="28"/>
        <v>N/A</v>
      </c>
      <c r="Q30" s="8"/>
      <c r="R30" s="8"/>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2" t="e">
        <f t="array" ref="I31">INDEX(Data,MATCH($C31,Line_Items,0),MATCH($H$6,Fiscal_Periods,0))</f>
        <v>#N/A</v>
      </c>
      <c r="J31" s="963" t="e">
        <f t="array" ref="J31">INDEX(Data,MATCH($C31,Line_Items,0),MATCH($H$6,Fiscal_Periods,0))</f>
        <v>#N/A</v>
      </c>
      <c r="K31" s="962" t="e">
        <f t="array" ref="K31">INDEX(Data,MATCH($C31,Line_Items,0),MATCH(LEFT(K$24,4),Fiscal_Periods,0))</f>
        <v>#N/A</v>
      </c>
      <c r="L31" s="962" t="e">
        <f t="array" ref="L31">INDEX(Data,MATCH($C31,Line_Items,0),MATCH(LEFT(L$24,4),Fiscal_Periods,0))</f>
        <v>#N/A</v>
      </c>
      <c r="M31" s="965" t="str">
        <f t="shared" ref="M31:N31" si="29">IFERROR($H31/I31-1,"N/A")</f>
        <v>N/A</v>
      </c>
      <c r="N31" s="966" t="str">
        <f t="shared" si="29"/>
        <v>N/A</v>
      </c>
      <c r="O31" s="966" t="str">
        <f t="shared" ref="O31:P31" si="30">IFERROR($I31/K31-1,"N/A")</f>
        <v>N/A</v>
      </c>
      <c r="P31" s="966"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7" t="e">
        <f t="array" ref="I32">INDEX(Data,MATCH($C32,Line_Items,0),MATCH($H$6,Fiscal_Periods,0))</f>
        <v>#REF!</v>
      </c>
      <c r="J32" s="948">
        <v>820</v>
      </c>
      <c r="K32" s="947" t="e">
        <f t="array" ref="K32">INDEX(Data,MATCH($C32,Line_Items,0),MATCH(LEFT(K$24,4),Fiscal_Periods,0))</f>
        <v>#REF!</v>
      </c>
      <c r="L32" s="947" t="e">
        <f t="array" ref="L32">INDEX(Data,MATCH($C32,Line_Items,0),MATCH(LEFT(L$24,4),Fiscal_Periods,0))</f>
        <v>#REF!</v>
      </c>
      <c r="M32" s="949" t="str">
        <f t="shared" ref="M32:N32" si="31">IFERROR($H32/I32-1,"N/A")</f>
        <v>N/A</v>
      </c>
      <c r="N32" s="627" t="str">
        <f t="shared" si="31"/>
        <v>N/A</v>
      </c>
      <c r="O32" s="627" t="str">
        <f t="shared" ref="O32:P32" si="32">IFERROR($I32/K32-1,"N/A")</f>
        <v>N/A</v>
      </c>
      <c r="P32" s="627"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0" t="e">
        <f t="array" ref="I33">INDEX(Data,MATCH($C33,Line_Items,0),MATCH($H$6,Fiscal_Periods,0))</f>
        <v>#REF!</v>
      </c>
      <c r="J33" s="951">
        <v>1400</v>
      </c>
      <c r="K33" s="950" t="e">
        <f t="array" ref="K33">INDEX(Data,MATCH($C33,Line_Items,0),MATCH(LEFT(K$24,4),Fiscal_Periods,0))</f>
        <v>#REF!</v>
      </c>
      <c r="L33" s="950" t="e">
        <f t="array" ref="L33">INDEX(Data,MATCH($C33,Line_Items,0),MATCH(LEFT(L$24,4),Fiscal_Periods,0))</f>
        <v>#REF!</v>
      </c>
      <c r="M33" s="949" t="str">
        <f t="shared" ref="M33:N33" si="33">IFERROR($H33/I33-1,"N/A")</f>
        <v>N/A</v>
      </c>
      <c r="N33" s="627" t="str">
        <f t="shared" si="33"/>
        <v>N/A</v>
      </c>
      <c r="O33" s="627" t="str">
        <f t="shared" ref="O33:P33" si="34">IFERROR($I33/K33-1,"N/A")</f>
        <v>N/A</v>
      </c>
      <c r="P33" s="627"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0" t="e">
        <f t="array" ref="I34">INDEX(Data,MATCH($C34,Line_Items,0),MATCH($H$6,Fiscal_Periods,0))</f>
        <v>#REF!</v>
      </c>
      <c r="J34" s="951">
        <v>10</v>
      </c>
      <c r="K34" s="950" t="e">
        <f t="array" ref="K34">INDEX(Data,MATCH($C34,Line_Items,0),MATCH(LEFT(K$24,4),Fiscal_Periods,0))</f>
        <v>#REF!</v>
      </c>
      <c r="L34" s="950" t="e">
        <f t="array" ref="L34">INDEX(Data,MATCH($C34,Line_Items,0),MATCH(LEFT(L$24,4),Fiscal_Periods,0))</f>
        <v>#REF!</v>
      </c>
      <c r="M34" s="949" t="str">
        <f t="shared" ref="M34:N34" si="35">IFERROR($H34/I34-1,"N/A")</f>
        <v>N/A</v>
      </c>
      <c r="N34" s="627" t="str">
        <f t="shared" si="35"/>
        <v>N/A</v>
      </c>
      <c r="O34" s="627" t="str">
        <f t="shared" ref="O34:P34" si="36">IFERROR($I34/K34-1,"N/A")</f>
        <v>N/A</v>
      </c>
      <c r="P34" s="627"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0" t="e">
        <f t="array" ref="I35">INDEX(Data,MATCH($C35,Line_Items,0),MATCH($H$6,Fiscal_Periods,0))</f>
        <v>#REF!</v>
      </c>
      <c r="J35" s="951">
        <v>-23</v>
      </c>
      <c r="K35" s="950" t="e">
        <f t="array" ref="K35">INDEX(Data,MATCH($C35,Line_Items,0),MATCH(LEFT(K$24,4),Fiscal_Periods,0))</f>
        <v>#REF!</v>
      </c>
      <c r="L35" s="950" t="e">
        <f t="array" ref="L35">INDEX(Data,MATCH($C35,Line_Items,0),MATCH(LEFT(L$24,4),Fiscal_Periods,0))</f>
        <v>#REF!</v>
      </c>
      <c r="M35" s="949" t="str">
        <f t="shared" ref="M35:N35" si="37">IFERROR($H35/I35-1,"N/A")</f>
        <v>N/A</v>
      </c>
      <c r="N35" s="627" t="str">
        <f t="shared" si="37"/>
        <v>N/A</v>
      </c>
      <c r="O35" s="627" t="str">
        <f t="shared" ref="O35:P35" si="38">IFERROR($I35/K35-1,"N/A")</f>
        <v>N/A</v>
      </c>
      <c r="P35" s="627"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0" t="e">
        <f t="array" ref="I36">INDEX(Data,MATCH($C36,Line_Items,0),MATCH($H$6,Fiscal_Periods,0))</f>
        <v>#REF!</v>
      </c>
      <c r="J36" s="951">
        <v>650</v>
      </c>
      <c r="K36" s="950" t="e">
        <f t="array" ref="K36">INDEX(Data,MATCH($C36,Line_Items,0),MATCH(LEFT(K$24,4),Fiscal_Periods,0))</f>
        <v>#REF!</v>
      </c>
      <c r="L36" s="950" t="e">
        <f t="array" ref="L36">INDEX(Data,MATCH($C36,Line_Items,0),MATCH(LEFT(L$24,4),Fiscal_Periods,0))</f>
        <v>#REF!</v>
      </c>
      <c r="M36" s="949" t="str">
        <f t="shared" ref="M36:N36" si="39">IFERROR($H36/I36-1,"N/A")</f>
        <v>N/A</v>
      </c>
      <c r="N36" s="627" t="str">
        <f t="shared" si="39"/>
        <v>N/A</v>
      </c>
      <c r="O36" s="627" t="str">
        <f t="shared" ref="O36:P36" si="40">IFERROR($I36/K36-1,"N/A")</f>
        <v>N/A</v>
      </c>
      <c r="P36" s="627"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0" t="e">
        <f t="array" ref="I37">INDEX(Data,MATCH($C37,Line_Items,0),MATCH($H$6,Fiscal_Periods,0))</f>
        <v>#REF!</v>
      </c>
      <c r="J37" s="951">
        <v>300</v>
      </c>
      <c r="K37" s="950" t="e">
        <f t="array" ref="K37">INDEX(Data,MATCH($C37,Line_Items,0),MATCH(LEFT(K$24,4),Fiscal_Periods,0))</f>
        <v>#REF!</v>
      </c>
      <c r="L37" s="950" t="e">
        <f t="array" ref="L37">INDEX(Data,MATCH($C37,Line_Items,0),MATCH(LEFT(L$24,4),Fiscal_Periods,0))</f>
        <v>#REF!</v>
      </c>
      <c r="M37" s="949" t="str">
        <f t="shared" ref="M37:N37" si="41">IFERROR($H37/I37-1,"N/A")</f>
        <v>N/A</v>
      </c>
      <c r="N37" s="627" t="str">
        <f t="shared" si="41"/>
        <v>N/A</v>
      </c>
      <c r="O37" s="627" t="str">
        <f t="shared" ref="O37:P37" si="42">IFERROR($I37/K37-1,"N/A")</f>
        <v>N/A</v>
      </c>
      <c r="P37" s="627"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6"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7">
        <f t="array" ref="I42">INDEX(Data,MATCH($C42,Line_Items,0),MATCH($H$6,Fiscal_Periods,0))</f>
        <v>-1984.1391398999988</v>
      </c>
      <c r="J42" s="948">
        <v>50</v>
      </c>
      <c r="K42" s="947">
        <f t="array" ref="K42">INDEX(Data,MATCH($C42,Line_Items,0),MATCH(LEFT(K$40,4),Fiscal_Periods,0))</f>
        <v>0</v>
      </c>
      <c r="L42" s="947" t="e">
        <f t="array" ref="L42">INDEX(Data,MATCH($C42,Line_Items,0),MATCH(LEFT(L$40,4),Fiscal_Periods,0))</f>
        <v>#N/A</v>
      </c>
      <c r="M42" s="949">
        <f t="shared" ref="M42:N42" si="44">IFERROR($H42/I42-1,"N/A")</f>
        <v>0</v>
      </c>
      <c r="N42" s="627">
        <f t="shared" si="44"/>
        <v>-40.68278279799998</v>
      </c>
      <c r="O42" s="627" t="str">
        <f t="shared" ref="O42:P42" si="45">IFERROR($I42/K42-1,"N/A")</f>
        <v>N/A</v>
      </c>
      <c r="P42" s="627"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0">
        <f t="array" ref="I43">INDEX(Data,MATCH($C43,Line_Items,0),MATCH($H$6,Fiscal_Periods,0))</f>
        <v>0</v>
      </c>
      <c r="J43" s="951">
        <v>-668</v>
      </c>
      <c r="K43" s="950">
        <f t="array" ref="K43">INDEX(Data,MATCH($C43,Line_Items,0),MATCH(LEFT(K$40,4),Fiscal_Periods,0))</f>
        <v>0</v>
      </c>
      <c r="L43" s="950" t="e">
        <f t="array" ref="L43">INDEX(Data,MATCH($C43,Line_Items,0),MATCH(LEFT(L$40,4),Fiscal_Periods,0))</f>
        <v>#N/A</v>
      </c>
      <c r="M43" s="949" t="str">
        <f t="shared" ref="M43:N43" si="46">IFERROR($H43/I43-1,"N/A")</f>
        <v>N/A</v>
      </c>
      <c r="N43" s="627">
        <f t="shared" si="46"/>
        <v>-1</v>
      </c>
      <c r="O43" s="627" t="str">
        <f t="shared" ref="O43:P43" si="47">IFERROR($I43/K43-1,"N/A")</f>
        <v>N/A</v>
      </c>
      <c r="P43" s="627"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0">
        <f t="array" ref="I44">INDEX(Data,MATCH($C44,Line_Items,0),MATCH($H$6,Fiscal_Periods,0))</f>
        <v>780.467819969255</v>
      </c>
      <c r="J44" s="951">
        <v>1412.6</v>
      </c>
      <c r="K44" s="950">
        <f t="array" ref="K44">INDEX(Data,MATCH($C44,Line_Items,0),MATCH(LEFT(K$40,4),Fiscal_Periods,0))</f>
        <v>-1777.8350000000007</v>
      </c>
      <c r="L44" s="950" t="e">
        <f t="array" ref="L44">INDEX(Data,MATCH($C44,Line_Items,0),MATCH(LEFT(L$40,4),Fiscal_Periods,0))</f>
        <v>#N/A</v>
      </c>
      <c r="M44" s="949">
        <f t="shared" ref="M44:N44" si="48">IFERROR($H44/I44-1,"N/A")</f>
        <v>0</v>
      </c>
      <c r="N44" s="627">
        <f t="shared" si="48"/>
        <v>-0.4474955260022264</v>
      </c>
      <c r="O44" s="627">
        <f t="shared" ref="O44:P44" si="49">IFERROR($I44/K44-1,"N/A")</f>
        <v>-0.670411105737467</v>
      </c>
      <c r="P44" s="627"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2026-05-19T15:51:07Z</dcterms:modified>
</cp:coreProperties>
</file>