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6980" yWindow="-21000" windowWidth="342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NetIncomeLossAvailableToCommonStockholdersBasic = 133.1 mm; IncomeLossFromContinuingOperationsIncludingPortionAttributableToNoncontrollingInterest = 129.3 mm; PreferredStockDividendsIncomeStatementImpact = 2 mm; IncomeLossFromDiscontinuedOperationsNetOfTax = 0 mm
Unit conversion: raw USD to $mm
Sign: copied using model sign convention
Confidence: high
Value written: 5.783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NetIncomeLossAvailableToCommonStockholdersBasic = 12.4 mm; IncomeLossFromContinuingOperationsIncludingPortionAttributableToNoncontrollingInterest = 8.7 mm; PreferredStockDividendsIncomeStatementImpact = 2 mm; IncomeLossFromDiscontinuedOperationsNetOfTax = 0 mm
Unit conversion: raw USD to $mm
Sign: copied using model sign convention
Confidence: high
Value written: 5.723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NetIncomeLossAvailableToCommonStockholdersBasic = 51.4 mm; IncomeLossFromContinuingOperationsIncludingPortionAttributableToNoncontrollingInterest = 53.9 mm; PreferredStockDividendsIncomeStatementImpact = 6.3 mm; IncomeLossFromDiscontinuedOperationsNetOfTax = 0 mm
Unit conversion: raw USD to $mm
Sign: copied using model sign convention
Confidence: high
Value written: 3.703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NetIncomeLossAvailableToCommonStockholdersBasic = 149.6 mm; IncomeLossFromContinuingOperationsIncludingPortionAttributableToNoncontrollingInterest = 164.3 mm; PreferredStockDividendsIncomeStatementImpact = 14.2 mm; IncomeLossFromDiscontinuedOperationsNetOfTax = -7.9 mm
Unit conversion: raw USD to $mm
Sign: copied using model sign convention
Confidence: high
Value written: 7.438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NetIncomeLossAvailableToCommonStockholdersBasic = 145.7 mm; IncomeLossFromContinuingOperationsIncludingPortionAttributableToNoncontrollingInterest = 154.6 mm; PreferredStockDividendsIncomeStatementImpact = 13.7 mm; IncomeLossFromDiscontinuedOperationsNetOfTax = 0 mm
Unit conversion: raw USD to $mm
Sign: copied using model sign convention
Confidence: high
Value written: 4.79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NetIncomeLossAvailableToCommonStockholdersBasic = 167.1 mm; IncomeLossFromContinuingOperationsIncludingPortionAttributableToNoncontrollingInterest = 174.7 mm; PreferredStockDividendsIncomeStatementImpact = 20.8 mm; IncomeLossFromDiscontinuedOperationsNetOfTax = 6.4 mm
Unit conversion: raw USD to $mm
Sign: copied using model sign convention
Confidence: high
Value written: 6.874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P50" authorId="0">
      <text>
        <r>
          <rPr>
            <b/>
          </rPr>
          <t xml:space="preserve">EDGAR Mapper:
</t>
        </r>
        <r>
          <t xml:space="preserve">EDGAR mapping:
Source: 10-Q, accession #0001628280-25-017192, filed 2025-04-09
Period: 1Q25 / period ended 2025-02-28
Model row: Model!50 Income (Loss) due to Non-Controlling Interest
Mapping type: grouped
Concepts used: NetIncomeLossAvailableToCommonStockholdersBasic = 127.8 mm; IncomeLossFromContinuingOperationsIncludingPortionAttributableToNoncontrollingInterest = 136.8 mm; PreferredStockDividendsIncomeStatementImpact = 16 mm; IncomeLossFromDiscontinuedOperationsNetOfTax = 0 mm
Unit conversion: raw USD to $mm
Sign: copied using model sign convention
Confidence: high
Value written: 6.983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NetIncomeLossAvailableToCommonStockholdersBasic = 88 mm; IncomeLossFromContinuingOperationsIncludingPortionAttributableToNoncontrollingInterest = 91.4 mm; PreferredStockDividendsIncomeStatementImpact = 11 mm; IncomeLossFromDiscontinuedOperationsNetOfTax = 0 mm
Unit conversion: raw USD to $mm
Sign: copied using model sign convention
Confidence: high
Value written: 7.668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NetIncomeLossAvailableToCommonStockholdersBasic = 224 mm; IncomeLossFromContinuingOperationsIncludingPortionAttributableToNoncontrollingInterest = 242.5 mm; PreferredStockDividendsIncomeStatementImpact = 28.6 mm; IncomeLossFromDiscontinuedOperationsNetOfTax = 0 mm
Unit conversion: raw USD to $mm
Sign: copied using model sign convention
Confidence: high
Value written: 10.041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ModelSubtotal = 7508.5 mm; PropertyPlantAndEquipmentAndOperatingLeaseRightofUseAssetAfterAccumulatedDepreciationAndAmortization = 904.1 mm; IntangibleAssetsNet = 0 mm; Goodwill = 1735.9 mm
Unit conversion: raw USD to $mm
Sign: copied using model sign convention
Confidence: high
Value written: 41884.514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ModelSubtotal = 8004.9 mm; PropertyPlantAndEquipmentAndOperatingLeaseRightofUseAssetAfterAccumulatedDepreciationAndAmortization = 907.2 mm; IntangibleAssetsNet = 0 mm; Goodwill = 1738.2 mm
Unit conversion: raw USD to $mm
Sign: copied using model sign convention
Confidence: high
Value written: 43089.686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ModelSubtotal = 8817.4 mm; PropertyPlantAndEquipmentAndOperatingLeaseRightofUseAssetAfterAccumulatedDepreciationAndAmortization = 929.9 mm; IntangibleAssetsNet = 0 mm; Goodwill = 1739.5 mm
Unit conversion: raw USD to $mm
Sign: copied using model sign convention
Confidence: high
Value written: 44557.788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ModelSubtotal = 9703.1 mm; PropertyPlantAndEquipmentAndOperatingLeaseRightofUseAssetAfterAccumulatedDepreciationAndAmortization = 1065.7 mm; IntangibleAssetsNet = 0 mm; Goodwill = 1847.9 mm
Unit conversion: raw USD to $mm
Sign: copied using model sign convention
Confidence: high
Value written: 45288.525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ModelSubtotal = 7615.7 mm; PropertyPlantAndEquipmentAndOperatingLeaseRightofUseAssetAfterAccumulatedDepreciationAndAmortization = 1103.5 mm; IntangibleAssetsNet = 0 mm; Goodwill = 1824 mm
Unit conversion: raw USD to $mm
Sign: copied using model sign convention
Confidence: high
Value written: 50389.773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ModelSubtotal = 10841.6 mm; PropertyPlantAndEquipmentAndOperatingLeaseRightofUseAssetAfterAccumulatedDepreciationAndAmortization = 1206.5 mm; IntangibleAssetsNet = 0 mm; Goodwill = 1822.8 mm
Unit conversion: raw USD to $mm
Sign: copied using model sign convention
Confidence: high
Value written: 49129.632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ModelSubtotal = 10573.5 mm; PropertyPlantAndEquipmentAndOperatingLeaseRightofUseAssetAfterAccumulatedDepreciationAndAmortization = 1229 mm; IntangibleAssetsNet = 0 mm; Goodwill = 1833 mm
Unit conversion: raw USD to $mm
Sign: copied using model sign convention
Confidence: high
Value written: 49639.612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ModelSubtotal = 8526.4 mm; PropertyPlantAndEquipmentAndOperatingLeaseRightofUseAssetAfterAccumulatedDepreciationAndAmortization = 1194.7 mm; IntangibleAssetsNet = 0 mm; Goodwill = 1827.9 mm
Unit conversion: raw USD to $mm
Sign: copied using model sign convention
Confidence: high
Value written: 52811.251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ModelSubtotal = 11176.3 mm; PropertyPlantAndEquipmentAndOperatingLeaseRightofUseAssetAfterAccumulatedDepreciationAndAmortization = 1217.2 mm; IntangibleAssetsNet = 0 mm; Goodwill = 1824.6 mm
Unit conversion: raw USD to $mm
Sign: copied using model sign convention
Confidence: high
Value written: 56000.742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ModelSubtotal = 11260.4 mm; PropertyPlantAndEquipmentAndOperatingLeaseRightofUseAssetAfterAccumulatedDepreciationAndAmortization = 1235.3 mm; IntangibleAssetsNet = 0 mm; Goodwill = 1842.1 mm
Unit conversion: raw USD to $mm
Sign: copied using model sign convention
Confidence: high
Value written: 52947.487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ModelSubtotal = 11458.5 mm; PropertyPlantAndEquipmentAndOperatingLeaseRightofUseAssetAfterAccumulatedDepreciationAndAmortization = 1255 mm; IntangibleAssetsNet = 0 mm; Goodwill = 1840.4 mm
Unit conversion: raw USD to $mm
Sign: copied using model sign convention
Confidence: high
Value written: 54765.777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ModelSubtotal = 12153.4 mm; PropertyPlantAndEquipmentAndOperatingLeaseRightofUseAssetAfterAccumulatedDepreciationAndAmortization = 1246.5 mm; IntangibleAssetsNet = 0 mm; Goodwill = 1837.6 mm
Unit conversion: raw USD to $mm
Sign: copied using model sign convention
Confidence: high
Value written: 60774.907
Notes: 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F285" authorId="0">
      <text>
        <r>
          <rPr>
            <b/>
          </rPr>
          <t xml:space="preserve">EDGAR Mapper:
</t>
        </r>
        <r>
          <t xml:space="preserve">EDGAR mapping:
Source: 10-Q, accession #0000096223-24-000015, filed 2024-04-05
Period: 1Q23 / period ended 2023-02-28
Model row: Model!285 Weighted Average Basic Shares
Mapping type: direct
Concepts used: WeightedAverageNumberOfSharesOutstandingBasic = 239.1 mm
Unit conversion: raw USD to $mm
Sign: copied using model sign convention
Confidence: high
Value written: 239.101</t>
        </r>
      </text>
    </comment>
    <comment ref="G285" authorId="0">
      <text>
        <r>
          <rPr>
            <b/>
          </rPr>
          <t xml:space="preserve">EDGAR Mapper:
</t>
        </r>
        <r>
          <t xml:space="preserve">EDGAR mapping:
Source: 10-Q, accession #0000096223-24-000024, filed 2024-07-09
Period: 2Q23 / period ended 2023-05-31
Model row: Model!285 Weighted Average Basic Shares
Mapping type: direct
Concepts used: WeightedAverageNumberOfSharesOutstandingBasic = 242.6 mm
Unit conversion: raw USD to $mm
Sign: copied using model sign convention
Confidence: high
Value written: 242.568</t>
        </r>
      </text>
    </comment>
    <comment ref="H285" authorId="0">
      <text>
        <r>
          <rPr>
            <b/>
          </rPr>
          <t xml:space="preserve">EDGAR Mapper:
</t>
        </r>
        <r>
          <t xml:space="preserve">EDGAR mapping:
Source: 10-Q, accession #0001628280-24-042612, filed 2024-10-09
Period: 3Q23 / period ended 2023-08-31
Model row: Model!285 Weighted Average Basic Shares
Mapping type: direct
Concepts used: WeightedAverageNumberOfSharesOutstandingBasic = 228.4 mm
Unit conversion: raw USD to $mm
Sign: copied using model sign convention
Confidence: high
Value written: 228.353</t>
        </r>
      </text>
    </comment>
    <comment ref="I285" authorId="0">
      <text>
        <r>
          <rPr>
            <b/>
          </rPr>
          <t xml:space="preserve">EDGAR Mapper:
</t>
        </r>
        <r>
          <t xml:space="preserve">EDGAR mapping:
Source: 10-K, accession #0000096223-26-000009, filed 2026-01-28
Period: 4Q23 / period ended 2023-11-30
Model row: Model!285 Weighted Average Basic Shares
Mapping type: direct
Concepts used: WeightedAverageNumberOfSharesOutstandingBasic = 232.6 mm
Unit conversion: raw USD to $mm
Sign: copied using model sign convention
Confidence: high
Value written: 232.609</t>
        </r>
      </text>
    </comment>
    <comment ref="K285" authorId="0">
      <text>
        <r>
          <rPr>
            <b/>
          </rPr>
          <t xml:space="preserve">EDGAR Mapper:
</t>
        </r>
        <r>
          <t xml:space="preserve">EDGAR mapping:
Source: 10-Q, accession #0001628280-25-017192, filed 2025-04-09
Period: 1Q24 / period ended 2024-02-29
Model row: Model!285 Weighted Average Basic Shares
Mapping type: direct
Concepts used: WeightedAverageNumberOfSharesOutstandingBasic = 220 mm
Unit conversion: raw USD to $mm
Sign: copied using model sign convention
Confidence: high
Value written: 220.046</t>
        </r>
      </text>
    </comment>
    <comment ref="L285" authorId="0">
      <text>
        <r>
          <rPr>
            <b/>
          </rPr>
          <t xml:space="preserve">EDGAR Mapper:
</t>
        </r>
        <r>
          <t xml:space="preserve">EDGAR mapping:
Source: 10-Q, accession #0000096223-25-000007, filed 2025-07-09
Period: 2Q24 / period ended 2024-05-31
Model row: Model!285 Weighted Average Basic Shares
Mapping type: direct
Concepts used: WeightedAverageNumberOfSharesOutstandingBasic = 220 mm
Unit conversion: raw USD to $mm
Sign: copied using model sign convention
Confidence: high
Value written: 219.971</t>
        </r>
      </text>
    </comment>
    <comment ref="M285" authorId="0">
      <text>
        <r>
          <rPr>
            <b/>
          </rPr>
          <t xml:space="preserve">EDGAR Mapper:
</t>
        </r>
        <r>
          <t xml:space="preserve">EDGAR mapping:
Source: 10-Q, accession #0000096223-25-000014, filed 2025-10-09
Period: 3Q24 / period ended 2024-08-31
Model row: Model!285 Weighted Average Basic Shares
Mapping type: direct
Concepts used: WeightedAverageNumberOfSharesOutstandingBasic = 214.5 mm
Unit conversion: raw USD to $mm
Sign: copied using model sign convention
Confidence: high
Value written: 214.452</t>
        </r>
      </text>
    </comment>
    <comment ref="N285" authorId="0">
      <text>
        <r>
          <rPr>
            <b/>
          </rPr>
          <t xml:space="preserve">EDGAR Mapper:
</t>
        </r>
        <r>
          <t xml:space="preserve">EDGAR mapping:
Source: 10-K, accession #0000096223-26-000009, filed 2026-01-28
Period: 4Q24 / period ended 2024-11-30
Model row: Model!285 Weighted Average Basic Shares
Mapping type: direct
Concepts used: WeightedAverageNumberOfSharesOutstandingBasic = 217.1 mm
Unit conversion: raw USD to $mm
Sign: copied using model sign convention
Confidence: high
Value written: 217.079</t>
        </r>
      </text>
    </comment>
    <comment ref="P285" authorId="0">
      <text>
        <r>
          <rPr>
            <b/>
          </rPr>
          <t xml:space="preserve">EDGAR Mapper:
</t>
        </r>
        <r>
          <t xml:space="preserve">EDGAR mapping:
Source: 10-Q, accession #0000096223-26-000017, filed 2026-04-07
Period: 1Q25 / period ended 2025-02-28
Model row: Model!285 Weighted Average Basic Shares
Mapping type: direct
Concepts used: WeightedAverageNumberOfSharesOutstandingBasic = 214.5 mm
Unit conversion: raw USD to $mm
Sign: copied using model sign convention
Confidence: high
Value written: 214.536</t>
        </r>
      </text>
    </comment>
    <comment ref="Q285" authorId="0">
      <text>
        <r>
          <rPr>
            <b/>
          </rPr>
          <t xml:space="preserve">EDGAR Mapper:
</t>
        </r>
        <r>
          <t xml:space="preserve">EDGAR mapping:
Source: 10-Q, accession #0000096223-25-000007, filed 2025-07-09
Period: 2Q25 / period ended 2025-05-31
Model row: Model!285 Weighted Average Basic Shares
Mapping type: direct
Concepts used: WeightedAverageNumberOfSharesOutstandingBasic = 215.1 mm
Unit conversion: raw USD to $mm
Sign: copied using model sign convention
Confidence: high
Value written: 215.097</t>
        </r>
      </text>
    </comment>
    <comment ref="R285" authorId="0">
      <text>
        <r>
          <rPr>
            <b/>
          </rPr>
          <t xml:space="preserve">EDGAR Mapper:
</t>
        </r>
        <r>
          <t xml:space="preserve">EDGAR mapping:
Source: 10-Q, accession #0000096223-25-000014, filed 2025-10-09
Period: 3Q25 / period ended 2025-08-31
Model row: Model!285 Weighted Average Basic Shares
Mapping type: direct
Concepts used: WeightedAverageNumberOfSharesOutstandingBasic = 215.3 mm
Unit conversion: raw USD to $mm
Sign: copied using model sign convention
Confidence: high
Value written: 215.293</t>
        </r>
      </text>
    </comment>
    <comment ref="F287" authorId="0">
      <text>
        <r>
          <rPr>
            <b/>
          </rPr>
          <t xml:space="preserve">EDGAR Mapper:
</t>
        </r>
        <r>
          <t xml:space="preserve">EDGAR mapping:
Source: 10-Q, accession #0000096223-24-000015, filed 2024-04-05
Period: 1Q23 / period ended 2023-02-28
Model row: Model!287 Weighted Average Dilutive Shares
Mapping type: direct
Concepts used: WeightedAverageNumberOfDilutedSharesOutstanding = 248.1 mm
Unit conversion: raw USD to $mm
Sign: copied using model sign convention
Confidence: high
Value written: 248.095</t>
        </r>
      </text>
    </comment>
    <comment ref="G287" authorId="0">
      <text>
        <r>
          <rPr>
            <b/>
          </rPr>
          <t xml:space="preserve">EDGAR Mapper:
</t>
        </r>
        <r>
          <t xml:space="preserve">EDGAR mapping:
Source: 10-Q, accession #0000096223-24-000024, filed 2024-07-09
Period: 2Q23 / period ended 2023-05-31
Model row: Model!287 Weighted Average Dilutive Shares
Mapping type: direct
Concepts used: WeightedAverageNumberOfDilutedSharesOutstanding = 245.4 mm
Unit conversion: raw USD to $mm
Sign: copied using model sign convention
Confidence: high
Value written: 245.413</t>
        </r>
      </text>
    </comment>
    <comment ref="H287" authorId="0">
      <text>
        <r>
          <rPr>
            <b/>
          </rPr>
          <t xml:space="preserve">EDGAR Mapper:
</t>
        </r>
        <r>
          <t xml:space="preserve">EDGAR mapping:
Source: 10-Q, accession #0001628280-24-042612, filed 2024-10-09
Period: 3Q23 / period ended 2023-08-31
Model row: Model!287 Weighted Average Dilutive Shares
Mapping type: direct
Concepts used: WeightedAverageNumberOfDilutedSharesOutstanding = 232 mm
Unit conversion: raw USD to $mm
Sign: copied using model sign convention
Confidence: high
Value written: 232.041</t>
        </r>
      </text>
    </comment>
    <comment ref="I287" authorId="0">
      <text>
        <r>
          <rPr>
            <b/>
          </rPr>
          <t xml:space="preserve">EDGAR Mapper:
</t>
        </r>
        <r>
          <t xml:space="preserve">EDGAR mapping:
Source: 10-K, accession #0000096223-26-000009, filed 2026-01-28
Period: 4Q23 / period ended 2023-11-30
Model row: Model!287 Weighted Average Dilutive Shares
Mapping type: direct
Concepts used: WeightedAverageNumberOfDilutedSharesOutstanding = 236.6 mm
Unit conversion: raw USD to $mm
Sign: copied using model sign convention
Confidence: high
Value written: 236.62</t>
        </r>
      </text>
    </comment>
    <comment ref="K287" authorId="0">
      <text>
        <r>
          <rPr>
            <b/>
          </rPr>
          <t xml:space="preserve">EDGAR Mapper:
</t>
        </r>
        <r>
          <t xml:space="preserve">EDGAR mapping:
Source: 10-Q, accession #0001628280-25-017192, filed 2025-04-09
Period: 1Q24 / period ended 2024-02-29
Model row: Model!287 Weighted Average Dilutive Shares
Mapping type: direct
Concepts used: WeightedAverageNumberOfDilutedSharesOutstanding = 225.3 mm
Unit conversion: raw USD to $mm
Sign: copied using model sign convention
Confidence: high
Value written: 225.291</t>
        </r>
      </text>
    </comment>
    <comment ref="L287" authorId="0">
      <text>
        <r>
          <rPr>
            <b/>
          </rPr>
          <t xml:space="preserve">EDGAR Mapper:
</t>
        </r>
        <r>
          <t xml:space="preserve">EDGAR mapping:
Source: 10-Q, accession #0000096223-25-000007, filed 2025-07-09
Period: 2Q24 / period ended 2024-05-31
Model row: Model!287 Weighted Average Dilutive Shares
Mapping type: direct
Concepts used: WeightedAverageNumberOfDilutedSharesOutstanding = 226.1 mm
Unit conversion: raw USD to $mm
Sign: copied using model sign convention
Confidence: high
Value written: 226.146</t>
        </r>
      </text>
    </comment>
    <comment ref="M287" authorId="0">
      <text>
        <r>
          <rPr>
            <b/>
          </rPr>
          <t xml:space="preserve">EDGAR Mapper:
</t>
        </r>
        <r>
          <t xml:space="preserve">EDGAR mapping:
Source: 10-Q, accession #0000096223-25-000014, filed 2025-10-09
Period: 3Q24 / period ended 2024-08-31
Model row: Model!287 Weighted Average Dilutive Shares
Mapping type: direct
Concepts used: WeightedAverageNumberOfDilutedSharesOutstanding = 221.7 mm
Unit conversion: raw USD to $mm
Sign: copied using model sign convention
Confidence: high
Value written: 221.699</t>
        </r>
      </text>
    </comment>
    <comment ref="N287" authorId="0">
      <text>
        <r>
          <rPr>
            <b/>
          </rPr>
          <t xml:space="preserve">EDGAR Mapper:
</t>
        </r>
        <r>
          <t xml:space="preserve">EDGAR mapping:
Source: 10-K, accession #0000096223-26-000009, filed 2026-01-28
Period: 4Q24 / period ended 2024-11-30
Model row: Model!287 Weighted Average Dilutive Shares
Mapping type: direct
Concepts used: WeightedAverageNumberOfDilutedSharesOutstanding = 223.7 mm
Unit conversion: raw USD to $mm
Sign: copied using model sign convention
Confidence: high
Value written: 223.65</t>
        </r>
      </text>
    </comment>
    <comment ref="P287" authorId="0">
      <text>
        <r>
          <rPr>
            <b/>
          </rPr>
          <t xml:space="preserve">EDGAR Mapper:
</t>
        </r>
        <r>
          <t xml:space="preserve">EDGAR mapping:
Source: 10-Q, accession #0000096223-26-000017, filed 2026-04-07
Period: 1Q25 / period ended 2025-02-28
Model row: Model!287 Weighted Average Dilutive Shares
Mapping type: direct
Concepts used: WeightedAverageNumberOfDilutedSharesOutstanding = 222.4 mm
Unit conversion: raw USD to $mm
Sign: copied using model sign convention
Confidence: high
Value written: 222.448</t>
        </r>
      </text>
    </comment>
    <comment ref="Q287" authorId="0">
      <text>
        <r>
          <rPr>
            <b/>
          </rPr>
          <t xml:space="preserve">EDGAR Mapper:
</t>
        </r>
        <r>
          <t xml:space="preserve">EDGAR mapping:
Source: 10-Q, accession #0000096223-25-000007, filed 2025-07-09
Period: 2Q25 / period ended 2025-05-31
Model row: Model!287 Weighted Average Dilutive Shares
Mapping type: direct
Concepts used: WeightedAverageNumberOfDilutedSharesOutstanding = 221.9 mm
Unit conversion: raw USD to $mm
Sign: copied using model sign convention
Confidence: high
Value written: 221.897</t>
        </r>
      </text>
    </comment>
    <comment ref="R287" authorId="0">
      <text>
        <r>
          <rPr>
            <b/>
          </rPr>
          <t xml:space="preserve">EDGAR Mapper:
</t>
        </r>
        <r>
          <t xml:space="preserve">EDGAR mapping:
Source: 10-Q, accession #0000096223-25-000014, filed 2025-10-09
Period: 3Q25 / period ended 2025-08-31
Model row: Model!287 Weighted Average Dilutive Shares
Mapping type: direct
Concepts used: WeightedAverageNumberOfDilutedSharesOutstanding = 222.7 mm
Unit conversion: raw USD to $mm
Sign: copied using model sign convention
Confidence: high
Value written: 222.715</t>
        </r>
      </text>
    </comment>
    <comment ref="S287" authorId="0">
      <text>
        <r>
          <rPr>
            <b/>
          </rPr>
          <t xml:space="preserve">EDGAR Mapper:
</t>
        </r>
        <r>
          <t xml:space="preserve">EDGAR mapping:
Source: 10-K, accession #0000096223-26-000009, filed 2026-01-28
Period: 4Q25 / period ended 2025-11-30
Model row: Model!287 Weighted Average Dilutive Shares
Mapping type: direct
Concepts used: WeightedAverageNumberOfDilutedSharesOutstanding = 222.7 mm
Unit conversion: raw USD to $mm
Sign: copied using model sign convention
Confidence: high
Value written: 222.746</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M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<sst xmlns="http://schemas.openxmlformats.org/spreadsheetml/2006/main" count="7482" uniqueCount="2200">
  <si>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</si>
  <si>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</si>
  <si>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</si>
  <si>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</si>
  <si>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</si>
  <si>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</si>
  <si>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</si>
  <si>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</si>
  <si>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</si>
  <si>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</si>
  <si>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</si>
  <si>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</si>
  <si>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</si>
  <si>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</si>
  <si>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</si>
  <si>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</si>
  <si>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</si>
  <si>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</si>
  <si>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</si>
  <si>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</si>
  <si>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</si>
  <si>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</si>
  <si>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</si>
  <si>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</si>
  <si>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</si>
  <si>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</si>
  <si>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</si>
  <si>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</si>
  <si>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</si>
  <si>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</si>
  <si>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</si>
  <si>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</si>
  <si>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</si>
  <si>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</si>
  <si>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</si>
  <si>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</si>
  <si>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</si>
  <si>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</si>
  <si>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</si>
  <si>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</si>
  <si>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</si>
  <si>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</si>
  <si>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</si>
  <si>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</si>
  <si>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</si>
  <si>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</si>
  <si>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</si>
  <si>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</si>
  <si>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</si>
  <si>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</si>
  <si>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</si>
  <si>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</si>
  <si>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</si>
  <si>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</si>
  <si>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</si>
  <si>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</si>
  <si>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</si>
  <si>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</si>
  <si>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</si>
  <si>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</si>
  <si>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</si>
  <si>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</si>
  <si>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</si>
  <si>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</si>
  <si>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</si>
  <si>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</si>
  <si>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</si>
  <si>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</si>
  <si>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</si>
  <si>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</si>
  <si>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</si>
  <si>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</si>
  <si>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</si>
  <si>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</si>
  <si>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</si>
  <si>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</si>
  <si>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</si>
  <si>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</si>
  <si>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</si>
  <si>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</si>
  <si>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</si>
  <si>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</si>
  <si>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</si>
  <si>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</si>
  <si>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</si>
  <si>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</si>
  <si>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</si>
  <si>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</si>
  <si>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</si>
  <si>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</si>
  <si>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</si>
  <si>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</si>
  <si>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</si>
  <si>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</si>
  <si>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</si>
  <si>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</si>
  <si>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</si>
  <si>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</si>
  <si>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</si>
  <si>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</si>
  <si>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</si>
  <si>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</si>
  <si>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</si>
  <si>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</si>
  <si>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</si>
  <si>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</si>
  <si>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</si>
  <si>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</si>
  <si>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</si>
  <si>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</si>
  <si>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</si>
  <si>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</si>
  <si>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</si>
  <si>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</si>
  <si>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</si>
  <si>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</si>
  <si>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</si>
  <si>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</si>
  <si>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</si>
  <si>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</si>
  <si>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</si>
  <si>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</si>
  <si>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</si>
  <si>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</si>
  <si>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</si>
  <si>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</si>
  <si>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</si>
  <si>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</si>
  <si>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</si>
  <si>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</si>
  <si>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</si>
  <si>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</si>
  <si>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</si>
  <si>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</si>
  <si>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</si>
  <si>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</si>
  <si>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</si>
  <si>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</si>
  <si>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</si>
  <si>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</si>
  <si>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</si>
  <si>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</si>
  <si>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</si>
  <si>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</si>
  <si>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</si>
  <si>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</si>
  <si>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</si>
  <si>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</si>
  <si>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</si>
  <si>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</si>
  <si>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</si>
  <si>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</si>
  <si>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</si>
  <si>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</si>
  <si>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</si>
  <si>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</si>
  <si>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</si>
  <si>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</si>
  <si>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</si>
  <si>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</si>
  <si>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</si>
  <si>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</si>
  <si>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</si>
  <si>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</si>
  <si>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</si>
  <si>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</si>
  <si>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</si>
  <si>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</si>
  <si>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</si>
  <si>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</si>
  <si>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</si>
  <si>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</si>
  <si>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</si>
  <si>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</si>
  <si>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</si>
  <si>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</si>
  <si>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</si>
  <si>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</si>
  <si>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</si>
  <si>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</si>
  <si>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</si>
  <si>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</si>
  <si>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</si>
  <si>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</si>
  <si>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</si>
  <si>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</si>
  <si>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</si>
  <si>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</si>
  <si>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</si>
  <si>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</si>
  <si>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</si>
  <si>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</si>
  <si>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</si>
  <si>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</si>
  <si>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</si>
  <si>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</si>
  <si>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</si>
  <si>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</si>
  <si>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</si>
  <si>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</si>
  <si>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</si>
  <si>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</si>
  <si>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</si>
  <si>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</si>
  <si>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</si>
  <si>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</si>
  <si>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</si>
  <si>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</si>
  <si>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</si>
  <si>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</si>
  <si>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</si>
  <si>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</si>
  <si>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</si>
  <si>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</si>
  <si>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</si>
  <si>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</si>
  <si>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</si>
  <si>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</si>
  <si>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</si>
  <si>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</si>
  <si>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</si>
  <si>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</si>
  <si>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</si>
  <si>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</si>
  <si>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</si>
  <si>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</si>
  <si>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</si>
  <si>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</si>
  <si>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</si>
  <si>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</si>
  <si>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</si>
  <si>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</si>
  <si>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</si>
  <si>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</si>
  <si>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</si>
  <si>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</si>
  <si>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</si>
  <si>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</si>
  <si>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</si>
  <si>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</si>
  <si>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</si>
  <si>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</si>
  <si>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</si>
  <si>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</si>
  <si>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</si>
  <si>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</si>
  <si>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</si>
  <si>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</si>
  <si>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</si>
  <si>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</si>
  <si>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</si>
  <si>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</si>
  <si>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</si>
  <si>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</si>
  <si>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</si>
  <si>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</si>
  <si>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</si>
  <si>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</si>
  <si>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</si>
  <si>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</si>
  <si>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</si>
  <si>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</si>
  <si>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</si>
  <si>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</si>
  <si>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</si>
  <si>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</si>
  <si>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</si>
  <si>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</si>
  <si>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</si>
  <si>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</si>
  <si>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</si>
  <si>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</si>
  <si>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</si>
  <si>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</si>
  <si>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</si>
  <si>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</si>
  <si>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</si>
  <si>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</si>
  <si>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</si>
  <si>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</si>
  <si>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</si>
  <si>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</si>
  <si>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</si>
  <si>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</si>
  <si>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</si>
  <si>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</si>
  <si>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</si>
  <si>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</si>
  <si>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</si>
  <si>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</si>
  <si>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</si>
  <si>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</si>
  <si>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</si>
  <si>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</si>
  <si>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</si>
  <si>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</si>
  <si>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</si>
  <si>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</si>
  <si>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</si>
  <si>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</si>
  <si>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</si>
  <si>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</si>
  <si>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</si>
  <si>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</si>
  <si>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</si>
  <si>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</si>
  <si>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</si>
  <si>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</si>
  <si>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</si>
  <si>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</si>
  <si>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</si>
  <si>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</si>
  <si>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</si>
  <si>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</si>
  <si>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</si>
  <si>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</si>
  <si>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</si>
  <si>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</si>
  <si>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</si>
  <si>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</si>
  <si>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</si>
  <si>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</si>
  <si>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</si>
  <si>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</si>
  <si>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</si>
  <si>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</si>
  <si>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</si>
  <si>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</si>
  <si>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</si>
  <si>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</si>
  <si>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</si>
  <si>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</si>
  <si>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</si>
  <si>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</si>
  <si>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</si>
  <si>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</si>
  <si>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</si>
  <si>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</si>
  <si>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</si>
  <si>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</si>
  <si>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</si>
  <si>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</si>
  <si>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</si>
  <si>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</si>
  <si>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</si>
  <si>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</si>
  <si>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</si>
  <si>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</si>
  <si>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</si>
  <si>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</si>
  <si>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</si>
  <si>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</si>
  <si>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</si>
  <si>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</si>
  <si>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</si>
  <si>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</si>
  <si>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</si>
  <si>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</si>
  <si>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</si>
  <si>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</si>
  <si>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</si>
  <si>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</si>
  <si>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</si>
  <si>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</si>
  <si>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</si>
  <si>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</si>
  <si>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</si>
  <si>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</si>
  <si>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</si>
  <si>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</si>
  <si>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</si>
  <si>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</si>
  <si>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</si>
  <si>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</si>
  <si>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</si>
  <si>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</si>
  <si>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</si>
  <si>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</si>
  <si>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</si>
  <si>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</si>
  <si>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</si>
  <si>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</si>
  <si>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</si>
  <si>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</si>
  <si>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</si>
  <si>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</si>
  <si>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</si>
  <si>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</si>
  <si>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</si>
  <si>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</si>
  <si>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</si>
  <si>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</si>
  <si>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</si>
  <si>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</si>
  <si>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</si>
  <si>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</si>
  <si>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</si>
  <si>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</si>
  <si>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</si>
  <si>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</si>
  <si>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</si>
  <si>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</si>
  <si>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</si>
  <si>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</si>
  <si>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</si>
  <si>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</si>
  <si>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</si>
  <si>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</si>
  <si>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</si>
  <si>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</si>
  <si>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</si>
  <si>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</si>
  <si>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</si>
  <si>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</si>
  <si>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</si>
  <si>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</si>
  <si>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</si>
  <si>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</si>
  <si>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</si>
  <si>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</si>
  <si>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</si>
  <si>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</si>
  <si>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</si>
  <si>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</si>
  <si>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</si>
  <si>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</si>
  <si>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</si>
  <si>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</si>
  <si>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</si>
  <si>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</si>
  <si>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</si>
  <si>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</si>
  <si>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</si>
  <si>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</si>
  <si>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</si>
  <si>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</si>
  <si>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</si>
  <si>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</si>
  <si>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</si>
  <si>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</si>
  <si>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</si>
  <si>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</si>
  <si>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</si>
  <si>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</si>
  <si>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</si>
  <si>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</si>
  <si>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</si>
  <si>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</si>
  <si>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</si>
  <si>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</si>
  <si>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</si>
  <si>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</si>
  <si>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</si>
  <si>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</si>
  <si>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</si>
  <si>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</si>
  <si>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</si>
  <si>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</si>
  <si>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</si>
  <si>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</si>
  <si>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</si>
  <si>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</si>
  <si>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</si>
  <si>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</si>
  <si>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</si>
  <si>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</si>
  <si>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</si>
  <si>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</si>
  <si>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</si>
  <si>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</si>
  <si>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</si>
  <si>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</si>
  <si>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</si>
  <si>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</si>
  <si>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</si>
  <si>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</si>
  <si>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</si>
  <si>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</si>
  <si>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</si>
  <si>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</si>
  <si>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</si>
  <si>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</si>
  <si>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</si>
  <si>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</si>
  <si>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</si>
  <si>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</si>
  <si>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</si>
  <si>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</si>
  <si>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</si>
  <si>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</si>
  <si>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</si>
  <si>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</si>
  <si>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</si>
  <si>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</si>
  <si>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</si>
  <si>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</si>
  <si>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</si>
  <si>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</si>
  <si>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</si>
  <si>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</si>
  <si>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</si>
  <si>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</si>
  <si>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</si>
  <si>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</si>
  <si>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</si>
  <si>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</si>
  <si>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</si>
  <si>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</si>
  <si>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</si>
  <si>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</si>
  <si>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</si>
  <si>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</si>
  <si>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</si>
  <si>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</si>
  <si>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</si>
  <si>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</si>
  <si>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</si>
  <si>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</si>
  <si>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</si>
  <si>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</si>
  <si>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</si>
  <si>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</si>
  <si>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</si>
  <si>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</si>
  <si>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</si>
  <si>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</si>
  <si>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</si>
  <si>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</si>
  <si>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</si>
  <si>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</si>
  <si>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</si>
  <si>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</si>
  <si>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</si>
  <si>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</si>
  <si>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</si>
  <si>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</si>
  <si>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</si>
  <si>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</si>
  <si>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</si>
  <si>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</si>
  <si>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</si>
  <si>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</si>
  <si>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</si>
  <si>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</si>
  <si>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</si>
  <si>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</si>
  <si>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</si>
  <si>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</si>
  <si>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</si>
  <si>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</si>
  <si>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</si>
  <si>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</si>
  <si>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</si>
  <si>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</si>
  <si>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</si>
  <si>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</si>
  <si>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</si>
  <si>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</si>
  <si>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</si>
  <si>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</si>
  <si>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</si>
  <si>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</si>
  <si>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</si>
  <si>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</si>
  <si>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</si>
  <si>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</si>
  <si>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</si>
  <si>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</si>
  <si>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</si>
  <si>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</si>
  <si>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</si>
  <si>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</si>
  <si>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</si>
  <si>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</si>
  <si>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</si>
  <si>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</si>
  <si>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</si>
  <si>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</si>
  <si>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</si>
  <si>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</si>
  <si>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</si>
  <si>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</si>
  <si>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</si>
  <si>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</si>
  <si>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</si>
  <si>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</si>
  <si>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</si>
  <si>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</si>
  <si>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</si>
  <si>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</si>
  <si>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</si>
  <si>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</si>
  <si>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</si>
  <si>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</si>
  <si>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</si>
  <si>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</si>
  <si>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</si>
  <si>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</si>
  <si>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</si>
  <si>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</si>
  <si>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</si>
  <si>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</si>
  <si>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</si>
  <si>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</si>
  <si>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</si>
  <si>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</si>
  <si>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</si>
  <si>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</si>
  <si>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</si>
  <si>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</si>
  <si>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</si>
  <si>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</si>
  <si>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</si>
  <si>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</si>
  <si>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</si>
  <si>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</si>
  <si>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</si>
  <si>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</si>
  <si>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</si>
  <si>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</si>
  <si>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</si>
  <si>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</si>
  <si>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</si>
  <si>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</si>
  <si>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</si>
  <si>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</si>
  <si>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</si>
  <si>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</si>
  <si>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</si>
  <si>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</si>
  <si>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</si>
  <si>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</si>
  <si>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</si>
  <si>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</si>
  <si>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</si>
  <si>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</si>
  <si>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</si>
  <si>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</si>
  <si>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</si>
  <si>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</si>
  <si>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</si>
  <si>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</si>
  <si>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</si>
  <si>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</si>
  <si>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</si>
  <si>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</si>
  <si>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</si>
  <si>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</si>
  <si>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</si>
  <si>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</si>
  <si>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</si>
  <si>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</si>
  <si>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</si>
  <si>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</si>
  <si>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</si>
  <si>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</si>
  <si>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</si>
  <si>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</si>
  <si>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</si>
  <si>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</si>
  <si>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</si>
  <si>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</si>
  <si>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</si>
  <si>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</si>
  <si>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</si>
  <si>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</si>
  <si>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</si>
  <si>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</si>
  <si>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</si>
  <si>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</si>
  <si>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</si>
  <si>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</si>
  <si>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</si>
  <si>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</si>
  <si>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</si>
  <si>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</si>
  <si>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</si>
  <si>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</si>
  <si>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</si>
  <si>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</si>
  <si>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</si>
  <si>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</si>
  <si>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</si>
  <si>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</si>
  <si>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</si>
  <si>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</si>
  <si>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</si>
  <si>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</si>
  <si>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</si>
  <si>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</si>
  <si>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</si>
  <si>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</si>
  <si>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</si>
  <si>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</si>
  <si>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</si>
  <si>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</si>
  <si>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</si>
  <si>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</si>
  <si>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</si>
  <si>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</si>
  <si>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</si>
  <si>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</si>
  <si>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</si>
  <si>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</si>
  <si>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</si>
  <si>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</si>
  <si>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</si>
  <si>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</si>
  <si>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</si>
  <si>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</si>
  <si>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</si>
  <si>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</si>
  <si>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</si>
  <si>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</si>
  <si>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</si>
  <si>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</si>
  <si>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</si>
  <si>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</si>
  <si>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</si>
  <si>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</si>
  <si>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</si>
  <si>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</si>
  <si>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</si>
  <si>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</si>
  <si>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</si>
  <si>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</si>
  <si>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</si>
  <si>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</si>
  <si>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</si>
  <si>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</si>
  <si>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</si>
  <si>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</si>
  <si>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</si>
  <si>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</si>
  <si>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</si>
  <si>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</si>
  <si>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</si>
  <si>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</si>
  <si>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</si>
  <si>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</si>
  <si>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</si>
  <si>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</si>
  <si>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</si>
  <si>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</si>
  <si>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</si>
  <si>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</si>
  <si>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</si>
  <si>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</si>
  <si>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</si>
  <si>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</si>
  <si>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</si>
  <si>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</si>
  <si>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</si>
  <si>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</si>
  <si>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</si>
  <si>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</si>
  <si>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</si>
  <si>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</si>
  <si>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</si>
  <si>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</si>
  <si>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</si>
  <si>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</si>
  <si>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</si>
  <si>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</si>
  <si>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</si>
  <si>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</si>
  <si>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</si>
  <si>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</si>
  <si>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</si>
  <si>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</si>
  <si>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</si>
  <si>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</si>
  <si>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</si>
  <si>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</si>
  <si>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</si>
  <si>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</si>
  <si>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</si>
  <si>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</si>
  <si>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</si>
  <si>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</si>
  <si>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</si>
  <si>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</si>
  <si>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</si>
  <si>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</si>
  <si>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</si>
  <si>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</si>
  <si>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</si>
  <si>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</si>
  <si>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</si>
  <si>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</si>
  <si>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</si>
  <si>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</si>
  <si>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</si>
  <si>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</si>
  <si>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</si>
  <si>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</si>
  <si>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</si>
  <si>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</si>
  <si>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</si>
  <si>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</si>
  <si>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</si>
  <si>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</si>
  <si>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</si>
  <si>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</si>
  <si>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</si>
  <si>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</si>
  <si>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</si>
  <si>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</si>
  <si>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</si>
  <si>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</si>
  <si>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</si>
  <si>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</si>
  <si>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</si>
  <si>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</si>
  <si>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</si>
  <si>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</si>
  <si>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</si>
  <si>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</si>
  <si>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</si>
  <si>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</si>
  <si>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</si>
  <si>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</si>
  <si>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</si>
  <si>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</si>
  <si>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</si>
  <si>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</si>
  <si>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</si>
  <si>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</si>
  <si>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</si>
  <si>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</si>
  <si>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</si>
  <si>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</si>
  <si>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</si>
  <si>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</si>
  <si>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</si>
  <si>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</si>
  <si>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</si>
  <si>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</si>
  <si>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</si>
  <si>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</si>
  <si>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</si>
  <si>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</si>
  <si>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</si>
  <si>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</si>
  <si>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</si>
  <si>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</si>
  <si>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</si>
  <si>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</si>
  <si>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</si>
  <si>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</si>
  <si>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</si>
  <si>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</si>
  <si>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</si>
  <si>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</si>
  <si>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</si>
  <si>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</si>
  <si>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</si>
  <si>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</si>
  <si>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</si>
  <si>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</si>
  <si>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</si>
  <si>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</si>
  <si>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</si>
  <si>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</si>
  <si>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</si>
  <si>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</si>
  <si>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</si>
  <si>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</si>
  <si>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</si>
  <si>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</si>
  <si>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</si>
  <si>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</si>
  <si>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</si>
  <si>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</si>
  <si>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</si>
  <si>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</si>
  <si>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</si>
  <si>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</si>
  <si>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</si>
  <si>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</si>
  <si>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</si>
  <si>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</si>
  <si>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</si>
  <si>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</si>
  <si>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</si>
  <si>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</si>
  <si>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</si>
  <si>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</si>
  <si>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</si>
  <si>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</si>
  <si>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</si>
  <si>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</si>
  <si>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</si>
  <si>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</si>
  <si>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</si>
  <si>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</si>
  <si>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</si>
  <si>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</si>
  <si>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</si>
  <si>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</si>
  <si>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</si>
  <si>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</si>
  <si>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</si>
  <si>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</si>
  <si>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</si>
  <si>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</si>
  <si>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</si>
  <si>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</si>
  <si>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</si>
  <si>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</si>
  <si>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</si>
  <si>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</si>
  <si>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</si>
  <si>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</si>
  <si>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</si>
  <si>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</si>
  <si>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</si>
  <si>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</si>
  <si>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</si>
  <si>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</si>
  <si>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</si>
  <si>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</si>
  <si>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</si>
  <si>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</si>
  <si>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</si>
  <si>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</si>
  <si>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</si>
  <si>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</si>
  <si>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</si>
  <si>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</si>
  <si>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</si>
  <si>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</si>
  <si>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</si>
  <si>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</si>
  <si>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</si>
  <si>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</si>
  <si>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</si>
  <si>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</si>
  <si>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</si>
  <si>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</si>
  <si>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</si>
  <si>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</si>
  <si>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</si>
  <si>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</si>
  <si>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</si>
  <si>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</si>
  <si>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</si>
  <si>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</si>
  <si>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</si>
  <si>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</si>
  <si>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</si>
  <si>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</si>
  <si>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</si>
  <si>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</si>
  <si>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</si>
  <si>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</si>
  <si>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</si>
  <si>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</si>
  <si>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</si>
  <si>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</si>
  <si>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</si>
  <si>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</si>
  <si>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</si>
  <si>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</si>
  <si>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</si>
  <si>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</si>
  <si>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</si>
  <si>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</si>
  <si>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</si>
  <si>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</si>
  <si>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</si>
  <si>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</si>
  <si>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</si>
  <si>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</si>
  <si>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</si>
  <si>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</si>
  <si>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</si>
  <si>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</si>
  <si>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</si>
  <si>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</si>
  <si>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</si>
  <si>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</si>
  <si>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</si>
  <si>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</si>
  <si>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</si>
  <si>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</si>
  <si>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</si>
  <si>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</si>
  <si>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</si>
  <si>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</si>
  <si>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</si>
  <si>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</si>
  <si>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</si>
  <si>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</si>
  <si>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</si>
  <si>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</si>
  <si>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</si>
  <si>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</si>
  <si>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</si>
  <si>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</si>
  <si>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</si>
  <si>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</si>
  <si>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</si>
  <si>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</si>
  <si>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</si>
  <si>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</si>
  <si>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</si>
  <si>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</si>
  <si>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</si>
  <si>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</si>
  <si>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</si>
  <si>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</si>
  <si>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</si>
  <si>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</si>
  <si>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</si>
  <si>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</si>
  <si>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</si>
  <si>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</si>
  <si>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</si>
  <si>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</si>
  <si>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</si>
  <si>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</si>
  <si>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</si>
  <si>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</si>
  <si>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</si>
  <si>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</si>
  <si>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</si>
  <si>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</si>
  <si>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</si>
  <si>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</si>
  <si>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</si>
  <si>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</si>
  <si>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</si>
  <si>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</si>
  <si>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</si>
  <si>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</si>
  <si>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</si>
  <si>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</si>
  <si>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</si>
  <si>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</si>
  <si>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</si>
  <si>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</si>
  <si>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</si>
  <si>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</si>
  <si>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</si>
  <si>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</si>
  <si>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</si>
  <si>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</si>
  <si>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</si>
  <si>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</si>
  <si>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</si>
  <si>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</si>
  <si>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</si>
  <si>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</si>
  <si>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</si>
  <si>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</si>
  <si>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</si>
  <si>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</si>
  <si>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</si>
  <si>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</si>
  <si>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</si>
  <si>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</si>
  <si>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</si>
  <si>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</si>
  <si>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</si>
  <si>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</si>
  <si>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</si>
  <si>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</si>
  <si>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</si>
  <si>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</si>
  <si>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</si>
  <si>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</si>
  <si>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</si>
  <si>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</si>
  <si>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</si>
  <si>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</si>
  <si>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</si>
  <si>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</si>
  <si>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</si>
  <si>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</si>
  <si>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</si>
  <si>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</si>
  <si>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</si>
  <si>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</si>
  <si>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</si>
  <si>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</si>
  <si>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</si>
  <si>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</si>
  <si>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</si>
  <si>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</si>
  <si>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</si>
  <si>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</si>
  <si>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</si>
  <si>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</si>
  <si>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</si>
  <si>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</si>
  <si>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</si>
  <si>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</si>
  <si>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</si>
  <si>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</si>
  <si>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</si>
  <si>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</si>
  <si>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</si>
  <si>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</si>
  <si>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</si>
  <si>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</si>
  <si>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</si>
  <si>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</si>
  <si>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</si>
  <si>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</si>
  <si>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</si>
  <si>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</si>
  <si>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</si>
  <si>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</si>
  <si>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</si>
  <si>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</si>
  <si>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</si>
  <si>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</si>
  <si>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</si>
  <si>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</si>
  <si>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</si>
  <si>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</si>
  <si>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</si>
  <si>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</si>
  <si>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</si>
  <si>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</si>
  <si>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</si>
  <si>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</si>
  <si>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</si>
  <si>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</si>
  <si>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</si>
  <si>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</si>
  <si>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</si>
  <si>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</si>
  <si>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</si>
  <si>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</si>
  <si>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</si>
  <si>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</si>
  <si>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</si>
  <si>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</si>
  <si>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</si>
  <si>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</si>
  <si>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</si>
  <si>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</si>
  <si>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</si>
  <si>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</si>
  <si>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</si>
  <si>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</si>
  <si>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</si>
  <si>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</si>
  <si>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</si>
  <si>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</si>
  <si>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</si>
  <si>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</si>
  <si>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</si>
  <si>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</si>
  <si>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</si>
  <si>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</si>
  <si>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</si>
  <si>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</si>
  <si>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</si>
  <si>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</si>
  <si>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</si>
  <si>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</si>
  <si>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</si>
  <si>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</si>
  <si>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</si>
  <si>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</si>
  <si>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</si>
  <si>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</si>
  <si>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</si>
  <si>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</si>
  <si>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</si>
  <si>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</si>
  <si>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</si>
  <si>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</si>
  <si>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</si>
  <si>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</si>
  <si>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</si>
  <si>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</si>
  <si>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</si>
  <si>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</si>
  <si>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</si>
  <si>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</si>
  <si>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</si>
  <si>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</si>
  <si>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</si>
  <si>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</si>
  <si>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</si>
  <si>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</si>
  <si>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</si>
  <si>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</si>
  <si>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</si>
  <si>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</si>
  <si>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</si>
  <si>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</si>
  <si>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</si>
  <si>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</si>
  <si>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</si>
  <si>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</si>
  <si>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</si>
  <si>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</si>
  <si>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</si>
  <si>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</si>
  <si>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</si>
  <si>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</si>
  <si>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</si>
  <si>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</si>
  <si>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</si>
  <si>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</si>
  <si>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</si>
  <si>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</si>
  <si>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</si>
  <si>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</si>
  <si>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</si>
  <si>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</si>
  <si>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</si>
  <si>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</si>
  <si>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</si>
  <si>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</si>
  <si>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</si>
  <si>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</si>
  <si>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</si>
  <si>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</si>
  <si>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</si>
  <si>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</si>
  <si>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</si>
  <si>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</si>
  <si>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</si>
  <si>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</si>
  <si>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</si>
  <si>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</si>
  <si>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</si>
  <si>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</si>
  <si>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</si>
  <si>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</si>
  <si>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</si>
  <si>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</si>
  <si>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</si>
  <si>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</si>
  <si>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</si>
  <si>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</si>
  <si>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</si>
  <si>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</si>
  <si>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</si>
  <si>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</si>
  <si>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</si>
  <si>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</si>
  <si>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</si>
  <si>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</si>
  <si>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</si>
  <si>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</si>
  <si>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</si>
  <si>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</si>
  <si>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</si>
  <si>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</si>
  <si>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</si>
  <si>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</si>
  <si>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</si>
  <si>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</si>
  <si>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</si>
  <si>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</si>
  <si>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</si>
  <si>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</si>
  <si>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</si>
  <si>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</si>
  <si>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</si>
  <si>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</si>
  <si>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</si>
  <si>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</si>
  <si>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</si>
  <si>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</si>
  <si>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</si>
  <si>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</si>
  <si>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</si>
  <si>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</si>
  <si>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</si>
  <si>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</si>
  <si>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</si>
  <si>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</si>
  <si>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</si>
  <si>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</si>
  <si>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</si>
  <si>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</si>
  <si>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</si>
  <si>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</si>
  <si>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</si>
  <si>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</si>
  <si>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</si>
  <si>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</si>
  <si>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</si>
  <si>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</si>
  <si>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</si>
  <si>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</si>
  <si>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</si>
  <si>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</si>
  <si>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</si>
  <si>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</si>
  <si>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</si>
  <si>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</si>
  <si>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</si>
  <si>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</si>
  <si>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</si>
  <si>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</si>
  <si>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</si>
  <si>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</si>
  <si>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</si>
  <si>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</si>
  <si>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</si>
  <si>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</si>
  <si>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</si>
  <si>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</si>
  <si>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</si>
  <si>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</si>
  <si>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</si>
  <si>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</si>
  <si>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</si>
  <si>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</si>
  <si>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</si>
  <si>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</si>
  <si>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</si>
  <si>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</si>
  <si>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</si>
  <si>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</si>
  <si>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</si>
  <si>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</si>
  <si>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</si>
  <si>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</si>
  <si>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</si>
  <si>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</si>
  <si>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</si>
  <si>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</si>
  <si>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</si>
  <si>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</si>
  <si>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</si>
  <si>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</si>
  <si>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</si>
  <si>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</si>
  <si>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</si>
  <si>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</si>
  <si>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</si>
  <si>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</si>
  <si>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</si>
  <si>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</si>
  <si>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</si>
  <si>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</si>
  <si>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</si>
  <si>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</si>
  <si>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</si>
  <si>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</si>
  <si>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</si>
  <si>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</si>
  <si>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</si>
  <si>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</si>
  <si>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</si>
  <si>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</si>
  <si>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</si>
  <si>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</si>
  <si>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</si>
  <si>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</si>
  <si>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</si>
  <si>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</si>
  <si>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</si>
  <si>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</si>
  <si>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</si>
  <si>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</si>
  <si>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</si>
  <si>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</si>
  <si>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</si>
  <si>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</si>
  <si>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</si>
  <si>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</si>
  <si>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</si>
  <si>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</si>
  <si>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</si>
  <si>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</si>
  <si>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</si>
  <si>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</si>
  <si>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</si>
  <si>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</si>
  <si>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</si>
  <si>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</si>
  <si>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</si>
  <si>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</si>
  <si>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</si>
  <si>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</si>
  <si>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</si>
  <si>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</si>
  <si>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</si>
  <si>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</si>
  <si>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</si>
  <si>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</si>
  <si>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</si>
  <si>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</si>
  <si>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</si>
  <si>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</si>
  <si>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</si>
  <si>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</si>
  <si>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</si>
  <si>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</si>
  <si>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</si>
  <si>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</si>
  <si>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</si>
  <si>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</si>
  <si>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</si>
  <si>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</si>
  <si>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</si>
  <si>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</si>
  <si>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</si>
  <si>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</si>
  <si>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</si>
  <si>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</si>
  <si>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</si>
  <si>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</si>
  <si>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</si>
  <si>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</si>
  <si>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</si>
  <si>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</si>
  <si>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</si>
  <si>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</si>
  <si>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</si>
  <si>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</si>
  <si>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</si>
  <si>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</si>
  <si>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</si>
  <si>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</si>
  <si>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</si>
  <si>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</si>
  <si>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</si>
  <si>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</si>
  <si>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</si>
  <si>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</si>
  <si>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</si>
  <si>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</si>
  <si>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</si>
  <si>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</si>
  <si>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</si>
  <si>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</si>
  <si>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</si>
  <si>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</si>
  <si>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</si>
  <si>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</si>
  <si>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</si>
  <si>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</si>
  <si>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</si>
  <si>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</si>
  <si>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</si>
  <si>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</si>
  <si>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</si>
  <si>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</si>
  <si>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</si>
  <si>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</si>
  <si>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</si>
  <si>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</si>
  <si>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</si>
  <si>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</si>
  <si>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</si>
  <si>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</si>
  <si>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</si>
  <si>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</si>
  <si>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</si>
  <si>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</si>
  <si>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</si>
  <si>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</si>
  <si>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</si>
  <si>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</si>
  <si>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</si>
  <si>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</si>
  <si>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</si>
  <si>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</si>
  <si>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</si>
  <si>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</si>
  <si>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</si>
  <si>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</si>
  <si>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</si>
  <si>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</si>
  <si>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</si>
  <si>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</si>
  <si>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</si>
  <si>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</si>
  <si>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</si>
  <si>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</si>
  <si>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</si>
  <si>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</si>
  <si>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</si>
  <si>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</si>
  <si>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</si>
  <si>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</si>
  <si>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</si>
  <si>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</si>
  <si>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</si>
  <si>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</si>
  <si>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</si>
  <si>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</si>
  <si>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</si>
  <si>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</si>
  <si>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</si>
  <si>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</si>
  <si>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</si>
  <si>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</si>
  <si>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</si>
  <si>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</si>
  <si>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</si>
  <si>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</si>
  <si>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</si>
  <si>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</si>
  <si>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</si>
  <si>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</si>
  <si>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</si>
  <si>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</si>
  <si>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</si>
  <si>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</si>
  <si>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</si>
  <si>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</si>
  <si>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</si>
  <si>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</si>
  <si>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</si>
  <si>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</si>
  <si>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</si>
  <si>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</si>
  <si>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</si>
  <si>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</si>
  <si>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</si>
  <si>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</si>
  <si>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</si>
  <si>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</si>
  <si>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</si>
  <si>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</si>
  <si>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</si>
  <si>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</si>
  <si>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</si>
  <si>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</si>
  <si>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</si>
  <si>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</si>
  <si>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</si>
  <si>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</si>
  <si>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</si>
  <si>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</si>
  <si>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</si>
  <si>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</si>
  <si>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</si>
  <si>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</si>
  <si>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</si>
  <si>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</si>
  <si>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</si>
  <si>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</si>
  <si>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</si>
  <si>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</si>
  <si>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</si>
  <si>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</si>
  <si>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</si>
  <si>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</si>
  <si>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</si>
  <si>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</si>
  <si>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</si>
  <si>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</si>
  <si>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</si>
  <si>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</si>
  <si>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</si>
  <si>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</si>
  <si>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</si>
  <si>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</si>
  <si>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</si>
  <si>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</si>
  <si>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</si>
  <si>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</si>
  <si>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</si>
  <si>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</si>
  <si>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</si>
  <si>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</si>
  <si>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</si>
  <si>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</si>
  <si>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</si>
  <si>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</si>
  <si>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</si>
  <si>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</si>
  <si>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</si>
  <si>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</si>
  <si>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</si>
  <si>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</si>
  <si>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</si>
  <si>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</si>
  <si>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</si>
  <si>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</si>
  <si>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</si>
  <si>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</si>
  <si>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</si>
  <si>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</si>
  <si>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</si>
  <si>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</si>
  <si>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</si>
  <si>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</si>
  <si>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</si>
  <si>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</si>
  <si>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</si>
  <si>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</si>
  <si>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</si>
  <si>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</si>
  <si>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</si>
  <si>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</si>
  <si>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</si>
  <si>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</si>
  <si>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</si>
  <si>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</si>
  <si>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</si>
  <si>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</si>
  <si>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NetIncomeLossAvailableToCommonStockholdersBasic=133.1mm; IncomeLossFromContinuingOperationsIncludingPortionAttributableToNoncontrollingInterest=129.3mm;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</si>
  <si>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</si>
  <si>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G50</t>
  </si>
  <si>
    <t>NetIncomeLossAvailableToCommonStockholdersBasic=12.4mm; IncomeLossFromContinuingOperationsIncludingPortionAttributableToNoncontrollingInterest=8.7mm;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</si>
  <si>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</si>
  <si>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H50</t>
  </si>
  <si>
    <t>NetIncomeLossAvailableToCommonStockholdersBasic=51.4mm; IncomeLossFromContinuingOperationsIncludingPortionAttributableToNoncontrollingInterest=53.9mm; PreferredStockDividendsIncomeStatementImpact=6.3mm; IncomeLossFromDiscontinuedOperationsNetOfTax=0mm</t>
  </si>
  <si>
    <t>K50</t>
  </si>
  <si>
    <t>NetIncomeLossAvailableToCommonStockholdersBasic=149.6mm; IncomeLossFromContinuingOperationsIncludingPortionAttributableToNoncontrollingInterest=164.3mm; PreferredStockDividendsIncomeStatementImpact=14.2mm; IncomeLossFromDiscontinuedOperationsNetOfTax=-7.9mm</t>
  </si>
  <si>
    <t>L50</t>
  </si>
  <si>
    <t>NetIncomeLossAvailableToCommonStockholdersBasic=145.7mm; IncomeLossFromContinuingOperationsIncludingPortionAttributableToNoncontrollingInterest=154.6mm; PreferredStockDividendsIncomeStatementImpact=13.7mm; IncomeLossFromDiscontinuedOperationsNetOfTax=0mm</t>
  </si>
  <si>
    <t>M50</t>
  </si>
  <si>
    <t>NetIncomeLossAvailableToCommonStockholdersBasic=167.1mm; IncomeLossFromContinuingOperationsIncludingPortionAttributableToNoncontrollingInterest=174.7mm; PreferredStockDividendsIncomeStatementImpact=20.8mm; IncomeLossFromDiscontinuedOperationsNetOfTax=6.4mm</t>
  </si>
  <si>
    <t>P50</t>
  </si>
  <si>
    <t>NetIncomeLossAvailableToCommonStockholdersBasic=127.8mm; IncomeLossFromContinuingOperationsIncludingPortionAttributableToNoncontrollingInterest=136.8mm; PreferredStockDividendsIncomeStatementImpact=16mm; IncomeLossFromDiscontinuedOperationsNetOfTax=0mm</t>
  </si>
  <si>
    <t>0001628280-25-017192; 0000096223-26-000017</t>
  </si>
  <si>
    <t>Q50</t>
  </si>
  <si>
    <t>NetIncomeLossAvailableToCommonStockholdersBasic=88mm; IncomeLossFromContinuingOperationsIncludingPortionAttributableToNoncontrollingInterest=91.4mm; PreferredStockDividendsIncomeStatementImpact=11mm; IncomeLossFromDiscontinuedOperationsNetOfTax=0mm</t>
  </si>
  <si>
    <t>R50</t>
  </si>
  <si>
    <t>NetIncomeLossAvailableToCommonStockholdersBasic=224mm; IncomeLossFromContinuingOperationsIncludingPortionAttributableToNoncontrollingInterest=242.5mm; PreferredStockDividendsIncomeStatementImpact=28.6mm; IncomeLossFromDiscontinuedOperationsNetOfTax=0mm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</si>
  <si>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</si>
  <si>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</si>
  <si>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</si>
  <si>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</si>
  <si>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</si>
  <si>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</si>
  <si>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</si>
  <si>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</si>
  <si>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</si>
  <si>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</si>
  <si>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</si>
  <si>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</si>
  <si>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</si>
  <si>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</si>
  <si>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</si>
  <si>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</si>
  <si>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</si>
  <si>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</si>
  <si>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</si>
  <si>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</si>
  <si>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</si>
  <si>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</si>
  <si>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</si>
  <si>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</si>
  <si>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</si>
  <si>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</si>
  <si>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</si>
  <si>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</si>
  <si>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</si>
  <si>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</si>
  <si>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</si>
  <si>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</si>
  <si>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</si>
  <si>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</si>
  <si>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</si>
  <si>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</si>
  <si>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</si>
  <si>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</si>
  <si>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</si>
  <si>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</si>
  <si>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</si>
  <si>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</si>
  <si>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</si>
  <si>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</si>
  <si>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</si>
  <si>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</si>
  <si>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</si>
  <si>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</si>
  <si>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</si>
  <si>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</si>
  <si>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</si>
  <si>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</si>
  <si>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</si>
  <si>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</si>
  <si>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</si>
  <si>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</si>
  <si>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</si>
  <si>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</si>
  <si>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</si>
  <si>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</si>
  <si>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</si>
  <si>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</si>
  <si>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</si>
  <si>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</si>
  <si>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</si>
  <si>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</si>
  <si>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</si>
  <si>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</si>
  <si>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</si>
  <si>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</si>
  <si>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</si>
  <si>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</si>
  <si>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</si>
  <si>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</si>
  <si>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</si>
  <si>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</si>
  <si>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</si>
  <si>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</si>
  <si>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</si>
  <si>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</si>
  <si>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</si>
  <si>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</si>
  <si>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</si>
  <si>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</si>
  <si>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</si>
  <si>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</si>
  <si>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</si>
  <si>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</si>
  <si>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</si>
  <si>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</si>
  <si>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</si>
  <si>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</si>
  <si>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</si>
  <si>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</si>
  <si>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</si>
  <si>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</si>
  <si>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</si>
  <si>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</si>
  <si>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</si>
  <si>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</si>
  <si>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</si>
  <si>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</si>
  <si>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</si>
  <si>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</si>
  <si>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</si>
  <si>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</si>
  <si>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</si>
  <si>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</si>
  <si>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</si>
  <si>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</si>
  <si>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</si>
  <si>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</si>
  <si>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</si>
  <si>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</si>
  <si>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</si>
  <si>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</si>
  <si>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</si>
  <si>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</si>
  <si>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</si>
  <si>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</si>
  <si>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</si>
  <si>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</si>
  <si>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</si>
  <si>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</si>
  <si>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</si>
  <si>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</si>
  <si>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</si>
  <si>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</si>
  <si>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</si>
  <si>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</si>
  <si>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</si>
  <si>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</si>
  <si>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</si>
  <si>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</si>
  <si>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</si>
  <si>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</si>
  <si>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</si>
  <si>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</si>
  <si>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</si>
  <si>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</si>
  <si>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</si>
  <si>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</si>
  <si>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</si>
  <si>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</si>
  <si>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</si>
  <si>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</si>
  <si>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</si>
  <si>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ModelSubtotal=7508.5mm; PropertyPlantAndEquipmentAndOperatingLeaseRightofUseAssetAfterAccumulatedDepreciationAndAmortization=904.1mm; IntangibleAssetsNet=0mm; Goodwill=1735.9mm</t>
  </si>
  <si>
    <t>0000096223-23-000017; 0000096223-24-000015</t>
  </si>
  <si>
    <t>Grouped from EDGAR: Assets, Total Current Assets,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</si>
  <si>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</si>
  <si>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ModelSubtotal=8004.9mm; PropertyPlantAndEquipmentAndOperatingLeaseRightofUseAssetAfterAccumulatedDepreciationAndAmortization=907.2mm; IntangibleAssetsNet=0mm; Goodwill=1738.2mm</t>
  </si>
  <si>
    <t>0000096223-23-000026; 0000096223-24-000024</t>
  </si>
  <si>
    <t>H129</t>
  </si>
  <si>
    <t>Assets=56044.6mm; ModelSubtotal=8817.4mm; PropertyPlantAndEquipmentAndOperatingLeaseRightofUseAssetAfterAccumulatedDepreciationAndAmortization=929.9mm; IntangibleAssetsNet=0mm; Goodwill=1739.5mm</t>
  </si>
  <si>
    <t>0000096223-23-000033; 0001628280-24-042612</t>
  </si>
  <si>
    <t>I129</t>
  </si>
  <si>
    <t>Assets=57905.2mm; ModelSubtotal=9703.1mm; PropertyPlantAndEquipmentAndOperatingLeaseRightofUseAssetAfterAccumulatedDepreciationAndAmortization=1065.7mm; IntangibleAssetsNet=0mm; Goodwill=1847.9mm</t>
  </si>
  <si>
    <t>0001628280-25-002833; 0000096223-26-000009</t>
  </si>
  <si>
    <t>K129</t>
  </si>
  <si>
    <t>Assets=60933mm; ModelSubtotal=7615.7mm; PropertyPlantAndEquipmentAndOperatingLeaseRightofUseAssetAfterAccumulatedDepreciationAndAmortization=1103.5mm; IntangibleAssetsNet=0mm; Goodwill=1824mm</t>
  </si>
  <si>
    <t>0000096223-24-000015; 0001628280-25-017192</t>
  </si>
  <si>
    <t>L129</t>
  </si>
  <si>
    <t>Assets=63000.5mm; ModelSubtotal=10841.6mm; PropertyPlantAndEquipmentAndOperatingLeaseRightofUseAssetAfterAccumulatedDepreciationAndAmortization=1206.5mm; IntangibleAssetsNet=0mm; Goodwill=1822.8mm</t>
  </si>
  <si>
    <t>0000096223-24-000024; 0000096223-25-000007</t>
  </si>
  <si>
    <t>M129</t>
  </si>
  <si>
    <t>Assets=63275.1mm; ModelSubtotal=10573.5mm; PropertyPlantAndEquipmentAndOperatingLeaseRightofUseAssetAfterAccumulatedDepreciationAndAmortization=1229mm; IntangibleAssetsNet=0mm; Goodwill=1833mm</t>
  </si>
  <si>
    <t>0001628280-24-042612; 0000096223-25-000014</t>
  </si>
  <si>
    <t>N129</t>
  </si>
  <si>
    <t>Assets=64360.3mm; ModelSubtotal=8526.4mm; PropertyPlantAndEquipmentAndOperatingLeaseRightofUseAssetAfterAccumulatedDepreciationAndAmortization=1194.7mm; IntangibleAssetsNet=0mm; Goodwill=1827.9mm</t>
  </si>
  <si>
    <t>P129</t>
  </si>
  <si>
    <t>Assets=70218.9mm; ModelSubtotal=11176.3mm; PropertyPlantAndEquipmentAndOperatingLeaseRightofUseAssetAfterAccumulatedDepreciationAndAmortization=1217.2mm; IntangibleAssetsNet=0mm; Goodwill=1824.6mm</t>
  </si>
  <si>
    <t>Q129</t>
  </si>
  <si>
    <t>Assets=67285.3mm; ModelSubtotal=11260.4mm; PropertyPlantAndEquipmentAndOperatingLeaseRightofUseAssetAfterAccumulatedDepreciationAndAmortization=1235.3mm; IntangibleAssetsNet=0mm; Goodwill=1842.1mm</t>
  </si>
  <si>
    <t>R129</t>
  </si>
  <si>
    <t>Assets=69319.7mm; ModelSubtotal=11458.5mm; PropertyPlantAndEquipmentAndOperatingLeaseRightofUseAssetAfterAccumulatedDepreciationAndAmortization=1255mm; IntangibleAssetsNet=0mm; Goodwill=1840.4mm</t>
  </si>
  <si>
    <t>S129</t>
  </si>
  <si>
    <t>Assets=76012.3mm; ModelSubtotal=12153.4mm; PropertyPlantAndEquipmentAndOperatingLeaseRightofUseAssetAfterAccumulatedDepreciationAndAmortization=1246.5mm; IntangibleAssetsNet=0mm; Goodwill=1837.6mm</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</si>
  <si>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</si>
  <si>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</si>
  <si>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</si>
  <si>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</si>
  <si>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</si>
  <si>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</si>
  <si>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</si>
  <si>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</si>
  <si>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</si>
  <si>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</si>
  <si>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</si>
  <si>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</si>
  <si>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</si>
  <si>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</si>
  <si>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</si>
  <si>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</si>
  <si>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</si>
  <si>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</si>
  <si>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</si>
  <si>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</si>
  <si>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</si>
  <si>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</si>
  <si>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</si>
  <si>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</si>
  <si>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</si>
  <si>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</si>
  <si>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</si>
  <si>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</si>
  <si>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</si>
  <si>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</si>
  <si>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</si>
  <si>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</si>
  <si>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</si>
  <si>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</si>
  <si>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</si>
  <si>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</si>
  <si>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</si>
  <si>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</si>
  <si>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</si>
  <si>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</si>
  <si>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</si>
  <si>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</si>
  <si>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</si>
  <si>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</si>
  <si>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</si>
  <si>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</si>
  <si>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</si>
  <si>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</si>
  <si>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</si>
  <si>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</si>
  <si>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</si>
  <si>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</si>
  <si>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</si>
  <si>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</si>
  <si>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</si>
  <si>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</si>
  <si>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</si>
  <si>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</si>
  <si>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</si>
  <si>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</si>
  <si>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</si>
  <si>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</si>
  <si>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</si>
  <si>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</si>
  <si>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</si>
  <si>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</si>
  <si>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</si>
  <si>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</si>
  <si>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</si>
  <si>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</si>
  <si>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</si>
  <si>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</si>
  <si>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</si>
  <si>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</si>
  <si>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</si>
  <si>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</si>
  <si>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</si>
  <si>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</si>
  <si>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</si>
  <si>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</si>
  <si>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</si>
  <si>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</si>
  <si>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</si>
  <si>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</si>
  <si>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</si>
  <si>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</si>
  <si>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</si>
  <si>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</si>
  <si>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</si>
  <si>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</si>
  <si>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</si>
  <si>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</si>
  <si>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</si>
  <si>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</si>
  <si>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</si>
  <si>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</si>
  <si>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</si>
  <si>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</si>
  <si>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</si>
  <si>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</si>
  <si>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</si>
  <si>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</si>
  <si>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</si>
  <si>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</si>
  <si>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</si>
  <si>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</si>
  <si>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</si>
  <si>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</si>
  <si>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</si>
  <si>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</si>
  <si>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</si>
  <si>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</si>
  <si>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</si>
  <si>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</si>
  <si>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</si>
  <si>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</si>
  <si>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</si>
  <si>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</si>
  <si>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</si>
  <si>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</si>
  <si>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</si>
  <si>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</si>
  <si>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</si>
  <si>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</si>
  <si>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</si>
  <si>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</si>
  <si>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</si>
  <si>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</si>
  <si>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</si>
  <si>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</si>
  <si>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</si>
  <si>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</si>
  <si>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</si>
  <si>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</si>
  <si>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</si>
  <si>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</si>
  <si>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</si>
  <si>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</si>
  <si>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</si>
  <si>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</si>
  <si>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</si>
  <si>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</si>
  <si>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</si>
  <si>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</si>
  <si>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</si>
  <si>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</si>
  <si>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</si>
  <si>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</si>
  <si>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</si>
  <si>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</si>
  <si>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</si>
  <si>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</si>
  <si>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</si>
  <si>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</si>
  <si>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</si>
  <si>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</si>
  <si>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</si>
  <si>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</si>
  <si>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</si>
  <si>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</si>
  <si>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</si>
  <si>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</si>
  <si>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</si>
  <si>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</si>
  <si>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</si>
  <si>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</si>
  <si>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</si>
  <si>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</si>
  <si>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</si>
  <si>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</si>
  <si>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</si>
  <si>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</si>
  <si>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</si>
  <si>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</si>
  <si>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</si>
  <si>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</si>
  <si>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</si>
  <si>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</si>
  <si>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</si>
  <si>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</si>
  <si>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</si>
  <si>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</si>
  <si>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</si>
  <si>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</si>
  <si>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</si>
  <si>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</si>
  <si>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</si>
  <si>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</si>
  <si>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</si>
  <si>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</si>
  <si>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</si>
  <si>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</si>
  <si>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</si>
  <si>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</si>
  <si>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</si>
  <si>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</si>
  <si>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</si>
  <si>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</si>
  <si>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</si>
  <si>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</si>
  <si>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</si>
  <si>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</si>
  <si>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</si>
  <si>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</si>
  <si>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</si>
  <si>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</si>
  <si>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</si>
  <si>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</si>
  <si>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</si>
  <si>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</si>
  <si>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</si>
  <si>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</si>
  <si>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</si>
  <si>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</si>
  <si>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</si>
  <si>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</si>
  <si>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</si>
  <si>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</si>
  <si>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</si>
  <si>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</si>
  <si>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</si>
  <si>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</si>
  <si>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</si>
  <si>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</si>
  <si>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</si>
  <si>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</si>
  <si>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</si>
  <si>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</si>
  <si>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</si>
  <si>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</si>
  <si>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</si>
  <si>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</si>
  <si>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</si>
  <si>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</si>
  <si>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</si>
  <si>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</si>
  <si>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</si>
  <si>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</si>
  <si>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</si>
  <si>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</si>
  <si>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</si>
  <si>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</si>
  <si>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</si>
  <si>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</si>
  <si>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</si>
  <si>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</si>
  <si>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</si>
  <si>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</si>
  <si>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</si>
  <si>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</si>
  <si>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</si>
  <si>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</si>
  <si>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</si>
  <si>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</si>
  <si>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</si>
  <si>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</si>
  <si>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</si>
  <si>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</si>
  <si>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</si>
  <si>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</si>
  <si>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</si>
  <si>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</si>
  <si>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</si>
  <si>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</si>
  <si>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</si>
  <si>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</si>
  <si>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</si>
  <si>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</si>
  <si>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</si>
  <si>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</si>
  <si>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</si>
  <si>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</si>
  <si>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</si>
  <si>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</si>
  <si>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</si>
  <si>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</si>
  <si>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</si>
  <si>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</si>
  <si>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</si>
  <si>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</si>
  <si>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</si>
  <si>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</si>
  <si>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</si>
  <si>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</si>
  <si>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</si>
  <si>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</si>
  <si>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</si>
  <si>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</si>
  <si>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</si>
  <si>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</si>
  <si>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</si>
  <si>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F257</t>
  </si>
  <si>
    <t>PaymentsOfDividendsCommonStock=68.8mm</t>
  </si>
  <si>
    <t>F285</t>
  </si>
  <si>
    <t>WeightedAverageNumberOfSharesOutstandingBasic=239.1mm</t>
  </si>
  <si>
    <t>G285</t>
  </si>
  <si>
    <t>WeightedAverageNumberOfSharesOutstandingBasic=242.6mm</t>
  </si>
  <si>
    <t>H285</t>
  </si>
  <si>
    <t>WeightedAverageNumberOfSharesOutstandingBasic=228.4mm</t>
  </si>
  <si>
    <t>I285</t>
  </si>
  <si>
    <t>WeightedAverageNumberOfSharesOutstandingBasic=232.6mm</t>
  </si>
  <si>
    <t>K285</t>
  </si>
  <si>
    <t>WeightedAverageNumberOfSharesOutstandingBasic=220mm</t>
  </si>
  <si>
    <t>L285</t>
  </si>
  <si>
    <t>M285</t>
  </si>
  <si>
    <t>WeightedAverageNumberOfSharesOutstandingBasic=214.5mm</t>
  </si>
  <si>
    <t>N285</t>
  </si>
  <si>
    <t>WeightedAverageNumberOfSharesOutstandingBasic=217.1mm</t>
  </si>
  <si>
    <t>P285</t>
  </si>
  <si>
    <t>Q285</t>
  </si>
  <si>
    <t>WeightedAverageNumberOfSharesOutstandingBasic=215.1mm</t>
  </si>
  <si>
    <t>R285</t>
  </si>
  <si>
    <t>WeightedAverageNumberOfSharesOutstandingBasic=215.3mm</t>
  </si>
  <si>
    <t>F287</t>
  </si>
  <si>
    <t>WeightedAverageNumberOfDilutedSharesOutstanding=248.1mm</t>
  </si>
  <si>
    <t>G287</t>
  </si>
  <si>
    <t>WeightedAverageNumberOfDilutedSharesOutstanding=245.4mm</t>
  </si>
  <si>
    <t>H287</t>
  </si>
  <si>
    <t>WeightedAverageNumberOfDilutedSharesOutstanding=232mm</t>
  </si>
  <si>
    <t>I287</t>
  </si>
  <si>
    <t>WeightedAverageNumberOfDilutedSharesOutstanding=236.6mm</t>
  </si>
  <si>
    <t>K287</t>
  </si>
  <si>
    <t>WeightedAverageNumberOfDilutedSharesOutstanding=225.3mm</t>
  </si>
  <si>
    <t>L287</t>
  </si>
  <si>
    <t>WeightedAverageNumberOfDilutedSharesOutstanding=226.1mm</t>
  </si>
  <si>
    <t>M287</t>
  </si>
  <si>
    <t>WeightedAverageNumberOfDilutedSharesOutstanding=221.7mm</t>
  </si>
  <si>
    <t>N287</t>
  </si>
  <si>
    <t>WeightedAverageNumberOfDilutedSharesOutstanding=223.7mm</t>
  </si>
  <si>
    <t>P287</t>
  </si>
  <si>
    <t>WeightedAverageNumberOfDilutedSharesOutstanding=222.4mm</t>
  </si>
  <si>
    <t>Q287</t>
  </si>
  <si>
    <t>WeightedAverageNumberOfDilutedSharesOutstanding=221.9mm</t>
  </si>
  <si>
    <t>R287</t>
  </si>
  <si>
    <t>WeightedAverageNumberOfDilutedSharesOutstanding=222.7mm</t>
  </si>
  <si>
    <t>S287</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</si>
  <si>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</si>
  <si>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</si>
  <si>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</si>
  <si>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</si>
  <si>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</si>
  <si>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</si>
  <si>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</si>
  <si>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</si>
  <si>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</si>
  <si>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</si>
  <si>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</si>
  <si>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M10</t>
  </si>
  <si>
    <t>N10</t>
  </si>
  <si>
    <t>P10</t>
  </si>
  <si>
    <t>Q10</t>
  </si>
  <si>
    <t>R10</t>
  </si>
  <si>
    <t>S10</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</si>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</sst>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5.783</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5.723</v>
      </c>
      <c r="F105" t="s">
        <v>1455</v>
      </c>
      <c r="G105" t="s">
        <v>1609</v>
      </c>
      <c r="H105" t="s">
        <v>1379</v>
      </c>
      <c r="I105" t="s">
        <v>1388</v>
      </c>
      <c r="J105" t="s">
        <v>1381</v>
      </c>
      <c r="K105" t="s">
        <v>1382</v>
      </c>
      <c r="L105" t="s">
        <v>1383</v>
      </c>
      <c r="M105" t="s">
        <v>1610</v>
      </c>
    </row>
    <row r="106" spans="1:13" x14ac:dyDescent="0.25">
      <c r="A106" t="s">
        <v>39</v>
      </c>
      <c r="B106" t="s">
        <v>1611</v>
      </c>
      <c r="C106" t="s">
        <v>273</v>
      </c>
      <c r="D106" t="s">
        <v>1390</v>
      </c>
      <c r="E106">
        <v>3.703</v>
      </c>
      <c r="F106" t="s">
        <v>1455</v>
      </c>
      <c r="G106" t="s">
        <v>1612</v>
      </c>
      <c r="H106" t="s">
        <v>1379</v>
      </c>
      <c r="I106" t="s">
        <v>1392</v>
      </c>
      <c r="J106" t="s">
        <v>1381</v>
      </c>
      <c r="K106" t="s">
        <v>1382</v>
      </c>
      <c r="L106" t="s">
        <v>1383</v>
      </c>
      <c r="M106" t="s">
        <v>1607</v>
      </c>
    </row>
    <row r="107" spans="1:13" x14ac:dyDescent="0.25">
      <c r="A107" t="s">
        <v>39</v>
      </c>
      <c r="B107" t="s">
        <v>1613</v>
      </c>
      <c r="C107" t="s">
        <v>273</v>
      </c>
      <c r="D107" t="s">
        <v>1398</v>
      </c>
      <c r="E107">
        <v>7.438</v>
      </c>
      <c r="F107" t="s">
        <v>1455</v>
      </c>
      <c r="G107" t="s">
        <v>1614</v>
      </c>
      <c r="H107" t="s">
        <v>1379</v>
      </c>
      <c r="I107" t="s">
        <v>1400</v>
      </c>
      <c r="J107" t="s">
        <v>1381</v>
      </c>
      <c r="K107" t="s">
        <v>1382</v>
      </c>
      <c r="L107" t="s">
        <v>1383</v>
      </c>
      <c r="M107" t="s">
        <v>1607</v>
      </c>
    </row>
    <row r="108" spans="1:13" x14ac:dyDescent="0.25">
      <c r="A108" t="s">
        <v>39</v>
      </c>
      <c r="B108" t="s">
        <v>1615</v>
      </c>
      <c r="C108" t="s">
        <v>273</v>
      </c>
      <c r="D108" t="s">
        <v>1402</v>
      </c>
      <c r="E108">
        <v>4.79</v>
      </c>
      <c r="F108" t="s">
        <v>1455</v>
      </c>
      <c r="G108" t="s">
        <v>1616</v>
      </c>
      <c r="H108" t="s">
        <v>1379</v>
      </c>
      <c r="I108" t="s">
        <v>1404</v>
      </c>
      <c r="J108" t="s">
        <v>1381</v>
      </c>
      <c r="K108" t="s">
        <v>1382</v>
      </c>
      <c r="L108" t="s">
        <v>1383</v>
      </c>
      <c r="M108" t="s">
        <v>1607</v>
      </c>
    </row>
    <row r="109" spans="1:13" x14ac:dyDescent="0.25">
      <c r="A109" t="s">
        <v>39</v>
      </c>
      <c r="B109" t="s">
        <v>1617</v>
      </c>
      <c r="C109" t="s">
        <v>273</v>
      </c>
      <c r="D109" t="s">
        <v>1406</v>
      </c>
      <c r="E109">
        <v>6.874</v>
      </c>
      <c r="F109" t="s">
        <v>1455</v>
      </c>
      <c r="G109" t="s">
        <v>1618</v>
      </c>
      <c r="H109" t="s">
        <v>1379</v>
      </c>
      <c r="I109" t="s">
        <v>1408</v>
      </c>
      <c r="J109" t="s">
        <v>1381</v>
      </c>
      <c r="K109" t="s">
        <v>1382</v>
      </c>
      <c r="L109" t="s">
        <v>1383</v>
      </c>
      <c r="M109" t="s">
        <v>1607</v>
      </c>
    </row>
    <row r="110" spans="1:13" x14ac:dyDescent="0.25">
      <c r="A110" t="s">
        <v>39</v>
      </c>
      <c r="B110" t="s">
        <v>1619</v>
      </c>
      <c r="C110" t="s">
        <v>273</v>
      </c>
      <c r="D110" t="s">
        <v>1414</v>
      </c>
      <c r="E110">
        <v>6.983</v>
      </c>
      <c r="F110" t="s">
        <v>1455</v>
      </c>
      <c r="G110" t="s">
        <v>1620</v>
      </c>
      <c r="H110" t="s">
        <v>1379</v>
      </c>
      <c r="I110" t="s">
        <v>1621</v>
      </c>
      <c r="J110" t="s">
        <v>1381</v>
      </c>
      <c r="K110" t="s">
        <v>1382</v>
      </c>
      <c r="L110" t="s">
        <v>1383</v>
      </c>
      <c r="M110" t="s">
        <v>1607</v>
      </c>
    </row>
    <row r="111" spans="1:13" x14ac:dyDescent="0.25">
      <c r="A111" t="s">
        <v>39</v>
      </c>
      <c r="B111" t="s">
        <v>1622</v>
      </c>
      <c r="C111" t="s">
        <v>273</v>
      </c>
      <c r="D111" t="s">
        <v>1418</v>
      </c>
      <c r="E111">
        <v>7.668</v>
      </c>
      <c r="F111" t="s">
        <v>1455</v>
      </c>
      <c r="G111" t="s">
        <v>1623</v>
      </c>
      <c r="H111" t="s">
        <v>1379</v>
      </c>
      <c r="I111" t="s">
        <v>1404</v>
      </c>
      <c r="J111" t="s">
        <v>1381</v>
      </c>
      <c r="K111" t="s">
        <v>1382</v>
      </c>
      <c r="L111" t="s">
        <v>1383</v>
      </c>
      <c r="M111" t="s">
        <v>1607</v>
      </c>
    </row>
    <row r="112" spans="1:13" x14ac:dyDescent="0.25">
      <c r="A112" t="s">
        <v>39</v>
      </c>
      <c r="B112" t="s">
        <v>1624</v>
      </c>
      <c r="C112" t="s">
        <v>273</v>
      </c>
      <c r="D112" t="s">
        <v>1420</v>
      </c>
      <c r="E112">
        <v>10.041</v>
      </c>
      <c r="F112" t="s">
        <v>1455</v>
      </c>
      <c r="G112" t="s">
        <v>1625</v>
      </c>
      <c r="H112" t="s">
        <v>1379</v>
      </c>
      <c r="I112" t="s">
        <v>1408</v>
      </c>
      <c r="J112" t="s">
        <v>1381</v>
      </c>
      <c r="K112" t="s">
        <v>1382</v>
      </c>
      <c r="L112" t="s">
        <v>1383</v>
      </c>
      <c r="M112" t="s">
        <v>1607</v>
      </c>
    </row>
    <row r="113" spans="1:13" x14ac:dyDescent="0.25">
      <c r="A113" t="s">
        <v>39</v>
      </c>
      <c r="B113" t="s">
        <v>1626</v>
      </c>
      <c r="C113" t="s">
        <v>317</v>
      </c>
      <c r="D113" t="s">
        <v>1376</v>
      </c>
      <c r="E113">
        <v>7508.508</v>
      </c>
      <c r="F113" t="s">
        <v>1377</v>
      </c>
      <c r="G113" t="s">
        <v>1627</v>
      </c>
      <c r="H113" t="s">
        <v>1628</v>
      </c>
      <c r="I113" t="s">
        <v>1629</v>
      </c>
      <c r="J113" t="s">
        <v>1381</v>
      </c>
      <c r="K113" t="s">
        <v>1382</v>
      </c>
      <c r="L113" t="s">
        <v>1383</v>
      </c>
      <c r="M113" t="s">
        <v>1630</v>
      </c>
    </row>
    <row r="114" spans="1:13" x14ac:dyDescent="0.25">
      <c r="A114" t="s">
        <v>39</v>
      </c>
      <c r="B114" t="s">
        <v>1631</v>
      </c>
      <c r="C114" t="s">
        <v>317</v>
      </c>
      <c r="D114" t="s">
        <v>1386</v>
      </c>
      <c r="E114">
        <v>8004.88</v>
      </c>
      <c r="F114" t="s">
        <v>1377</v>
      </c>
      <c r="G114" t="s">
        <v>1632</v>
      </c>
      <c r="H114" t="s">
        <v>1628</v>
      </c>
      <c r="I114" t="s">
        <v>1633</v>
      </c>
      <c r="J114" t="s">
        <v>1381</v>
      </c>
      <c r="K114" t="s">
        <v>1382</v>
      </c>
      <c r="L114" t="s">
        <v>1383</v>
      </c>
      <c r="M114" t="s">
        <v>1630</v>
      </c>
    </row>
    <row r="115" spans="1:13" x14ac:dyDescent="0.25">
      <c r="A115" t="s">
        <v>39</v>
      </c>
      <c r="B115" t="s">
        <v>1634</v>
      </c>
      <c r="C115" t="s">
        <v>317</v>
      </c>
      <c r="D115" t="s">
        <v>1390</v>
      </c>
      <c r="E115">
        <v>8817.357</v>
      </c>
      <c r="F115" t="s">
        <v>1377</v>
      </c>
      <c r="G115" t="s">
        <v>1635</v>
      </c>
      <c r="H115" t="s">
        <v>1628</v>
      </c>
      <c r="I115" t="s">
        <v>1636</v>
      </c>
      <c r="J115" t="s">
        <v>1381</v>
      </c>
      <c r="K115" t="s">
        <v>1382</v>
      </c>
      <c r="L115" t="s">
        <v>1383</v>
      </c>
      <c r="M115" t="s">
        <v>1630</v>
      </c>
    </row>
    <row r="116" spans="1:13" x14ac:dyDescent="0.25">
      <c r="A116" t="s">
        <v>39</v>
      </c>
      <c r="B116" t="s">
        <v>1637</v>
      </c>
      <c r="C116" t="s">
        <v>317</v>
      </c>
      <c r="D116" t="s">
        <v>1394</v>
      </c>
      <c r="E116">
        <v>8526.363</v>
      </c>
      <c r="F116" t="s">
        <v>1377</v>
      </c>
      <c r="G116" t="s">
        <v>1638</v>
      </c>
      <c r="H116" t="s">
        <v>1628</v>
      </c>
      <c r="I116" t="s">
        <v>1639</v>
      </c>
      <c r="J116" t="s">
        <v>1381</v>
      </c>
      <c r="K116" t="s">
        <v>1382</v>
      </c>
      <c r="L116" t="s">
        <v>1383</v>
      </c>
      <c r="M116" t="s">
        <v>1630</v>
      </c>
    </row>
    <row r="117" spans="1:13" x14ac:dyDescent="0.25">
      <c r="A117" t="s">
        <v>39</v>
      </c>
      <c r="B117" t="s">
        <v>1640</v>
      </c>
      <c r="C117" t="s">
        <v>317</v>
      </c>
      <c r="D117" t="s">
        <v>1398</v>
      </c>
      <c r="E117">
        <v>7615.691</v>
      </c>
      <c r="F117" t="s">
        <v>1377</v>
      </c>
      <c r="G117" t="s">
        <v>1641</v>
      </c>
      <c r="H117" t="s">
        <v>1628</v>
      </c>
      <c r="I117" t="s">
        <v>1380</v>
      </c>
      <c r="J117" t="s">
        <v>1381</v>
      </c>
      <c r="K117" t="s">
        <v>1382</v>
      </c>
      <c r="L117" t="s">
        <v>1383</v>
      </c>
      <c r="M117" t="s">
        <v>1630</v>
      </c>
    </row>
    <row r="118" spans="1:13" x14ac:dyDescent="0.25">
      <c r="A118" t="s">
        <v>39</v>
      </c>
      <c r="B118" t="s">
        <v>1642</v>
      </c>
      <c r="C118" t="s">
        <v>317</v>
      </c>
      <c r="D118" t="s">
        <v>1402</v>
      </c>
      <c r="E118">
        <v>10841.622</v>
      </c>
      <c r="F118" t="s">
        <v>1377</v>
      </c>
      <c r="G118" t="s">
        <v>1643</v>
      </c>
      <c r="H118" t="s">
        <v>1628</v>
      </c>
      <c r="I118" t="s">
        <v>1388</v>
      </c>
      <c r="J118" t="s">
        <v>1381</v>
      </c>
      <c r="K118" t="s">
        <v>1382</v>
      </c>
      <c r="L118" t="s">
        <v>1383</v>
      </c>
      <c r="M118" t="s">
        <v>1630</v>
      </c>
    </row>
    <row r="119" spans="1:13" x14ac:dyDescent="0.25">
      <c r="A119" t="s">
        <v>39</v>
      </c>
      <c r="B119" t="s">
        <v>1644</v>
      </c>
      <c r="C119" t="s">
        <v>317</v>
      </c>
      <c r="D119" t="s">
        <v>1406</v>
      </c>
      <c r="E119">
        <v>10573.471</v>
      </c>
      <c r="F119" t="s">
        <v>1377</v>
      </c>
      <c r="G119" t="s">
        <v>1645</v>
      </c>
      <c r="H119" t="s">
        <v>1628</v>
      </c>
      <c r="I119" t="s">
        <v>1392</v>
      </c>
      <c r="J119" t="s">
        <v>1381</v>
      </c>
      <c r="K119" t="s">
        <v>1382</v>
      </c>
      <c r="L119" t="s">
        <v>1383</v>
      </c>
      <c r="M119" t="s">
        <v>1630</v>
      </c>
    </row>
    <row r="120" spans="1:13" x14ac:dyDescent="0.25">
      <c r="A120" t="s">
        <v>39</v>
      </c>
      <c r="B120" t="s">
        <v>1646</v>
      </c>
      <c r="C120" t="s">
        <v>317</v>
      </c>
      <c r="D120" t="s">
        <v>1410</v>
      </c>
      <c r="E120">
        <v>12153.414</v>
      </c>
      <c r="F120" t="s">
        <v>1377</v>
      </c>
      <c r="G120" t="s">
        <v>1647</v>
      </c>
      <c r="H120" t="s">
        <v>1628</v>
      </c>
      <c r="I120" t="s">
        <v>1464</v>
      </c>
      <c r="J120" t="s">
        <v>1381</v>
      </c>
      <c r="K120" t="s">
        <v>1382</v>
      </c>
      <c r="L120" t="s">
        <v>1383</v>
      </c>
      <c r="M120" t="s">
        <v>1630</v>
      </c>
    </row>
    <row r="121" spans="1:13" x14ac:dyDescent="0.25">
      <c r="A121" t="s">
        <v>39</v>
      </c>
      <c r="B121" t="s">
        <v>1648</v>
      </c>
      <c r="C121" t="s">
        <v>317</v>
      </c>
      <c r="D121" t="s">
        <v>1414</v>
      </c>
      <c r="E121">
        <v>11176.343</v>
      </c>
      <c r="F121" t="s">
        <v>1377</v>
      </c>
      <c r="G121" t="s">
        <v>1649</v>
      </c>
      <c r="H121" t="s">
        <v>1628</v>
      </c>
      <c r="I121" t="s">
        <v>1400</v>
      </c>
      <c r="J121" t="s">
        <v>1381</v>
      </c>
      <c r="K121" t="s">
        <v>1382</v>
      </c>
      <c r="L121" t="s">
        <v>1383</v>
      </c>
      <c r="M121" t="s">
        <v>1630</v>
      </c>
    </row>
    <row r="122" spans="1:13" x14ac:dyDescent="0.25">
      <c r="A122" t="s">
        <v>39</v>
      </c>
      <c r="B122" t="s">
        <v>1650</v>
      </c>
      <c r="C122" t="s">
        <v>317</v>
      </c>
      <c r="D122" t="s">
        <v>1418</v>
      </c>
      <c r="E122">
        <v>11260.403</v>
      </c>
      <c r="F122" t="s">
        <v>1377</v>
      </c>
      <c r="G122" t="s">
        <v>1651</v>
      </c>
      <c r="H122" t="s">
        <v>1628</v>
      </c>
      <c r="I122" t="s">
        <v>1404</v>
      </c>
      <c r="J122" t="s">
        <v>1381</v>
      </c>
      <c r="K122" t="s">
        <v>1382</v>
      </c>
      <c r="L122" t="s">
        <v>1383</v>
      </c>
      <c r="M122" t="s">
        <v>1630</v>
      </c>
    </row>
    <row r="123" spans="1:13" x14ac:dyDescent="0.25">
      <c r="A123" t="s">
        <v>39</v>
      </c>
      <c r="B123" t="s">
        <v>1652</v>
      </c>
      <c r="C123" t="s">
        <v>317</v>
      </c>
      <c r="D123" t="s">
        <v>1420</v>
      </c>
      <c r="E123">
        <v>11458.472</v>
      </c>
      <c r="F123" t="s">
        <v>1377</v>
      </c>
      <c r="G123" t="s">
        <v>1653</v>
      </c>
      <c r="H123" t="s">
        <v>1628</v>
      </c>
      <c r="I123" t="s">
        <v>1408</v>
      </c>
      <c r="J123" t="s">
        <v>1381</v>
      </c>
      <c r="K123" t="s">
        <v>1382</v>
      </c>
      <c r="L123" t="s">
        <v>1383</v>
      </c>
      <c r="M123" t="s">
        <v>1630</v>
      </c>
    </row>
    <row r="124" spans="1:13" x14ac:dyDescent="0.25">
      <c r="A124" t="s">
        <v>39</v>
      </c>
      <c r="B124" t="s">
        <v>1654</v>
      </c>
      <c r="C124" t="s">
        <v>317</v>
      </c>
      <c r="D124" t="s">
        <v>1423</v>
      </c>
      <c r="E124">
        <v>14043.889</v>
      </c>
      <c r="F124" t="s">
        <v>1377</v>
      </c>
      <c r="G124" t="s">
        <v>1655</v>
      </c>
      <c r="H124" t="s">
        <v>1628</v>
      </c>
      <c r="I124" t="s">
        <v>1464</v>
      </c>
      <c r="J124" t="s">
        <v>1381</v>
      </c>
      <c r="K124" t="s">
        <v>1382</v>
      </c>
      <c r="L124" t="s">
        <v>1383</v>
      </c>
      <c r="M124" t="s">
        <v>1630</v>
      </c>
    </row>
    <row r="125" spans="1:13" x14ac:dyDescent="0.25">
      <c r="A125" t="s">
        <v>39</v>
      </c>
      <c r="B125" t="s">
        <v>1656</v>
      </c>
      <c r="C125" t="s">
        <v>318</v>
      </c>
      <c r="D125" t="s">
        <v>1376</v>
      </c>
      <c r="E125">
        <v>3747.893</v>
      </c>
      <c r="F125" t="s">
        <v>1455</v>
      </c>
      <c r="G125" t="s">
        <v>1657</v>
      </c>
      <c r="H125" t="s">
        <v>1628</v>
      </c>
      <c r="I125" t="s">
        <v>1629</v>
      </c>
      <c r="J125" t="s">
        <v>1381</v>
      </c>
      <c r="K125" t="s">
        <v>1382</v>
      </c>
      <c r="L125" t="s">
        <v>1383</v>
      </c>
      <c r="M125" t="s">
        <v>1658</v>
      </c>
    </row>
    <row r="126" spans="1:13" x14ac:dyDescent="0.25">
      <c r="A126" t="s">
        <v>39</v>
      </c>
      <c r="B126" t="s">
        <v>1659</v>
      </c>
      <c r="C126" t="s">
        <v>318</v>
      </c>
      <c r="D126" t="s">
        <v>1386</v>
      </c>
      <c r="E126">
        <v>3372.051</v>
      </c>
      <c r="F126" t="s">
        <v>1455</v>
      </c>
      <c r="G126" t="s">
        <v>1660</v>
      </c>
      <c r="H126" t="s">
        <v>1628</v>
      </c>
      <c r="I126" t="s">
        <v>1633</v>
      </c>
      <c r="J126" t="s">
        <v>1381</v>
      </c>
      <c r="K126" t="s">
        <v>1382</v>
      </c>
      <c r="L126" t="s">
        <v>1383</v>
      </c>
      <c r="M126" t="s">
        <v>1658</v>
      </c>
    </row>
    <row r="127" spans="1:13" x14ac:dyDescent="0.25">
      <c r="A127" t="s">
        <v>39</v>
      </c>
      <c r="B127" t="s">
        <v>1661</v>
      </c>
      <c r="C127" t="s">
        <v>318</v>
      </c>
      <c r="D127" t="s">
        <v>1390</v>
      </c>
      <c r="E127">
        <v>3916.626</v>
      </c>
      <c r="F127" t="s">
        <v>1455</v>
      </c>
      <c r="G127" t="s">
        <v>1662</v>
      </c>
      <c r="H127" t="s">
        <v>1628</v>
      </c>
      <c r="I127" t="s">
        <v>1636</v>
      </c>
      <c r="J127" t="s">
        <v>1381</v>
      </c>
      <c r="K127" t="s">
        <v>1382</v>
      </c>
      <c r="L127" t="s">
        <v>1383</v>
      </c>
      <c r="M127" t="s">
        <v>1658</v>
      </c>
    </row>
    <row r="128" spans="1:13" x14ac:dyDescent="0.25">
      <c r="A128" t="s">
        <v>39</v>
      </c>
      <c r="B128" t="s">
        <v>1663</v>
      </c>
      <c r="C128" t="s">
        <v>318</v>
      </c>
      <c r="D128" t="s">
        <v>1394</v>
      </c>
      <c r="E128">
        <v>4716.299</v>
      </c>
      <c r="F128" t="s">
        <v>1455</v>
      </c>
      <c r="G128" t="s">
        <v>1664</v>
      </c>
      <c r="H128" t="s">
        <v>1628</v>
      </c>
      <c r="I128" t="s">
        <v>1639</v>
      </c>
      <c r="J128" t="s">
        <v>1381</v>
      </c>
      <c r="K128" t="s">
        <v>1382</v>
      </c>
      <c r="L128" t="s">
        <v>1383</v>
      </c>
      <c r="M128" t="s">
        <v>1658</v>
      </c>
    </row>
    <row r="129" spans="1:13" x14ac:dyDescent="0.25">
      <c r="A129" t="s">
        <v>39</v>
      </c>
      <c r="B129" t="s">
        <v>1665</v>
      </c>
      <c r="C129" t="s">
        <v>318</v>
      </c>
      <c r="D129" t="s">
        <v>1398</v>
      </c>
      <c r="E129">
        <v>5480.747</v>
      </c>
      <c r="F129" t="s">
        <v>1455</v>
      </c>
      <c r="G129" t="s">
        <v>1666</v>
      </c>
      <c r="H129" t="s">
        <v>1628</v>
      </c>
      <c r="I129" t="s">
        <v>1380</v>
      </c>
      <c r="J129" t="s">
        <v>1381</v>
      </c>
      <c r="K129" t="s">
        <v>1382</v>
      </c>
      <c r="L129" t="s">
        <v>1383</v>
      </c>
      <c r="M129" t="s">
        <v>1658</v>
      </c>
    </row>
    <row r="130" spans="1:13" x14ac:dyDescent="0.25">
      <c r="A130" t="s">
        <v>39</v>
      </c>
      <c r="B130" t="s">
        <v>1667</v>
      </c>
      <c r="C130" t="s">
        <v>318</v>
      </c>
      <c r="D130" t="s">
        <v>1402</v>
      </c>
      <c r="E130">
        <v>6114.367</v>
      </c>
      <c r="F130" t="s">
        <v>1455</v>
      </c>
      <c r="G130" t="s">
        <v>1668</v>
      </c>
      <c r="H130" t="s">
        <v>1628</v>
      </c>
      <c r="I130" t="s">
        <v>1388</v>
      </c>
      <c r="J130" t="s">
        <v>1381</v>
      </c>
      <c r="K130" t="s">
        <v>1382</v>
      </c>
      <c r="L130" t="s">
        <v>1383</v>
      </c>
      <c r="M130" t="s">
        <v>1658</v>
      </c>
    </row>
    <row r="131" spans="1:13" x14ac:dyDescent="0.25">
      <c r="A131" t="s">
        <v>39</v>
      </c>
      <c r="B131" t="s">
        <v>1669</v>
      </c>
      <c r="C131" t="s">
        <v>318</v>
      </c>
      <c r="D131" t="s">
        <v>1406</v>
      </c>
      <c r="E131">
        <v>5305.207</v>
      </c>
      <c r="F131" t="s">
        <v>1455</v>
      </c>
      <c r="G131" t="s">
        <v>1670</v>
      </c>
      <c r="H131" t="s">
        <v>1628</v>
      </c>
      <c r="I131" t="s">
        <v>1392</v>
      </c>
      <c r="J131" t="s">
        <v>1381</v>
      </c>
      <c r="K131" t="s">
        <v>1382</v>
      </c>
      <c r="L131" t="s">
        <v>1383</v>
      </c>
      <c r="M131" t="s">
        <v>1658</v>
      </c>
    </row>
    <row r="132" spans="1:13" x14ac:dyDescent="0.25">
      <c r="A132" t="s">
        <v>39</v>
      </c>
      <c r="B132" t="s">
        <v>1671</v>
      </c>
      <c r="C132" t="s">
        <v>318</v>
      </c>
      <c r="D132" t="s">
        <v>1410</v>
      </c>
      <c r="E132">
        <v>5824.844</v>
      </c>
      <c r="F132" t="s">
        <v>1455</v>
      </c>
      <c r="G132" t="s">
        <v>1672</v>
      </c>
      <c r="H132" t="s">
        <v>1628</v>
      </c>
      <c r="I132" t="s">
        <v>1464</v>
      </c>
      <c r="J132" t="s">
        <v>1381</v>
      </c>
      <c r="K132" t="s">
        <v>1382</v>
      </c>
      <c r="L132" t="s">
        <v>1383</v>
      </c>
      <c r="M132" t="s">
        <v>1658</v>
      </c>
    </row>
    <row r="133" spans="1:13" x14ac:dyDescent="0.25">
      <c r="A133" t="s">
        <v>39</v>
      </c>
      <c r="B133" t="s">
        <v>1673</v>
      </c>
      <c r="C133" t="s">
        <v>318</v>
      </c>
      <c r="D133" t="s">
        <v>1414</v>
      </c>
      <c r="E133">
        <v>6703.258</v>
      </c>
      <c r="F133" t="s">
        <v>1455</v>
      </c>
      <c r="G133" t="s">
        <v>1674</v>
      </c>
      <c r="H133" t="s">
        <v>1628</v>
      </c>
      <c r="I133" t="s">
        <v>1400</v>
      </c>
      <c r="J133" t="s">
        <v>1381</v>
      </c>
      <c r="K133" t="s">
        <v>1382</v>
      </c>
      <c r="L133" t="s">
        <v>1383</v>
      </c>
      <c r="M133" t="s">
        <v>1658</v>
      </c>
    </row>
    <row r="134" spans="1:13" x14ac:dyDescent="0.25">
      <c r="A134" t="s">
        <v>39</v>
      </c>
      <c r="B134" t="s">
        <v>1675</v>
      </c>
      <c r="C134" t="s">
        <v>318</v>
      </c>
      <c r="D134" t="s">
        <v>1418</v>
      </c>
      <c r="E134">
        <v>6225.189</v>
      </c>
      <c r="F134" t="s">
        <v>1455</v>
      </c>
      <c r="G134" t="s">
        <v>1676</v>
      </c>
      <c r="H134" t="s">
        <v>1628</v>
      </c>
      <c r="I134" t="s">
        <v>1404</v>
      </c>
      <c r="J134" t="s">
        <v>1381</v>
      </c>
      <c r="K134" t="s">
        <v>1382</v>
      </c>
      <c r="L134" t="s">
        <v>1383</v>
      </c>
      <c r="M134" t="s">
        <v>1658</v>
      </c>
    </row>
    <row r="135" spans="1:13" x14ac:dyDescent="0.25">
      <c r="A135" t="s">
        <v>39</v>
      </c>
      <c r="B135" t="s">
        <v>1677</v>
      </c>
      <c r="C135" t="s">
        <v>318</v>
      </c>
      <c r="D135" t="s">
        <v>1420</v>
      </c>
      <c r="E135">
        <v>6627.64</v>
      </c>
      <c r="F135" t="s">
        <v>1455</v>
      </c>
      <c r="G135" t="s">
        <v>1678</v>
      </c>
      <c r="H135" t="s">
        <v>1628</v>
      </c>
      <c r="I135" t="s">
        <v>1408</v>
      </c>
      <c r="J135" t="s">
        <v>1381</v>
      </c>
      <c r="K135" t="s">
        <v>1382</v>
      </c>
      <c r="L135" t="s">
        <v>1383</v>
      </c>
      <c r="M135" t="s">
        <v>1658</v>
      </c>
    </row>
    <row r="136" spans="1:13" x14ac:dyDescent="0.25">
      <c r="A136" t="s">
        <v>39</v>
      </c>
      <c r="B136" t="s">
        <v>1679</v>
      </c>
      <c r="C136" t="s">
        <v>318</v>
      </c>
      <c r="D136" t="s">
        <v>1423</v>
      </c>
      <c r="E136">
        <v>8556.388</v>
      </c>
      <c r="F136" t="s">
        <v>1455</v>
      </c>
      <c r="G136" t="s">
        <v>1680</v>
      </c>
      <c r="H136" t="s">
        <v>1628</v>
      </c>
      <c r="I136" t="s">
        <v>1464</v>
      </c>
      <c r="J136" t="s">
        <v>1381</v>
      </c>
      <c r="K136" t="s">
        <v>1382</v>
      </c>
      <c r="L136" t="s">
        <v>1383</v>
      </c>
      <c r="M136" t="s">
        <v>1681</v>
      </c>
    </row>
    <row r="137" spans="1:13" x14ac:dyDescent="0.25">
      <c r="A137" t="s">
        <v>39</v>
      </c>
      <c r="B137" t="s">
        <v>1682</v>
      </c>
      <c r="C137" t="s">
        <v>320</v>
      </c>
      <c r="D137" t="s">
        <v>1376</v>
      </c>
      <c r="E137">
        <v>34534.191</v>
      </c>
      <c r="F137" t="s">
        <v>1455</v>
      </c>
      <c r="G137" t="s">
        <v>1683</v>
      </c>
      <c r="H137" t="s">
        <v>1628</v>
      </c>
      <c r="I137" t="s">
        <v>1629</v>
      </c>
      <c r="J137" t="s">
        <v>1381</v>
      </c>
      <c r="K137" t="s">
        <v>1382</v>
      </c>
      <c r="L137" t="s">
        <v>1383</v>
      </c>
      <c r="M137" t="s">
        <v>1684</v>
      </c>
    </row>
    <row r="138" spans="1:13" x14ac:dyDescent="0.25">
      <c r="A138" t="s">
        <v>39</v>
      </c>
      <c r="B138" t="s">
        <v>1685</v>
      </c>
      <c r="C138" t="s">
        <v>320</v>
      </c>
      <c r="D138" t="s">
        <v>1386</v>
      </c>
      <c r="E138">
        <v>36089.956</v>
      </c>
      <c r="F138" t="s">
        <v>1455</v>
      </c>
      <c r="G138" t="s">
        <v>1686</v>
      </c>
      <c r="H138" t="s">
        <v>1628</v>
      </c>
      <c r="I138" t="s">
        <v>1633</v>
      </c>
      <c r="J138" t="s">
        <v>1381</v>
      </c>
      <c r="K138" t="s">
        <v>1382</v>
      </c>
      <c r="L138" t="s">
        <v>1383</v>
      </c>
      <c r="M138" t="s">
        <v>1684</v>
      </c>
    </row>
    <row r="139" spans="1:13" x14ac:dyDescent="0.25">
      <c r="A139" t="s">
        <v>39</v>
      </c>
      <c r="B139" t="s">
        <v>1687</v>
      </c>
      <c r="C139" t="s">
        <v>320</v>
      </c>
      <c r="D139" t="s">
        <v>1390</v>
      </c>
      <c r="E139">
        <v>37089.349</v>
      </c>
      <c r="F139" t="s">
        <v>1455</v>
      </c>
      <c r="G139" t="s">
        <v>1688</v>
      </c>
      <c r="H139" t="s">
        <v>1628</v>
      </c>
      <c r="I139" t="s">
        <v>1636</v>
      </c>
      <c r="J139" t="s">
        <v>1381</v>
      </c>
      <c r="K139" t="s">
        <v>1382</v>
      </c>
      <c r="L139" t="s">
        <v>1383</v>
      </c>
      <c r="M139" t="s">
        <v>1684</v>
      </c>
    </row>
    <row r="140" spans="1:13" x14ac:dyDescent="0.25">
      <c r="A140" t="s">
        <v>39</v>
      </c>
      <c r="B140" t="s">
        <v>1689</v>
      </c>
      <c r="C140" t="s">
        <v>320</v>
      </c>
      <c r="D140" t="s">
        <v>1394</v>
      </c>
      <c r="E140">
        <v>37552.851</v>
      </c>
      <c r="F140" t="s">
        <v>1455</v>
      </c>
      <c r="G140" t="s">
        <v>1690</v>
      </c>
      <c r="H140" t="s">
        <v>1628</v>
      </c>
      <c r="I140" t="s">
        <v>1639</v>
      </c>
      <c r="J140" t="s">
        <v>1381</v>
      </c>
      <c r="K140" t="s">
        <v>1382</v>
      </c>
      <c r="L140" t="s">
        <v>1383</v>
      </c>
      <c r="M140" t="s">
        <v>1691</v>
      </c>
    </row>
    <row r="141" spans="1:13" x14ac:dyDescent="0.25">
      <c r="A141" t="s">
        <v>39</v>
      </c>
      <c r="B141" t="s">
        <v>1692</v>
      </c>
      <c r="C141" t="s">
        <v>320</v>
      </c>
      <c r="D141" t="s">
        <v>1398</v>
      </c>
      <c r="E141">
        <v>40121.199</v>
      </c>
      <c r="F141" t="s">
        <v>1455</v>
      </c>
      <c r="G141" t="s">
        <v>1693</v>
      </c>
      <c r="H141" t="s">
        <v>1628</v>
      </c>
      <c r="I141" t="s">
        <v>1380</v>
      </c>
      <c r="J141" t="s">
        <v>1381</v>
      </c>
      <c r="K141" t="s">
        <v>1382</v>
      </c>
      <c r="L141" t="s">
        <v>1383</v>
      </c>
      <c r="M141" t="s">
        <v>1691</v>
      </c>
    </row>
    <row r="142" spans="1:13" x14ac:dyDescent="0.25">
      <c r="A142" t="s">
        <v>39</v>
      </c>
      <c r="B142" t="s">
        <v>1694</v>
      </c>
      <c r="C142" t="s">
        <v>320</v>
      </c>
      <c r="D142" t="s">
        <v>1402</v>
      </c>
      <c r="E142">
        <v>39184.116</v>
      </c>
      <c r="F142" t="s">
        <v>1455</v>
      </c>
      <c r="G142" t="s">
        <v>1695</v>
      </c>
      <c r="H142" t="s">
        <v>1628</v>
      </c>
      <c r="I142" t="s">
        <v>1388</v>
      </c>
      <c r="J142" t="s">
        <v>1381</v>
      </c>
      <c r="K142" t="s">
        <v>1382</v>
      </c>
      <c r="L142" t="s">
        <v>1383</v>
      </c>
      <c r="M142" t="s">
        <v>1691</v>
      </c>
    </row>
    <row r="143" spans="1:13" x14ac:dyDescent="0.25">
      <c r="A143" t="s">
        <v>39</v>
      </c>
      <c r="B143" t="s">
        <v>1696</v>
      </c>
      <c r="C143" t="s">
        <v>320</v>
      </c>
      <c r="D143" t="s">
        <v>1406</v>
      </c>
      <c r="E143">
        <v>41070.805</v>
      </c>
      <c r="F143" t="s">
        <v>1455</v>
      </c>
      <c r="G143" t="s">
        <v>1697</v>
      </c>
      <c r="H143" t="s">
        <v>1628</v>
      </c>
      <c r="I143" t="s">
        <v>1392</v>
      </c>
      <c r="J143" t="s">
        <v>1381</v>
      </c>
      <c r="K143" t="s">
        <v>1382</v>
      </c>
      <c r="L143" t="s">
        <v>1383</v>
      </c>
      <c r="M143" t="s">
        <v>1691</v>
      </c>
    </row>
    <row r="144" spans="1:13" x14ac:dyDescent="0.25">
      <c r="A144" t="s">
        <v>39</v>
      </c>
      <c r="B144" t="s">
        <v>1698</v>
      </c>
      <c r="C144" t="s">
        <v>320</v>
      </c>
      <c r="D144" t="s">
        <v>1410</v>
      </c>
      <c r="E144">
        <v>40235.206</v>
      </c>
      <c r="F144" t="s">
        <v>1455</v>
      </c>
      <c r="G144" t="s">
        <v>1699</v>
      </c>
      <c r="H144" t="s">
        <v>1628</v>
      </c>
      <c r="I144" t="s">
        <v>1464</v>
      </c>
      <c r="J144" t="s">
        <v>1381</v>
      </c>
      <c r="K144" t="s">
        <v>1382</v>
      </c>
      <c r="L144" t="s">
        <v>1383</v>
      </c>
      <c r="M144" t="s">
        <v>1691</v>
      </c>
    </row>
    <row r="145" spans="1:13" x14ac:dyDescent="0.25">
      <c r="A145" t="s">
        <v>39</v>
      </c>
      <c r="B145" t="s">
        <v>1700</v>
      </c>
      <c r="C145" t="s">
        <v>320</v>
      </c>
      <c r="D145" t="s">
        <v>1414</v>
      </c>
      <c r="E145">
        <v>45950.985</v>
      </c>
      <c r="F145" t="s">
        <v>1455</v>
      </c>
      <c r="G145" t="s">
        <v>1701</v>
      </c>
      <c r="H145" t="s">
        <v>1628</v>
      </c>
      <c r="I145" t="s">
        <v>1400</v>
      </c>
      <c r="J145" t="s">
        <v>1381</v>
      </c>
      <c r="K145" t="s">
        <v>1382</v>
      </c>
      <c r="L145" t="s">
        <v>1383</v>
      </c>
      <c r="M145" t="s">
        <v>1691</v>
      </c>
    </row>
    <row r="146" spans="1:13" x14ac:dyDescent="0.25">
      <c r="A146" t="s">
        <v>39</v>
      </c>
      <c r="B146" t="s">
        <v>1702</v>
      </c>
      <c r="C146" t="s">
        <v>320</v>
      </c>
      <c r="D146" t="s">
        <v>1418</v>
      </c>
      <c r="E146">
        <v>43438.891</v>
      </c>
      <c r="F146" t="s">
        <v>1455</v>
      </c>
      <c r="G146" t="s">
        <v>1703</v>
      </c>
      <c r="H146" t="s">
        <v>1628</v>
      </c>
      <c r="I146" t="s">
        <v>1404</v>
      </c>
      <c r="J146" t="s">
        <v>1381</v>
      </c>
      <c r="K146" t="s">
        <v>1382</v>
      </c>
      <c r="L146" t="s">
        <v>1383</v>
      </c>
      <c r="M146" t="s">
        <v>1691</v>
      </c>
    </row>
    <row r="147" spans="1:13" x14ac:dyDescent="0.25">
      <c r="A147" t="s">
        <v>39</v>
      </c>
      <c r="B147" t="s">
        <v>1704</v>
      </c>
      <c r="C147" t="s">
        <v>320</v>
      </c>
      <c r="D147" t="s">
        <v>1420</v>
      </c>
      <c r="E147">
        <v>44833.717</v>
      </c>
      <c r="F147" t="s">
        <v>1455</v>
      </c>
      <c r="G147" t="s">
        <v>1705</v>
      </c>
      <c r="H147" t="s">
        <v>1628</v>
      </c>
      <c r="I147" t="s">
        <v>1408</v>
      </c>
      <c r="J147" t="s">
        <v>1381</v>
      </c>
      <c r="K147" t="s">
        <v>1382</v>
      </c>
      <c r="L147" t="s">
        <v>1383</v>
      </c>
      <c r="M147" t="s">
        <v>1691</v>
      </c>
    </row>
    <row r="148" spans="1:13" x14ac:dyDescent="0.25">
      <c r="A148" t="s">
        <v>39</v>
      </c>
      <c r="B148" t="s">
        <v>1706</v>
      </c>
      <c r="C148" t="s">
        <v>320</v>
      </c>
      <c r="D148" t="s">
        <v>1423</v>
      </c>
      <c r="E148">
        <v>36777.958</v>
      </c>
      <c r="F148" t="s">
        <v>1455</v>
      </c>
      <c r="G148" t="s">
        <v>1707</v>
      </c>
      <c r="H148" t="s">
        <v>1628</v>
      </c>
      <c r="I148" t="s">
        <v>1464</v>
      </c>
      <c r="J148" t="s">
        <v>1381</v>
      </c>
      <c r="K148" t="s">
        <v>1382</v>
      </c>
      <c r="L148" t="s">
        <v>1383</v>
      </c>
      <c r="M148" t="s">
        <v>1708</v>
      </c>
    </row>
    <row r="149" spans="1:13" x14ac:dyDescent="0.25">
      <c r="A149" t="s">
        <v>39</v>
      </c>
      <c r="B149" t="s">
        <v>1709</v>
      </c>
      <c r="C149" t="s">
        <v>322</v>
      </c>
      <c r="D149" t="s">
        <v>1376</v>
      </c>
      <c r="E149">
        <v>904.064</v>
      </c>
      <c r="F149" t="s">
        <v>1455</v>
      </c>
      <c r="G149" t="s">
        <v>1710</v>
      </c>
      <c r="H149" t="s">
        <v>1628</v>
      </c>
      <c r="I149" t="s">
        <v>1629</v>
      </c>
      <c r="J149" t="s">
        <v>1381</v>
      </c>
      <c r="K149" t="s">
        <v>1382</v>
      </c>
      <c r="L149" t="s">
        <v>1383</v>
      </c>
      <c r="M149" t="s">
        <v>1711</v>
      </c>
    </row>
    <row r="150" spans="1:13" x14ac:dyDescent="0.25">
      <c r="A150" t="s">
        <v>39</v>
      </c>
      <c r="B150" t="s">
        <v>1712</v>
      </c>
      <c r="C150" t="s">
        <v>322</v>
      </c>
      <c r="D150" t="s">
        <v>1386</v>
      </c>
      <c r="E150">
        <v>907.234</v>
      </c>
      <c r="F150" t="s">
        <v>1455</v>
      </c>
      <c r="G150" t="s">
        <v>1713</v>
      </c>
      <c r="H150" t="s">
        <v>1628</v>
      </c>
      <c r="I150" t="s">
        <v>1633</v>
      </c>
      <c r="J150" t="s">
        <v>1381</v>
      </c>
      <c r="K150" t="s">
        <v>1382</v>
      </c>
      <c r="L150" t="s">
        <v>1383</v>
      </c>
      <c r="M150" t="s">
        <v>1711</v>
      </c>
    </row>
    <row r="151" spans="1:13" x14ac:dyDescent="0.25">
      <c r="A151" t="s">
        <v>39</v>
      </c>
      <c r="B151" t="s">
        <v>1714</v>
      </c>
      <c r="C151" t="s">
        <v>322</v>
      </c>
      <c r="D151" t="s">
        <v>1390</v>
      </c>
      <c r="E151">
        <v>929.903</v>
      </c>
      <c r="F151" t="s">
        <v>1455</v>
      </c>
      <c r="G151" t="s">
        <v>1715</v>
      </c>
      <c r="H151" t="s">
        <v>1628</v>
      </c>
      <c r="I151" t="s">
        <v>1636</v>
      </c>
      <c r="J151" t="s">
        <v>1381</v>
      </c>
      <c r="K151" t="s">
        <v>1382</v>
      </c>
      <c r="L151" t="s">
        <v>1383</v>
      </c>
      <c r="M151" t="s">
        <v>1711</v>
      </c>
    </row>
    <row r="152" spans="1:13" x14ac:dyDescent="0.25">
      <c r="A152" t="s">
        <v>39</v>
      </c>
      <c r="B152" t="s">
        <v>1716</v>
      </c>
      <c r="C152" t="s">
        <v>322</v>
      </c>
      <c r="D152" t="s">
        <v>1394</v>
      </c>
      <c r="E152">
        <v>1065.68</v>
      </c>
      <c r="F152" t="s">
        <v>1455</v>
      </c>
      <c r="G152" t="s">
        <v>1717</v>
      </c>
      <c r="H152" t="s">
        <v>1628</v>
      </c>
      <c r="I152" t="s">
        <v>1639</v>
      </c>
      <c r="J152" t="s">
        <v>1381</v>
      </c>
      <c r="K152" t="s">
        <v>1382</v>
      </c>
      <c r="L152" t="s">
        <v>1383</v>
      </c>
      <c r="M152" t="s">
        <v>1711</v>
      </c>
    </row>
    <row r="153" spans="1:13" x14ac:dyDescent="0.25">
      <c r="A153" t="s">
        <v>39</v>
      </c>
      <c r="B153" t="s">
        <v>1718</v>
      </c>
      <c r="C153" t="s">
        <v>322</v>
      </c>
      <c r="D153" t="s">
        <v>1398</v>
      </c>
      <c r="E153">
        <v>1103.49</v>
      </c>
      <c r="F153" t="s">
        <v>1455</v>
      </c>
      <c r="G153" t="s">
        <v>1719</v>
      </c>
      <c r="H153" t="s">
        <v>1628</v>
      </c>
      <c r="I153" t="s">
        <v>1380</v>
      </c>
      <c r="J153" t="s">
        <v>1381</v>
      </c>
      <c r="K153" t="s">
        <v>1382</v>
      </c>
      <c r="L153" t="s">
        <v>1383</v>
      </c>
      <c r="M153" t="s">
        <v>1711</v>
      </c>
    </row>
    <row r="154" spans="1:13" x14ac:dyDescent="0.25">
      <c r="A154" t="s">
        <v>39</v>
      </c>
      <c r="B154" t="s">
        <v>1720</v>
      </c>
      <c r="C154" t="s">
        <v>322</v>
      </c>
      <c r="D154" t="s">
        <v>1402</v>
      </c>
      <c r="E154">
        <v>1206.489</v>
      </c>
      <c r="F154" t="s">
        <v>1455</v>
      </c>
      <c r="G154" t="s">
        <v>1721</v>
      </c>
      <c r="H154" t="s">
        <v>1628</v>
      </c>
      <c r="I154" t="s">
        <v>1388</v>
      </c>
      <c r="J154" t="s">
        <v>1381</v>
      </c>
      <c r="K154" t="s">
        <v>1382</v>
      </c>
      <c r="L154" t="s">
        <v>1383</v>
      </c>
      <c r="M154" t="s">
        <v>1711</v>
      </c>
    </row>
    <row r="155" spans="1:13" x14ac:dyDescent="0.25">
      <c r="A155" t="s">
        <v>39</v>
      </c>
      <c r="B155" t="s">
        <v>1722</v>
      </c>
      <c r="C155" t="s">
        <v>322</v>
      </c>
      <c r="D155" t="s">
        <v>1406</v>
      </c>
      <c r="E155">
        <v>1229.028</v>
      </c>
      <c r="F155" t="s">
        <v>1455</v>
      </c>
      <c r="G155" t="s">
        <v>1723</v>
      </c>
      <c r="H155" t="s">
        <v>1628</v>
      </c>
      <c r="I155" t="s">
        <v>1392</v>
      </c>
      <c r="J155" t="s">
        <v>1381</v>
      </c>
      <c r="K155" t="s">
        <v>1382</v>
      </c>
      <c r="L155" t="s">
        <v>1383</v>
      </c>
      <c r="M155" t="s">
        <v>1711</v>
      </c>
    </row>
    <row r="156" spans="1:13" x14ac:dyDescent="0.25">
      <c r="A156" t="s">
        <v>39</v>
      </c>
      <c r="B156" t="s">
        <v>1724</v>
      </c>
      <c r="C156" t="s">
        <v>322</v>
      </c>
      <c r="D156" t="s">
        <v>1410</v>
      </c>
      <c r="E156">
        <v>1194.72</v>
      </c>
      <c r="F156" t="s">
        <v>1455</v>
      </c>
      <c r="G156" t="s">
        <v>1725</v>
      </c>
      <c r="H156" t="s">
        <v>1628</v>
      </c>
      <c r="I156" t="s">
        <v>1464</v>
      </c>
      <c r="J156" t="s">
        <v>1381</v>
      </c>
      <c r="K156" t="s">
        <v>1382</v>
      </c>
      <c r="L156" t="s">
        <v>1383</v>
      </c>
      <c r="M156" t="s">
        <v>1711</v>
      </c>
    </row>
    <row r="157" spans="1:13" x14ac:dyDescent="0.25">
      <c r="A157" t="s">
        <v>39</v>
      </c>
      <c r="B157" t="s">
        <v>1726</v>
      </c>
      <c r="C157" t="s">
        <v>322</v>
      </c>
      <c r="D157" t="s">
        <v>1414</v>
      </c>
      <c r="E157">
        <v>1217.202</v>
      </c>
      <c r="F157" t="s">
        <v>1455</v>
      </c>
      <c r="G157" t="s">
        <v>1727</v>
      </c>
      <c r="H157" t="s">
        <v>1628</v>
      </c>
      <c r="I157" t="s">
        <v>1400</v>
      </c>
      <c r="J157" t="s">
        <v>1381</v>
      </c>
      <c r="K157" t="s">
        <v>1382</v>
      </c>
      <c r="L157" t="s">
        <v>1383</v>
      </c>
      <c r="M157" t="s">
        <v>1711</v>
      </c>
    </row>
    <row r="158" spans="1:13" x14ac:dyDescent="0.25">
      <c r="A158" t="s">
        <v>39</v>
      </c>
      <c r="B158" t="s">
        <v>1728</v>
      </c>
      <c r="C158" t="s">
        <v>322</v>
      </c>
      <c r="D158" t="s">
        <v>1418</v>
      </c>
      <c r="E158">
        <v>1235.343</v>
      </c>
      <c r="F158" t="s">
        <v>1455</v>
      </c>
      <c r="G158" t="s">
        <v>1729</v>
      </c>
      <c r="H158" t="s">
        <v>1628</v>
      </c>
      <c r="I158" t="s">
        <v>1404</v>
      </c>
      <c r="J158" t="s">
        <v>1381</v>
      </c>
      <c r="K158" t="s">
        <v>1382</v>
      </c>
      <c r="L158" t="s">
        <v>1383</v>
      </c>
      <c r="M158" t="s">
        <v>1711</v>
      </c>
    </row>
    <row r="159" spans="1:13" x14ac:dyDescent="0.25">
      <c r="A159" t="s">
        <v>39</v>
      </c>
      <c r="B159" t="s">
        <v>1730</v>
      </c>
      <c r="C159" t="s">
        <v>322</v>
      </c>
      <c r="D159" t="s">
        <v>1420</v>
      </c>
      <c r="E159">
        <v>1255</v>
      </c>
      <c r="F159" t="s">
        <v>1455</v>
      </c>
      <c r="G159" t="s">
        <v>1731</v>
      </c>
      <c r="H159" t="s">
        <v>1628</v>
      </c>
      <c r="I159" t="s">
        <v>1408</v>
      </c>
      <c r="J159" t="s">
        <v>1381</v>
      </c>
      <c r="K159" t="s">
        <v>1382</v>
      </c>
      <c r="L159" t="s">
        <v>1383</v>
      </c>
      <c r="M159" t="s">
        <v>1711</v>
      </c>
    </row>
    <row r="160" spans="1:13" x14ac:dyDescent="0.25">
      <c r="A160" t="s">
        <v>39</v>
      </c>
      <c r="B160" t="s">
        <v>1732</v>
      </c>
      <c r="C160" t="s">
        <v>322</v>
      </c>
      <c r="D160" t="s">
        <v>1423</v>
      </c>
      <c r="E160">
        <v>1246.47</v>
      </c>
      <c r="F160" t="s">
        <v>1455</v>
      </c>
      <c r="G160" t="s">
        <v>1733</v>
      </c>
      <c r="H160" t="s">
        <v>1628</v>
      </c>
      <c r="I160" t="s">
        <v>1464</v>
      </c>
      <c r="J160" t="s">
        <v>1381</v>
      </c>
      <c r="K160" t="s">
        <v>1382</v>
      </c>
      <c r="L160" t="s">
        <v>1383</v>
      </c>
      <c r="M160" t="s">
        <v>1711</v>
      </c>
    </row>
    <row r="161" spans="1:13" x14ac:dyDescent="0.25">
      <c r="A161" t="s">
        <v>39</v>
      </c>
      <c r="B161" t="s">
        <v>1734</v>
      </c>
      <c r="C161" t="s">
        <v>323</v>
      </c>
      <c r="D161" t="s">
        <v>1376</v>
      </c>
      <c r="E161">
        <v>0</v>
      </c>
      <c r="F161" t="s">
        <v>1455</v>
      </c>
      <c r="G161" t="s">
        <v>1735</v>
      </c>
      <c r="H161" t="s">
        <v>1628</v>
      </c>
      <c r="I161" t="s">
        <v>1381</v>
      </c>
      <c r="J161" t="s">
        <v>1381</v>
      </c>
      <c r="K161" t="s">
        <v>1382</v>
      </c>
      <c r="L161" t="s">
        <v>1383</v>
      </c>
      <c r="M161" t="s">
        <v>1736</v>
      </c>
    </row>
    <row r="162" spans="1:13" x14ac:dyDescent="0.25">
      <c r="A162" t="s">
        <v>39</v>
      </c>
      <c r="B162" t="s">
        <v>1737</v>
      </c>
      <c r="C162" t="s">
        <v>323</v>
      </c>
      <c r="D162" t="s">
        <v>1386</v>
      </c>
      <c r="E162">
        <v>0</v>
      </c>
      <c r="F162" t="s">
        <v>1455</v>
      </c>
      <c r="G162" t="s">
        <v>1735</v>
      </c>
      <c r="H162" t="s">
        <v>1628</v>
      </c>
      <c r="I162" t="s">
        <v>1381</v>
      </c>
      <c r="J162" t="s">
        <v>1381</v>
      </c>
      <c r="K162" t="s">
        <v>1382</v>
      </c>
      <c r="L162" t="s">
        <v>1383</v>
      </c>
      <c r="M162" t="s">
        <v>1736</v>
      </c>
    </row>
    <row r="163" spans="1:13" x14ac:dyDescent="0.25">
      <c r="A163" t="s">
        <v>39</v>
      </c>
      <c r="B163" t="s">
        <v>1738</v>
      </c>
      <c r="C163" t="s">
        <v>323</v>
      </c>
      <c r="D163" t="s">
        <v>1390</v>
      </c>
      <c r="E163">
        <v>0</v>
      </c>
      <c r="F163" t="s">
        <v>1455</v>
      </c>
      <c r="G163" t="s">
        <v>1735</v>
      </c>
      <c r="H163" t="s">
        <v>1628</v>
      </c>
      <c r="I163" t="s">
        <v>1381</v>
      </c>
      <c r="J163" t="s">
        <v>1381</v>
      </c>
      <c r="K163" t="s">
        <v>1382</v>
      </c>
      <c r="L163" t="s">
        <v>1383</v>
      </c>
      <c r="M163" t="s">
        <v>1736</v>
      </c>
    </row>
    <row r="164" spans="1:13" x14ac:dyDescent="0.25">
      <c r="A164" t="s">
        <v>39</v>
      </c>
      <c r="B164" t="s">
        <v>1739</v>
      </c>
      <c r="C164" t="s">
        <v>323</v>
      </c>
      <c r="D164" t="s">
        <v>1394</v>
      </c>
      <c r="E164">
        <v>0</v>
      </c>
      <c r="F164" t="s">
        <v>1455</v>
      </c>
      <c r="G164" t="s">
        <v>1735</v>
      </c>
      <c r="H164" t="s">
        <v>1628</v>
      </c>
      <c r="I164" t="s">
        <v>1381</v>
      </c>
      <c r="J164" t="s">
        <v>1381</v>
      </c>
      <c r="K164" t="s">
        <v>1382</v>
      </c>
      <c r="L164" t="s">
        <v>1383</v>
      </c>
      <c r="M164" t="s">
        <v>1736</v>
      </c>
    </row>
    <row r="165" spans="1:13" x14ac:dyDescent="0.25">
      <c r="A165" t="s">
        <v>39</v>
      </c>
      <c r="B165" t="s">
        <v>1740</v>
      </c>
      <c r="C165" t="s">
        <v>323</v>
      </c>
      <c r="D165" t="s">
        <v>1398</v>
      </c>
      <c r="E165">
        <v>0</v>
      </c>
      <c r="F165" t="s">
        <v>1455</v>
      </c>
      <c r="G165" t="s">
        <v>1735</v>
      </c>
      <c r="H165" t="s">
        <v>1628</v>
      </c>
      <c r="I165" t="s">
        <v>1381</v>
      </c>
      <c r="J165" t="s">
        <v>1381</v>
      </c>
      <c r="K165" t="s">
        <v>1382</v>
      </c>
      <c r="L165" t="s">
        <v>1383</v>
      </c>
      <c r="M165" t="s">
        <v>1736</v>
      </c>
    </row>
    <row r="166" spans="1:13" x14ac:dyDescent="0.25">
      <c r="A166" t="s">
        <v>39</v>
      </c>
      <c r="B166" t="s">
        <v>1741</v>
      </c>
      <c r="C166" t="s">
        <v>323</v>
      </c>
      <c r="D166" t="s">
        <v>1402</v>
      </c>
      <c r="E166">
        <v>0</v>
      </c>
      <c r="F166" t="s">
        <v>1455</v>
      </c>
      <c r="G166" t="s">
        <v>1735</v>
      </c>
      <c r="H166" t="s">
        <v>1628</v>
      </c>
      <c r="I166" t="s">
        <v>1381</v>
      </c>
      <c r="J166" t="s">
        <v>1381</v>
      </c>
      <c r="K166" t="s">
        <v>1382</v>
      </c>
      <c r="L166" t="s">
        <v>1383</v>
      </c>
      <c r="M166" t="s">
        <v>1736</v>
      </c>
    </row>
    <row r="167" spans="1:13" x14ac:dyDescent="0.25">
      <c r="A167" t="s">
        <v>39</v>
      </c>
      <c r="B167" t="s">
        <v>1742</v>
      </c>
      <c r="C167" t="s">
        <v>323</v>
      </c>
      <c r="D167" t="s">
        <v>1406</v>
      </c>
      <c r="E167">
        <v>0</v>
      </c>
      <c r="F167" t="s">
        <v>1455</v>
      </c>
      <c r="G167" t="s">
        <v>1735</v>
      </c>
      <c r="H167" t="s">
        <v>1628</v>
      </c>
      <c r="I167" t="s">
        <v>1381</v>
      </c>
      <c r="J167" t="s">
        <v>1381</v>
      </c>
      <c r="K167" t="s">
        <v>1382</v>
      </c>
      <c r="L167" t="s">
        <v>1383</v>
      </c>
      <c r="M167" t="s">
        <v>1736</v>
      </c>
    </row>
    <row r="168" spans="1:13" x14ac:dyDescent="0.25">
      <c r="A168" t="s">
        <v>39</v>
      </c>
      <c r="B168" t="s">
        <v>1743</v>
      </c>
      <c r="C168" t="s">
        <v>323</v>
      </c>
      <c r="D168" t="s">
        <v>1410</v>
      </c>
      <c r="E168">
        <v>0</v>
      </c>
      <c r="F168" t="s">
        <v>1455</v>
      </c>
      <c r="G168" t="s">
        <v>1735</v>
      </c>
      <c r="H168" t="s">
        <v>1628</v>
      </c>
      <c r="I168" t="s">
        <v>1381</v>
      </c>
      <c r="J168" t="s">
        <v>1381</v>
      </c>
      <c r="K168" t="s">
        <v>1382</v>
      </c>
      <c r="L168" t="s">
        <v>1383</v>
      </c>
      <c r="M168" t="s">
        <v>1736</v>
      </c>
    </row>
    <row r="169" spans="1:13" x14ac:dyDescent="0.25">
      <c r="A169" t="s">
        <v>39</v>
      </c>
      <c r="B169" t="s">
        <v>1744</v>
      </c>
      <c r="C169" t="s">
        <v>323</v>
      </c>
      <c r="D169" t="s">
        <v>1414</v>
      </c>
      <c r="E169">
        <v>0</v>
      </c>
      <c r="F169" t="s">
        <v>1455</v>
      </c>
      <c r="G169" t="s">
        <v>1735</v>
      </c>
      <c r="H169" t="s">
        <v>1628</v>
      </c>
      <c r="I169" t="s">
        <v>1381</v>
      </c>
      <c r="J169" t="s">
        <v>1381</v>
      </c>
      <c r="K169" t="s">
        <v>1382</v>
      </c>
      <c r="L169" t="s">
        <v>1383</v>
      </c>
      <c r="M169" t="s">
        <v>1736</v>
      </c>
    </row>
    <row r="170" spans="1:13" x14ac:dyDescent="0.25">
      <c r="A170" t="s">
        <v>39</v>
      </c>
      <c r="B170" t="s">
        <v>1745</v>
      </c>
      <c r="C170" t="s">
        <v>323</v>
      </c>
      <c r="D170" t="s">
        <v>1418</v>
      </c>
      <c r="E170">
        <v>0</v>
      </c>
      <c r="F170" t="s">
        <v>1455</v>
      </c>
      <c r="G170" t="s">
        <v>1735</v>
      </c>
      <c r="H170" t="s">
        <v>1628</v>
      </c>
      <c r="I170" t="s">
        <v>1381</v>
      </c>
      <c r="J170" t="s">
        <v>1381</v>
      </c>
      <c r="K170" t="s">
        <v>1382</v>
      </c>
      <c r="L170" t="s">
        <v>1383</v>
      </c>
      <c r="M170" t="s">
        <v>1736</v>
      </c>
    </row>
    <row r="171" spans="1:13" x14ac:dyDescent="0.25">
      <c r="A171" t="s">
        <v>39</v>
      </c>
      <c r="B171" t="s">
        <v>1746</v>
      </c>
      <c r="C171" t="s">
        <v>323</v>
      </c>
      <c r="D171" t="s">
        <v>1420</v>
      </c>
      <c r="E171">
        <v>0</v>
      </c>
      <c r="F171" t="s">
        <v>1455</v>
      </c>
      <c r="G171" t="s">
        <v>1735</v>
      </c>
      <c r="H171" t="s">
        <v>1628</v>
      </c>
      <c r="I171" t="s">
        <v>1381</v>
      </c>
      <c r="J171" t="s">
        <v>1381</v>
      </c>
      <c r="K171" t="s">
        <v>1382</v>
      </c>
      <c r="L171" t="s">
        <v>1383</v>
      </c>
      <c r="M171" t="s">
        <v>1736</v>
      </c>
    </row>
    <row r="172" spans="1:13" x14ac:dyDescent="0.25">
      <c r="A172" t="s">
        <v>39</v>
      </c>
      <c r="B172" t="s">
        <v>1747</v>
      </c>
      <c r="C172" t="s">
        <v>323</v>
      </c>
      <c r="D172" t="s">
        <v>1423</v>
      </c>
      <c r="E172">
        <v>0</v>
      </c>
      <c r="F172" t="s">
        <v>1455</v>
      </c>
      <c r="G172" t="s">
        <v>1735</v>
      </c>
      <c r="H172" t="s">
        <v>1628</v>
      </c>
      <c r="I172" t="s">
        <v>1381</v>
      </c>
      <c r="J172" t="s">
        <v>1381</v>
      </c>
      <c r="K172" t="s">
        <v>1382</v>
      </c>
      <c r="L172" t="s">
        <v>1383</v>
      </c>
      <c r="M172" t="s">
        <v>1736</v>
      </c>
    </row>
    <row r="173" spans="1:13" x14ac:dyDescent="0.25">
      <c r="A173" t="s">
        <v>39</v>
      </c>
      <c r="B173" t="s">
        <v>1748</v>
      </c>
      <c r="C173" t="s">
        <v>324</v>
      </c>
      <c r="D173" t="s">
        <v>1376</v>
      </c>
      <c r="E173">
        <v>1735.865</v>
      </c>
      <c r="F173" t="s">
        <v>1377</v>
      </c>
      <c r="G173" t="s">
        <v>1749</v>
      </c>
      <c r="H173" t="s">
        <v>1628</v>
      </c>
      <c r="I173" t="s">
        <v>1380</v>
      </c>
      <c r="J173" t="s">
        <v>1381</v>
      </c>
      <c r="K173" t="s">
        <v>1382</v>
      </c>
      <c r="L173" t="s">
        <v>1383</v>
      </c>
      <c r="M173" t="s">
        <v>1381</v>
      </c>
    </row>
    <row r="174" spans="1:13" x14ac:dyDescent="0.25">
      <c r="A174" t="s">
        <v>39</v>
      </c>
      <c r="B174" t="s">
        <v>1750</v>
      </c>
      <c r="C174" t="s">
        <v>324</v>
      </c>
      <c r="D174" t="s">
        <v>1386</v>
      </c>
      <c r="E174">
        <v>1738.19</v>
      </c>
      <c r="F174" t="s">
        <v>1377</v>
      </c>
      <c r="G174" t="s">
        <v>1751</v>
      </c>
      <c r="H174" t="s">
        <v>1628</v>
      </c>
      <c r="I174" t="s">
        <v>1388</v>
      </c>
      <c r="J174" t="s">
        <v>1381</v>
      </c>
      <c r="K174" t="s">
        <v>1382</v>
      </c>
      <c r="L174" t="s">
        <v>1383</v>
      </c>
      <c r="M174" t="s">
        <v>1381</v>
      </c>
    </row>
    <row r="175" spans="1:13" x14ac:dyDescent="0.25">
      <c r="A175" t="s">
        <v>39</v>
      </c>
      <c r="B175" t="s">
        <v>1752</v>
      </c>
      <c r="C175" t="s">
        <v>324</v>
      </c>
      <c r="D175" t="s">
        <v>1390</v>
      </c>
      <c r="E175">
        <v>1739.468</v>
      </c>
      <c r="F175" t="s">
        <v>1377</v>
      </c>
      <c r="G175" t="s">
        <v>1753</v>
      </c>
      <c r="H175" t="s">
        <v>1628</v>
      </c>
      <c r="I175" t="s">
        <v>1392</v>
      </c>
      <c r="J175" t="s">
        <v>1381</v>
      </c>
      <c r="K175" t="s">
        <v>1382</v>
      </c>
      <c r="L175" t="s">
        <v>1383</v>
      </c>
      <c r="M175" t="s">
        <v>1381</v>
      </c>
    </row>
    <row r="176" spans="1:13" x14ac:dyDescent="0.25">
      <c r="A176" t="s">
        <v>39</v>
      </c>
      <c r="B176" t="s">
        <v>1754</v>
      </c>
      <c r="C176" t="s">
        <v>324</v>
      </c>
      <c r="D176" t="s">
        <v>1394</v>
      </c>
      <c r="E176">
        <v>1847.856</v>
      </c>
      <c r="F176" t="s">
        <v>1377</v>
      </c>
      <c r="G176" t="s">
        <v>1755</v>
      </c>
      <c r="H176" t="s">
        <v>1628</v>
      </c>
      <c r="I176" t="s">
        <v>1464</v>
      </c>
      <c r="J176" t="s">
        <v>1381</v>
      </c>
      <c r="K176" t="s">
        <v>1382</v>
      </c>
      <c r="L176" t="s">
        <v>1383</v>
      </c>
      <c r="M176" t="s">
        <v>1381</v>
      </c>
    </row>
    <row r="177" spans="1:13" x14ac:dyDescent="0.25">
      <c r="A177" t="s">
        <v>39</v>
      </c>
      <c r="B177" t="s">
        <v>1756</v>
      </c>
      <c r="C177" t="s">
        <v>324</v>
      </c>
      <c r="D177" t="s">
        <v>1398</v>
      </c>
      <c r="E177">
        <v>1824.037</v>
      </c>
      <c r="F177" t="s">
        <v>1377</v>
      </c>
      <c r="G177" t="s">
        <v>1757</v>
      </c>
      <c r="H177" t="s">
        <v>1628</v>
      </c>
      <c r="I177" t="s">
        <v>1400</v>
      </c>
      <c r="J177" t="s">
        <v>1381</v>
      </c>
      <c r="K177" t="s">
        <v>1382</v>
      </c>
      <c r="L177" t="s">
        <v>1383</v>
      </c>
      <c r="M177" t="s">
        <v>1381</v>
      </c>
    </row>
    <row r="178" spans="1:13" x14ac:dyDescent="0.25">
      <c r="A178" t="s">
        <v>39</v>
      </c>
      <c r="B178" t="s">
        <v>1758</v>
      </c>
      <c r="C178" t="s">
        <v>324</v>
      </c>
      <c r="D178" t="s">
        <v>1402</v>
      </c>
      <c r="E178">
        <v>1822.809</v>
      </c>
      <c r="F178" t="s">
        <v>1377</v>
      </c>
      <c r="G178" t="s">
        <v>1759</v>
      </c>
      <c r="H178" t="s">
        <v>1628</v>
      </c>
      <c r="I178" t="s">
        <v>1404</v>
      </c>
      <c r="J178" t="s">
        <v>1381</v>
      </c>
      <c r="K178" t="s">
        <v>1382</v>
      </c>
      <c r="L178" t="s">
        <v>1383</v>
      </c>
      <c r="M178" t="s">
        <v>1381</v>
      </c>
    </row>
    <row r="179" spans="1:13" x14ac:dyDescent="0.25">
      <c r="A179" t="s">
        <v>39</v>
      </c>
      <c r="B179" t="s">
        <v>1760</v>
      </c>
      <c r="C179" t="s">
        <v>324</v>
      </c>
      <c r="D179" t="s">
        <v>1406</v>
      </c>
      <c r="E179">
        <v>1832.958</v>
      </c>
      <c r="F179" t="s">
        <v>1377</v>
      </c>
      <c r="G179" t="s">
        <v>1761</v>
      </c>
      <c r="H179" t="s">
        <v>1628</v>
      </c>
      <c r="I179" t="s">
        <v>1408</v>
      </c>
      <c r="J179" t="s">
        <v>1381</v>
      </c>
      <c r="K179" t="s">
        <v>1382</v>
      </c>
      <c r="L179" t="s">
        <v>1383</v>
      </c>
      <c r="M179" t="s">
        <v>1381</v>
      </c>
    </row>
    <row r="180" spans="1:13" x14ac:dyDescent="0.25">
      <c r="A180" t="s">
        <v>39</v>
      </c>
      <c r="B180" t="s">
        <v>1762</v>
      </c>
      <c r="C180" t="s">
        <v>324</v>
      </c>
      <c r="D180" t="s">
        <v>1410</v>
      </c>
      <c r="E180">
        <v>1827.938</v>
      </c>
      <c r="F180" t="s">
        <v>1377</v>
      </c>
      <c r="G180" t="s">
        <v>1763</v>
      </c>
      <c r="H180" t="s">
        <v>1628</v>
      </c>
      <c r="I180" t="s">
        <v>1464</v>
      </c>
      <c r="J180" t="s">
        <v>1381</v>
      </c>
      <c r="K180" t="s">
        <v>1382</v>
      </c>
      <c r="L180" t="s">
        <v>1383</v>
      </c>
      <c r="M180" t="s">
        <v>1381</v>
      </c>
    </row>
    <row r="181" spans="1:13" x14ac:dyDescent="0.25">
      <c r="A181" t="s">
        <v>39</v>
      </c>
      <c r="B181" t="s">
        <v>1764</v>
      </c>
      <c r="C181" t="s">
        <v>324</v>
      </c>
      <c r="D181" t="s">
        <v>1414</v>
      </c>
      <c r="E181">
        <v>1824.647</v>
      </c>
      <c r="F181" t="s">
        <v>1377</v>
      </c>
      <c r="G181" t="s">
        <v>1765</v>
      </c>
      <c r="H181" t="s">
        <v>1628</v>
      </c>
      <c r="I181" t="s">
        <v>1416</v>
      </c>
      <c r="J181" t="s">
        <v>1381</v>
      </c>
      <c r="K181" t="s">
        <v>1382</v>
      </c>
      <c r="L181" t="s">
        <v>1383</v>
      </c>
      <c r="M181" t="s">
        <v>1381</v>
      </c>
    </row>
    <row r="182" spans="1:13" x14ac:dyDescent="0.25">
      <c r="A182" t="s">
        <v>39</v>
      </c>
      <c r="B182" t="s">
        <v>1766</v>
      </c>
      <c r="C182" t="s">
        <v>324</v>
      </c>
      <c r="D182" t="s">
        <v>1418</v>
      </c>
      <c r="E182">
        <v>1842.114</v>
      </c>
      <c r="F182" t="s">
        <v>1377</v>
      </c>
      <c r="G182" t="s">
        <v>1767</v>
      </c>
      <c r="H182" t="s">
        <v>1628</v>
      </c>
      <c r="I182" t="s">
        <v>1404</v>
      </c>
      <c r="J182" t="s">
        <v>1381</v>
      </c>
      <c r="K182" t="s">
        <v>1382</v>
      </c>
      <c r="L182" t="s">
        <v>1383</v>
      </c>
      <c r="M182" t="s">
        <v>1381</v>
      </c>
    </row>
    <row r="183" spans="1:13" x14ac:dyDescent="0.25">
      <c r="A183" t="s">
        <v>39</v>
      </c>
      <c r="B183" t="s">
        <v>1768</v>
      </c>
      <c r="C183" t="s">
        <v>324</v>
      </c>
      <c r="D183" t="s">
        <v>1420</v>
      </c>
      <c r="E183">
        <v>1840.432</v>
      </c>
      <c r="F183" t="s">
        <v>1377</v>
      </c>
      <c r="G183" t="s">
        <v>1769</v>
      </c>
      <c r="H183" t="s">
        <v>1628</v>
      </c>
      <c r="I183" t="s">
        <v>1408</v>
      </c>
      <c r="J183" t="s">
        <v>1381</v>
      </c>
      <c r="K183" t="s">
        <v>1382</v>
      </c>
      <c r="L183" t="s">
        <v>1383</v>
      </c>
      <c r="M183" t="s">
        <v>1381</v>
      </c>
    </row>
    <row r="184" spans="1:13" x14ac:dyDescent="0.25">
      <c r="A184" t="s">
        <v>39</v>
      </c>
      <c r="B184" t="s">
        <v>1770</v>
      </c>
      <c r="C184" t="s">
        <v>324</v>
      </c>
      <c r="D184" t="s">
        <v>1423</v>
      </c>
      <c r="E184">
        <v>1837.57</v>
      </c>
      <c r="F184" t="s">
        <v>1377</v>
      </c>
      <c r="G184" t="s">
        <v>1771</v>
      </c>
      <c r="H184" t="s">
        <v>1628</v>
      </c>
      <c r="I184" t="s">
        <v>1464</v>
      </c>
      <c r="J184" t="s">
        <v>1381</v>
      </c>
      <c r="K184" t="s">
        <v>1382</v>
      </c>
      <c r="L184" t="s">
        <v>1383</v>
      </c>
      <c r="M184" t="s">
        <v>1381</v>
      </c>
    </row>
    <row r="185" spans="1:13" x14ac:dyDescent="0.25">
      <c r="A185" t="s">
        <v>39</v>
      </c>
      <c r="B185" t="s">
        <v>1772</v>
      </c>
      <c r="C185" t="s">
        <v>325</v>
      </c>
      <c r="D185" t="s">
        <v>1376</v>
      </c>
      <c r="E185">
        <v>41884.514</v>
      </c>
      <c r="F185" t="s">
        <v>1455</v>
      </c>
      <c r="G185" t="s">
        <v>1773</v>
      </c>
      <c r="H185" t="s">
        <v>1628</v>
      </c>
      <c r="I185" t="s">
        <v>1774</v>
      </c>
      <c r="J185" t="s">
        <v>1381</v>
      </c>
      <c r="K185" t="s">
        <v>1382</v>
      </c>
      <c r="L185" t="s">
        <v>1383</v>
      </c>
      <c r="M185" t="s">
        <v>1775</v>
      </c>
    </row>
    <row r="186" spans="1:13" x14ac:dyDescent="0.25">
      <c r="A186" t="s">
        <v>39</v>
      </c>
      <c r="B186" t="s">
        <v>1776</v>
      </c>
      <c r="C186" t="s">
        <v>325</v>
      </c>
      <c r="D186" t="s">
        <v>1386</v>
      </c>
      <c r="E186">
        <v>43089.686</v>
      </c>
      <c r="F186" t="s">
        <v>1455</v>
      </c>
      <c r="G186" t="s">
        <v>1777</v>
      </c>
      <c r="H186" t="s">
        <v>1628</v>
      </c>
      <c r="I186" t="s">
        <v>1778</v>
      </c>
      <c r="J186" t="s">
        <v>1381</v>
      </c>
      <c r="K186" t="s">
        <v>1382</v>
      </c>
      <c r="L186" t="s">
        <v>1383</v>
      </c>
      <c r="M186" t="s">
        <v>1775</v>
      </c>
    </row>
    <row r="187" spans="1:13" x14ac:dyDescent="0.25">
      <c r="A187" t="s">
        <v>39</v>
      </c>
      <c r="B187" t="s">
        <v>1779</v>
      </c>
      <c r="C187" t="s">
        <v>325</v>
      </c>
      <c r="D187" t="s">
        <v>1390</v>
      </c>
      <c r="E187">
        <v>44557.788</v>
      </c>
      <c r="F187" t="s">
        <v>1455</v>
      </c>
      <c r="G187" t="s">
        <v>1780</v>
      </c>
      <c r="H187" t="s">
        <v>1628</v>
      </c>
      <c r="I187" t="s">
        <v>1781</v>
      </c>
      <c r="J187" t="s">
        <v>1381</v>
      </c>
      <c r="K187" t="s">
        <v>1382</v>
      </c>
      <c r="L187" t="s">
        <v>1383</v>
      </c>
      <c r="M187" t="s">
        <v>1775</v>
      </c>
    </row>
    <row r="188" spans="1:13" x14ac:dyDescent="0.25">
      <c r="A188" t="s">
        <v>39</v>
      </c>
      <c r="B188" t="s">
        <v>1782</v>
      </c>
      <c r="C188" t="s">
        <v>325</v>
      </c>
      <c r="D188" t="s">
        <v>1394</v>
      </c>
      <c r="E188">
        <v>45288.525</v>
      </c>
      <c r="F188" t="s">
        <v>1455</v>
      </c>
      <c r="G188" t="s">
        <v>1783</v>
      </c>
      <c r="H188" t="s">
        <v>1628</v>
      </c>
      <c r="I188" t="s">
        <v>1784</v>
      </c>
      <c r="J188" t="s">
        <v>1381</v>
      </c>
      <c r="K188" t="s">
        <v>1382</v>
      </c>
      <c r="L188" t="s">
        <v>1383</v>
      </c>
      <c r="M188" t="s">
        <v>1775</v>
      </c>
    </row>
    <row r="189" spans="1:13" x14ac:dyDescent="0.25">
      <c r="A189" t="s">
        <v>39</v>
      </c>
      <c r="B189" t="s">
        <v>1785</v>
      </c>
      <c r="C189" t="s">
        <v>325</v>
      </c>
      <c r="D189" t="s">
        <v>1398</v>
      </c>
      <c r="E189">
        <v>50389.773</v>
      </c>
      <c r="F189" t="s">
        <v>1455</v>
      </c>
      <c r="G189" t="s">
        <v>1786</v>
      </c>
      <c r="H189" t="s">
        <v>1628</v>
      </c>
      <c r="I189" t="s">
        <v>1787</v>
      </c>
      <c r="J189" t="s">
        <v>1381</v>
      </c>
      <c r="K189" t="s">
        <v>1382</v>
      </c>
      <c r="L189" t="s">
        <v>1383</v>
      </c>
      <c r="M189" t="s">
        <v>1775</v>
      </c>
    </row>
    <row r="190" spans="1:13" x14ac:dyDescent="0.25">
      <c r="A190" t="s">
        <v>39</v>
      </c>
      <c r="B190" t="s">
        <v>1788</v>
      </c>
      <c r="C190" t="s">
        <v>325</v>
      </c>
      <c r="D190" t="s">
        <v>1402</v>
      </c>
      <c r="E190">
        <v>49129.632</v>
      </c>
      <c r="F190" t="s">
        <v>1455</v>
      </c>
      <c r="G190" t="s">
        <v>1789</v>
      </c>
      <c r="H190" t="s">
        <v>1628</v>
      </c>
      <c r="I190" t="s">
        <v>1790</v>
      </c>
      <c r="J190" t="s">
        <v>1381</v>
      </c>
      <c r="K190" t="s">
        <v>1382</v>
      </c>
      <c r="L190" t="s">
        <v>1383</v>
      </c>
      <c r="M190" t="s">
        <v>1775</v>
      </c>
    </row>
    <row r="191" spans="1:13" x14ac:dyDescent="0.25">
      <c r="A191" t="s">
        <v>39</v>
      </c>
      <c r="B191" t="s">
        <v>1791</v>
      </c>
      <c r="C191" t="s">
        <v>325</v>
      </c>
      <c r="D191" t="s">
        <v>1406</v>
      </c>
      <c r="E191">
        <v>49639.612</v>
      </c>
      <c r="F191" t="s">
        <v>1455</v>
      </c>
      <c r="G191" t="s">
        <v>1792</v>
      </c>
      <c r="H191" t="s">
        <v>1628</v>
      </c>
      <c r="I191" t="s">
        <v>1793</v>
      </c>
      <c r="J191" t="s">
        <v>1381</v>
      </c>
      <c r="K191" t="s">
        <v>1382</v>
      </c>
      <c r="L191" t="s">
        <v>1383</v>
      </c>
      <c r="M191" t="s">
        <v>1775</v>
      </c>
    </row>
    <row r="192" spans="1:13" x14ac:dyDescent="0.25">
      <c r="A192" t="s">
        <v>39</v>
      </c>
      <c r="B192" t="s">
        <v>1794</v>
      </c>
      <c r="C192" t="s">
        <v>325</v>
      </c>
      <c r="D192" t="s">
        <v>1410</v>
      </c>
      <c r="E192">
        <v>52811.251</v>
      </c>
      <c r="F192" t="s">
        <v>1455</v>
      </c>
      <c r="G192" t="s">
        <v>1795</v>
      </c>
      <c r="H192" t="s">
        <v>1628</v>
      </c>
      <c r="I192" t="s">
        <v>1464</v>
      </c>
      <c r="J192" t="s">
        <v>1381</v>
      </c>
      <c r="K192" t="s">
        <v>1382</v>
      </c>
      <c r="L192" t="s">
        <v>1383</v>
      </c>
      <c r="M192" t="s">
        <v>1775</v>
      </c>
    </row>
    <row r="193" spans="1:13" x14ac:dyDescent="0.25">
      <c r="A193" t="s">
        <v>39</v>
      </c>
      <c r="B193" t="s">
        <v>1796</v>
      </c>
      <c r="C193" t="s">
        <v>325</v>
      </c>
      <c r="D193" t="s">
        <v>1414</v>
      </c>
      <c r="E193">
        <v>56000.742</v>
      </c>
      <c r="F193" t="s">
        <v>1455</v>
      </c>
      <c r="G193" t="s">
        <v>1797</v>
      </c>
      <c r="H193" t="s">
        <v>1628</v>
      </c>
      <c r="I193" t="s">
        <v>1621</v>
      </c>
      <c r="J193" t="s">
        <v>1381</v>
      </c>
      <c r="K193" t="s">
        <v>1382</v>
      </c>
      <c r="L193" t="s">
        <v>1383</v>
      </c>
      <c r="M193" t="s">
        <v>1775</v>
      </c>
    </row>
    <row r="194" spans="1:13" x14ac:dyDescent="0.25">
      <c r="A194" t="s">
        <v>39</v>
      </c>
      <c r="B194" t="s">
        <v>1798</v>
      </c>
      <c r="C194" t="s">
        <v>325</v>
      </c>
      <c r="D194" t="s">
        <v>1418</v>
      </c>
      <c r="E194">
        <v>52947.487</v>
      </c>
      <c r="F194" t="s">
        <v>1455</v>
      </c>
      <c r="G194" t="s">
        <v>1799</v>
      </c>
      <c r="H194" t="s">
        <v>1628</v>
      </c>
      <c r="I194" t="s">
        <v>1404</v>
      </c>
      <c r="J194" t="s">
        <v>1381</v>
      </c>
      <c r="K194" t="s">
        <v>1382</v>
      </c>
      <c r="L194" t="s">
        <v>1383</v>
      </c>
      <c r="M194" t="s">
        <v>1775</v>
      </c>
    </row>
    <row r="195" spans="1:13" x14ac:dyDescent="0.25">
      <c r="A195" t="s">
        <v>39</v>
      </c>
      <c r="B195" t="s">
        <v>1800</v>
      </c>
      <c r="C195" t="s">
        <v>325</v>
      </c>
      <c r="D195" t="s">
        <v>1420</v>
      </c>
      <c r="E195">
        <v>54765.777</v>
      </c>
      <c r="F195" t="s">
        <v>1455</v>
      </c>
      <c r="G195" t="s">
        <v>1801</v>
      </c>
      <c r="H195" t="s">
        <v>1628</v>
      </c>
      <c r="I195" t="s">
        <v>1408</v>
      </c>
      <c r="J195" t="s">
        <v>1381</v>
      </c>
      <c r="K195" t="s">
        <v>1382</v>
      </c>
      <c r="L195" t="s">
        <v>1383</v>
      </c>
      <c r="M195" t="s">
        <v>1775</v>
      </c>
    </row>
    <row r="196" spans="1:13" x14ac:dyDescent="0.25">
      <c r="A196" t="s">
        <v>39</v>
      </c>
      <c r="B196" t="s">
        <v>1802</v>
      </c>
      <c r="C196" t="s">
        <v>325</v>
      </c>
      <c r="D196" t="s">
        <v>1423</v>
      </c>
      <c r="E196">
        <v>60774.907</v>
      </c>
      <c r="F196" t="s">
        <v>1455</v>
      </c>
      <c r="G196" t="s">
        <v>1803</v>
      </c>
      <c r="H196" t="s">
        <v>1628</v>
      </c>
      <c r="I196" t="s">
        <v>1464</v>
      </c>
      <c r="J196" t="s">
        <v>1381</v>
      </c>
      <c r="K196" t="s">
        <v>1382</v>
      </c>
      <c r="L196" t="s">
        <v>1383</v>
      </c>
      <c r="M196" t="s">
        <v>1775</v>
      </c>
    </row>
    <row r="197" spans="1:13" x14ac:dyDescent="0.25">
      <c r="A197" t="s">
        <v>39</v>
      </c>
      <c r="B197" t="s">
        <v>1804</v>
      </c>
      <c r="C197" t="s">
        <v>328</v>
      </c>
      <c r="D197" t="s">
        <v>1376</v>
      </c>
      <c r="E197">
        <v>477.764</v>
      </c>
      <c r="F197" t="s">
        <v>1377</v>
      </c>
      <c r="G197" t="s">
        <v>1805</v>
      </c>
      <c r="H197" t="s">
        <v>1628</v>
      </c>
      <c r="I197" t="s">
        <v>1629</v>
      </c>
      <c r="J197" t="s">
        <v>1381</v>
      </c>
      <c r="K197" t="s">
        <v>1382</v>
      </c>
      <c r="L197" t="s">
        <v>1383</v>
      </c>
      <c r="M197" t="s">
        <v>1381</v>
      </c>
    </row>
    <row r="198" spans="1:13" x14ac:dyDescent="0.25">
      <c r="A198" t="s">
        <v>39</v>
      </c>
      <c r="B198" t="s">
        <v>1806</v>
      </c>
      <c r="C198" t="s">
        <v>328</v>
      </c>
      <c r="D198" t="s">
        <v>1386</v>
      </c>
      <c r="E198">
        <v>846.9</v>
      </c>
      <c r="F198" t="s">
        <v>1377</v>
      </c>
      <c r="G198" t="s">
        <v>1807</v>
      </c>
      <c r="H198" t="s">
        <v>1628</v>
      </c>
      <c r="I198" t="s">
        <v>1633</v>
      </c>
      <c r="J198" t="s">
        <v>1381</v>
      </c>
      <c r="K198" t="s">
        <v>1382</v>
      </c>
      <c r="L198" t="s">
        <v>1383</v>
      </c>
      <c r="M198" t="s">
        <v>1381</v>
      </c>
    </row>
    <row r="199" spans="1:13" x14ac:dyDescent="0.25">
      <c r="A199" t="s">
        <v>39</v>
      </c>
      <c r="B199" t="s">
        <v>1808</v>
      </c>
      <c r="C199" t="s">
        <v>328</v>
      </c>
      <c r="D199" t="s">
        <v>1390</v>
      </c>
      <c r="E199">
        <v>924.892</v>
      </c>
      <c r="F199" t="s">
        <v>1377</v>
      </c>
      <c r="G199" t="s">
        <v>1809</v>
      </c>
      <c r="H199" t="s">
        <v>1628</v>
      </c>
      <c r="I199" t="s">
        <v>1636</v>
      </c>
      <c r="J199" t="s">
        <v>1381</v>
      </c>
      <c r="K199" t="s">
        <v>1382</v>
      </c>
      <c r="L199" t="s">
        <v>1383</v>
      </c>
      <c r="M199" t="s">
        <v>1381</v>
      </c>
    </row>
    <row r="200" spans="1:13" x14ac:dyDescent="0.25">
      <c r="A200" t="s">
        <v>39</v>
      </c>
      <c r="B200" t="s">
        <v>1810</v>
      </c>
      <c r="C200" t="s">
        <v>328</v>
      </c>
      <c r="D200" t="s">
        <v>1394</v>
      </c>
      <c r="E200">
        <v>989.715</v>
      </c>
      <c r="F200" t="s">
        <v>1377</v>
      </c>
      <c r="G200" t="s">
        <v>1811</v>
      </c>
      <c r="H200" t="s">
        <v>1628</v>
      </c>
      <c r="I200" t="s">
        <v>1639</v>
      </c>
      <c r="J200" t="s">
        <v>1381</v>
      </c>
      <c r="K200" t="s">
        <v>1382</v>
      </c>
      <c r="L200" t="s">
        <v>1383</v>
      </c>
      <c r="M200" t="s">
        <v>1381</v>
      </c>
    </row>
    <row r="201" spans="1:13" x14ac:dyDescent="0.25">
      <c r="A201" t="s">
        <v>39</v>
      </c>
      <c r="B201" t="s">
        <v>1812</v>
      </c>
      <c r="C201" t="s">
        <v>328</v>
      </c>
      <c r="D201" t="s">
        <v>1398</v>
      </c>
      <c r="E201">
        <v>1254.31</v>
      </c>
      <c r="F201" t="s">
        <v>1377</v>
      </c>
      <c r="G201" t="s">
        <v>1813</v>
      </c>
      <c r="H201" t="s">
        <v>1628</v>
      </c>
      <c r="I201" t="s">
        <v>1380</v>
      </c>
      <c r="J201" t="s">
        <v>1381</v>
      </c>
      <c r="K201" t="s">
        <v>1382</v>
      </c>
      <c r="L201" t="s">
        <v>1383</v>
      </c>
      <c r="M201" t="s">
        <v>1381</v>
      </c>
    </row>
    <row r="202" spans="1:13" x14ac:dyDescent="0.25">
      <c r="A202" t="s">
        <v>39</v>
      </c>
      <c r="B202" t="s">
        <v>1814</v>
      </c>
      <c r="C202" t="s">
        <v>328</v>
      </c>
      <c r="D202" t="s">
        <v>1402</v>
      </c>
      <c r="E202">
        <v>1625.31</v>
      </c>
      <c r="F202" t="s">
        <v>1377</v>
      </c>
      <c r="G202" t="s">
        <v>1815</v>
      </c>
      <c r="H202" t="s">
        <v>1628</v>
      </c>
      <c r="I202" t="s">
        <v>1388</v>
      </c>
      <c r="J202" t="s">
        <v>1381</v>
      </c>
      <c r="K202" t="s">
        <v>1382</v>
      </c>
      <c r="L202" t="s">
        <v>1383</v>
      </c>
      <c r="M202" t="s">
        <v>1381</v>
      </c>
    </row>
    <row r="203" spans="1:13" x14ac:dyDescent="0.25">
      <c r="A203" t="s">
        <v>39</v>
      </c>
      <c r="B203" t="s">
        <v>1816</v>
      </c>
      <c r="C203" t="s">
        <v>328</v>
      </c>
      <c r="D203" t="s">
        <v>1406</v>
      </c>
      <c r="E203">
        <v>1725.864</v>
      </c>
      <c r="F203" t="s">
        <v>1377</v>
      </c>
      <c r="G203" t="s">
        <v>1817</v>
      </c>
      <c r="H203" t="s">
        <v>1628</v>
      </c>
      <c r="I203" t="s">
        <v>1392</v>
      </c>
      <c r="J203" t="s">
        <v>1381</v>
      </c>
      <c r="K203" t="s">
        <v>1382</v>
      </c>
      <c r="L203" t="s">
        <v>1383</v>
      </c>
      <c r="M203" t="s">
        <v>1381</v>
      </c>
    </row>
    <row r="204" spans="1:13" x14ac:dyDescent="0.25">
      <c r="A204" t="s">
        <v>39</v>
      </c>
      <c r="B204" t="s">
        <v>1818</v>
      </c>
      <c r="C204" t="s">
        <v>328</v>
      </c>
      <c r="D204" t="s">
        <v>1410</v>
      </c>
      <c r="E204">
        <v>443.16</v>
      </c>
      <c r="F204" t="s">
        <v>1377</v>
      </c>
      <c r="G204" t="s">
        <v>1819</v>
      </c>
      <c r="H204" t="s">
        <v>1628</v>
      </c>
      <c r="I204" t="s">
        <v>1464</v>
      </c>
      <c r="J204" t="s">
        <v>1381</v>
      </c>
      <c r="K204" t="s">
        <v>1382</v>
      </c>
      <c r="L204" t="s">
        <v>1383</v>
      </c>
      <c r="M204" t="s">
        <v>1381</v>
      </c>
    </row>
    <row r="205" spans="1:13" x14ac:dyDescent="0.25">
      <c r="A205" t="s">
        <v>39</v>
      </c>
      <c r="B205" t="s">
        <v>1820</v>
      </c>
      <c r="C205" t="s">
        <v>328</v>
      </c>
      <c r="D205" t="s">
        <v>1414</v>
      </c>
      <c r="E205">
        <v>1172.806</v>
      </c>
      <c r="F205" t="s">
        <v>1377</v>
      </c>
      <c r="G205" t="s">
        <v>1821</v>
      </c>
      <c r="H205" t="s">
        <v>1628</v>
      </c>
      <c r="I205" t="s">
        <v>1400</v>
      </c>
      <c r="J205" t="s">
        <v>1381</v>
      </c>
      <c r="K205" t="s">
        <v>1382</v>
      </c>
      <c r="L205" t="s">
        <v>1383</v>
      </c>
      <c r="M205" t="s">
        <v>1381</v>
      </c>
    </row>
    <row r="206" spans="1:13" x14ac:dyDescent="0.25">
      <c r="A206" t="s">
        <v>39</v>
      </c>
      <c r="B206" t="s">
        <v>1822</v>
      </c>
      <c r="C206" t="s">
        <v>328</v>
      </c>
      <c r="D206" t="s">
        <v>1418</v>
      </c>
      <c r="E206">
        <v>1315.103</v>
      </c>
      <c r="F206" t="s">
        <v>1377</v>
      </c>
      <c r="G206" t="s">
        <v>1823</v>
      </c>
      <c r="H206" t="s">
        <v>1628</v>
      </c>
      <c r="I206" t="s">
        <v>1404</v>
      </c>
      <c r="J206" t="s">
        <v>1381</v>
      </c>
      <c r="K206" t="s">
        <v>1382</v>
      </c>
      <c r="L206" t="s">
        <v>1383</v>
      </c>
      <c r="M206" t="s">
        <v>1381</v>
      </c>
    </row>
    <row r="207" spans="1:13" x14ac:dyDescent="0.25">
      <c r="A207" t="s">
        <v>39</v>
      </c>
      <c r="B207" t="s">
        <v>1824</v>
      </c>
      <c r="C207" t="s">
        <v>328</v>
      </c>
      <c r="D207" t="s">
        <v>1420</v>
      </c>
      <c r="E207">
        <v>1231.328</v>
      </c>
      <c r="F207" t="s">
        <v>1377</v>
      </c>
      <c r="G207" t="s">
        <v>1825</v>
      </c>
      <c r="H207" t="s">
        <v>1628</v>
      </c>
      <c r="I207" t="s">
        <v>1408</v>
      </c>
      <c r="J207" t="s">
        <v>1381</v>
      </c>
      <c r="K207" t="s">
        <v>1382</v>
      </c>
      <c r="L207" t="s">
        <v>1383</v>
      </c>
      <c r="M207" t="s">
        <v>1381</v>
      </c>
    </row>
    <row r="208" spans="1:13" x14ac:dyDescent="0.25">
      <c r="A208" t="s">
        <v>39</v>
      </c>
      <c r="B208" t="s">
        <v>1826</v>
      </c>
      <c r="C208" t="s">
        <v>328</v>
      </c>
      <c r="D208" t="s">
        <v>1423</v>
      </c>
      <c r="E208">
        <v>1767.206</v>
      </c>
      <c r="F208" t="s">
        <v>1377</v>
      </c>
      <c r="G208" t="s">
        <v>1827</v>
      </c>
      <c r="H208" t="s">
        <v>1628</v>
      </c>
      <c r="I208" t="s">
        <v>1464</v>
      </c>
      <c r="J208" t="s">
        <v>1381</v>
      </c>
      <c r="K208" t="s">
        <v>1382</v>
      </c>
      <c r="L208" t="s">
        <v>1383</v>
      </c>
      <c r="M208" t="s">
        <v>1381</v>
      </c>
    </row>
    <row r="209" spans="1:13" x14ac:dyDescent="0.25">
      <c r="A209" t="s">
        <v>39</v>
      </c>
      <c r="B209" t="s">
        <v>1828</v>
      </c>
      <c r="C209" t="s">
        <v>329</v>
      </c>
      <c r="D209" t="s">
        <v>1376</v>
      </c>
      <c r="E209">
        <v>7207.89</v>
      </c>
      <c r="F209" t="s">
        <v>1455</v>
      </c>
      <c r="G209" t="s">
        <v>1829</v>
      </c>
      <c r="H209" t="s">
        <v>1628</v>
      </c>
      <c r="I209" t="s">
        <v>1629</v>
      </c>
      <c r="J209" t="s">
        <v>1381</v>
      </c>
      <c r="K209" t="s">
        <v>1382</v>
      </c>
      <c r="L209" t="s">
        <v>1383</v>
      </c>
      <c r="M209" t="s">
        <v>1830</v>
      </c>
    </row>
    <row r="210" spans="1:13" x14ac:dyDescent="0.25">
      <c r="A210" t="s">
        <v>39</v>
      </c>
      <c r="B210" t="s">
        <v>1831</v>
      </c>
      <c r="C210" t="s">
        <v>329</v>
      </c>
      <c r="D210" t="s">
        <v>1386</v>
      </c>
      <c r="E210">
        <v>7553.79</v>
      </c>
      <c r="F210" t="s">
        <v>1455</v>
      </c>
      <c r="G210" t="s">
        <v>1832</v>
      </c>
      <c r="H210" t="s">
        <v>1628</v>
      </c>
      <c r="I210" t="s">
        <v>1633</v>
      </c>
      <c r="J210" t="s">
        <v>1381</v>
      </c>
      <c r="K210" t="s">
        <v>1382</v>
      </c>
      <c r="L210" t="s">
        <v>1383</v>
      </c>
      <c r="M210" t="s">
        <v>1830</v>
      </c>
    </row>
    <row r="211" spans="1:13" x14ac:dyDescent="0.25">
      <c r="A211" t="s">
        <v>39</v>
      </c>
      <c r="B211" t="s">
        <v>1833</v>
      </c>
      <c r="C211" t="s">
        <v>329</v>
      </c>
      <c r="D211" t="s">
        <v>1390</v>
      </c>
      <c r="E211">
        <v>7171.936</v>
      </c>
      <c r="F211" t="s">
        <v>1455</v>
      </c>
      <c r="G211" t="s">
        <v>1834</v>
      </c>
      <c r="H211" t="s">
        <v>1628</v>
      </c>
      <c r="I211" t="s">
        <v>1636</v>
      </c>
      <c r="J211" t="s">
        <v>1381</v>
      </c>
      <c r="K211" t="s">
        <v>1382</v>
      </c>
      <c r="L211" t="s">
        <v>1383</v>
      </c>
      <c r="M211" t="s">
        <v>1830</v>
      </c>
    </row>
    <row r="212" spans="1:13" x14ac:dyDescent="0.25">
      <c r="A212" t="s">
        <v>39</v>
      </c>
      <c r="B212" t="s">
        <v>1835</v>
      </c>
      <c r="C212" t="s">
        <v>329</v>
      </c>
      <c r="D212" t="s">
        <v>1394</v>
      </c>
      <c r="E212">
        <v>7698.367</v>
      </c>
      <c r="F212" t="s">
        <v>1455</v>
      </c>
      <c r="G212" t="s">
        <v>1836</v>
      </c>
      <c r="H212" t="s">
        <v>1628</v>
      </c>
      <c r="I212" t="s">
        <v>1639</v>
      </c>
      <c r="J212" t="s">
        <v>1381</v>
      </c>
      <c r="K212" t="s">
        <v>1382</v>
      </c>
      <c r="L212" t="s">
        <v>1383</v>
      </c>
      <c r="M212" t="s">
        <v>1830</v>
      </c>
    </row>
    <row r="213" spans="1:13" x14ac:dyDescent="0.25">
      <c r="A213" t="s">
        <v>39</v>
      </c>
      <c r="B213" t="s">
        <v>1837</v>
      </c>
      <c r="C213" t="s">
        <v>329</v>
      </c>
      <c r="D213" t="s">
        <v>1398</v>
      </c>
      <c r="E213">
        <v>8149.941</v>
      </c>
      <c r="F213" t="s">
        <v>1455</v>
      </c>
      <c r="G213" t="s">
        <v>1838</v>
      </c>
      <c r="H213" t="s">
        <v>1628</v>
      </c>
      <c r="I213" t="s">
        <v>1380</v>
      </c>
      <c r="J213" t="s">
        <v>1381</v>
      </c>
      <c r="K213" t="s">
        <v>1382</v>
      </c>
      <c r="L213" t="s">
        <v>1383</v>
      </c>
      <c r="M213" t="s">
        <v>1830</v>
      </c>
    </row>
    <row r="214" spans="1:13" x14ac:dyDescent="0.25">
      <c r="A214" t="s">
        <v>39</v>
      </c>
      <c r="B214" t="s">
        <v>1839</v>
      </c>
      <c r="C214" t="s">
        <v>329</v>
      </c>
      <c r="D214" t="s">
        <v>1402</v>
      </c>
      <c r="E214">
        <v>8178.388</v>
      </c>
      <c r="F214" t="s">
        <v>1455</v>
      </c>
      <c r="G214" t="s">
        <v>1840</v>
      </c>
      <c r="H214" t="s">
        <v>1628</v>
      </c>
      <c r="I214" t="s">
        <v>1388</v>
      </c>
      <c r="J214" t="s">
        <v>1381</v>
      </c>
      <c r="K214" t="s">
        <v>1382</v>
      </c>
      <c r="L214" t="s">
        <v>1383</v>
      </c>
      <c r="M214" t="s">
        <v>1830</v>
      </c>
    </row>
    <row r="215" spans="1:13" x14ac:dyDescent="0.25">
      <c r="A215" t="s">
        <v>39</v>
      </c>
      <c r="B215" t="s">
        <v>1841</v>
      </c>
      <c r="C215" t="s">
        <v>329</v>
      </c>
      <c r="D215" t="s">
        <v>1406</v>
      </c>
      <c r="E215">
        <v>8319.522</v>
      </c>
      <c r="F215" t="s">
        <v>1455</v>
      </c>
      <c r="G215" t="s">
        <v>1842</v>
      </c>
      <c r="H215" t="s">
        <v>1628</v>
      </c>
      <c r="I215" t="s">
        <v>1392</v>
      </c>
      <c r="J215" t="s">
        <v>1381</v>
      </c>
      <c r="K215" t="s">
        <v>1382</v>
      </c>
      <c r="L215" t="s">
        <v>1383</v>
      </c>
      <c r="M215" t="s">
        <v>1830</v>
      </c>
    </row>
    <row r="216" spans="1:13" x14ac:dyDescent="0.25">
      <c r="A216" t="s">
        <v>39</v>
      </c>
      <c r="B216" t="s">
        <v>1843</v>
      </c>
      <c r="C216" t="s">
        <v>329</v>
      </c>
      <c r="D216" t="s">
        <v>1410</v>
      </c>
      <c r="E216">
        <v>7760.342</v>
      </c>
      <c r="F216" t="s">
        <v>1455</v>
      </c>
      <c r="G216" t="s">
        <v>1844</v>
      </c>
      <c r="H216" t="s">
        <v>1628</v>
      </c>
      <c r="I216" t="s">
        <v>1464</v>
      </c>
      <c r="J216" t="s">
        <v>1381</v>
      </c>
      <c r="K216" t="s">
        <v>1382</v>
      </c>
      <c r="L216" t="s">
        <v>1383</v>
      </c>
      <c r="M216" t="s">
        <v>1830</v>
      </c>
    </row>
    <row r="217" spans="1:13" x14ac:dyDescent="0.25">
      <c r="A217" t="s">
        <v>39</v>
      </c>
      <c r="B217" t="s">
        <v>1845</v>
      </c>
      <c r="C217" t="s">
        <v>329</v>
      </c>
      <c r="D217" t="s">
        <v>1414</v>
      </c>
      <c r="E217">
        <v>8344.09</v>
      </c>
      <c r="F217" t="s">
        <v>1455</v>
      </c>
      <c r="G217" t="s">
        <v>1846</v>
      </c>
      <c r="H217" t="s">
        <v>1628</v>
      </c>
      <c r="I217" t="s">
        <v>1400</v>
      </c>
      <c r="J217" t="s">
        <v>1381</v>
      </c>
      <c r="K217" t="s">
        <v>1382</v>
      </c>
      <c r="L217" t="s">
        <v>1383</v>
      </c>
      <c r="M217" t="s">
        <v>1830</v>
      </c>
    </row>
    <row r="218" spans="1:13" x14ac:dyDescent="0.25">
      <c r="A218" t="s">
        <v>39</v>
      </c>
      <c r="B218" t="s">
        <v>1847</v>
      </c>
      <c r="C218" t="s">
        <v>329</v>
      </c>
      <c r="D218" t="s">
        <v>1418</v>
      </c>
      <c r="E218">
        <v>8076.672</v>
      </c>
      <c r="F218" t="s">
        <v>1455</v>
      </c>
      <c r="G218" t="s">
        <v>1848</v>
      </c>
      <c r="H218" t="s">
        <v>1628</v>
      </c>
      <c r="I218" t="s">
        <v>1404</v>
      </c>
      <c r="J218" t="s">
        <v>1381</v>
      </c>
      <c r="K218" t="s">
        <v>1382</v>
      </c>
      <c r="L218" t="s">
        <v>1383</v>
      </c>
      <c r="M218" t="s">
        <v>1830</v>
      </c>
    </row>
    <row r="219" spans="1:13" x14ac:dyDescent="0.25">
      <c r="A219" t="s">
        <v>39</v>
      </c>
      <c r="B219" t="s">
        <v>1849</v>
      </c>
      <c r="C219" t="s">
        <v>329</v>
      </c>
      <c r="D219" t="s">
        <v>1420</v>
      </c>
      <c r="E219">
        <v>8128.541</v>
      </c>
      <c r="F219" t="s">
        <v>1455</v>
      </c>
      <c r="G219" t="s">
        <v>1850</v>
      </c>
      <c r="H219" t="s">
        <v>1628</v>
      </c>
      <c r="I219" t="s">
        <v>1408</v>
      </c>
      <c r="J219" t="s">
        <v>1381</v>
      </c>
      <c r="K219" t="s">
        <v>1382</v>
      </c>
      <c r="L219" t="s">
        <v>1383</v>
      </c>
      <c r="M219" t="s">
        <v>1830</v>
      </c>
    </row>
    <row r="220" spans="1:13" x14ac:dyDescent="0.25">
      <c r="A220" t="s">
        <v>39</v>
      </c>
      <c r="B220" t="s">
        <v>1851</v>
      </c>
      <c r="C220" t="s">
        <v>329</v>
      </c>
      <c r="D220" t="s">
        <v>1423</v>
      </c>
      <c r="E220">
        <v>12171.814</v>
      </c>
      <c r="F220" t="s">
        <v>1455</v>
      </c>
      <c r="G220" t="s">
        <v>1852</v>
      </c>
      <c r="H220" t="s">
        <v>1628</v>
      </c>
      <c r="I220" t="s">
        <v>1464</v>
      </c>
      <c r="J220" t="s">
        <v>1381</v>
      </c>
      <c r="K220" t="s">
        <v>1382</v>
      </c>
      <c r="L220" t="s">
        <v>1383</v>
      </c>
      <c r="M220" t="s">
        <v>1853</v>
      </c>
    </row>
    <row r="221" spans="1:13" x14ac:dyDescent="0.25">
      <c r="A221" t="s">
        <v>39</v>
      </c>
      <c r="B221" t="s">
        <v>1854</v>
      </c>
      <c r="C221" t="s">
        <v>330</v>
      </c>
      <c r="D221" t="s">
        <v>1376</v>
      </c>
      <c r="E221">
        <v>1551.147</v>
      </c>
      <c r="F221" t="s">
        <v>1377</v>
      </c>
      <c r="G221" t="s">
        <v>1855</v>
      </c>
      <c r="H221" t="s">
        <v>1628</v>
      </c>
      <c r="I221" t="s">
        <v>1629</v>
      </c>
      <c r="J221" t="s">
        <v>1381</v>
      </c>
      <c r="K221" t="s">
        <v>1382</v>
      </c>
      <c r="L221" t="s">
        <v>1383</v>
      </c>
      <c r="M221" t="s">
        <v>1381</v>
      </c>
    </row>
    <row r="222" spans="1:13" x14ac:dyDescent="0.25">
      <c r="A222" t="s">
        <v>39</v>
      </c>
      <c r="B222" t="s">
        <v>1856</v>
      </c>
      <c r="C222" t="s">
        <v>330</v>
      </c>
      <c r="D222" t="s">
        <v>1386</v>
      </c>
      <c r="E222">
        <v>1221.523</v>
      </c>
      <c r="F222" t="s">
        <v>1377</v>
      </c>
      <c r="G222" t="s">
        <v>1857</v>
      </c>
      <c r="H222" t="s">
        <v>1628</v>
      </c>
      <c r="I222" t="s">
        <v>1633</v>
      </c>
      <c r="J222" t="s">
        <v>1381</v>
      </c>
      <c r="K222" t="s">
        <v>1382</v>
      </c>
      <c r="L222" t="s">
        <v>1383</v>
      </c>
      <c r="M222" t="s">
        <v>1381</v>
      </c>
    </row>
    <row r="223" spans="1:13" x14ac:dyDescent="0.25">
      <c r="A223" t="s">
        <v>39</v>
      </c>
      <c r="B223" t="s">
        <v>1858</v>
      </c>
      <c r="C223" t="s">
        <v>330</v>
      </c>
      <c r="D223" t="s">
        <v>1390</v>
      </c>
      <c r="E223">
        <v>1416.483</v>
      </c>
      <c r="F223" t="s">
        <v>1377</v>
      </c>
      <c r="G223" t="s">
        <v>1859</v>
      </c>
      <c r="H223" t="s">
        <v>1628</v>
      </c>
      <c r="I223" t="s">
        <v>1636</v>
      </c>
      <c r="J223" t="s">
        <v>1381</v>
      </c>
      <c r="K223" t="s">
        <v>1382</v>
      </c>
      <c r="L223" t="s">
        <v>1383</v>
      </c>
      <c r="M223" t="s">
        <v>1381</v>
      </c>
    </row>
    <row r="224" spans="1:13" x14ac:dyDescent="0.25">
      <c r="A224" t="s">
        <v>39</v>
      </c>
      <c r="B224" t="s">
        <v>1860</v>
      </c>
      <c r="C224" t="s">
        <v>330</v>
      </c>
      <c r="D224" t="s">
        <v>1394</v>
      </c>
      <c r="E224">
        <v>1840.518</v>
      </c>
      <c r="F224" t="s">
        <v>1377</v>
      </c>
      <c r="G224" t="s">
        <v>1861</v>
      </c>
      <c r="H224" t="s">
        <v>1628</v>
      </c>
      <c r="I224" t="s">
        <v>1639</v>
      </c>
      <c r="J224" t="s">
        <v>1381</v>
      </c>
      <c r="K224" t="s">
        <v>1382</v>
      </c>
      <c r="L224" t="s">
        <v>1383</v>
      </c>
      <c r="M224" t="s">
        <v>1381</v>
      </c>
    </row>
    <row r="225" spans="1:13" x14ac:dyDescent="0.25">
      <c r="A225" t="s">
        <v>39</v>
      </c>
      <c r="B225" t="s">
        <v>1862</v>
      </c>
      <c r="C225" t="s">
        <v>330</v>
      </c>
      <c r="D225" t="s">
        <v>1398</v>
      </c>
      <c r="E225">
        <v>2709.17</v>
      </c>
      <c r="F225" t="s">
        <v>1377</v>
      </c>
      <c r="G225" t="s">
        <v>1863</v>
      </c>
      <c r="H225" t="s">
        <v>1628</v>
      </c>
      <c r="I225" t="s">
        <v>1380</v>
      </c>
      <c r="J225" t="s">
        <v>1381</v>
      </c>
      <c r="K225" t="s">
        <v>1382</v>
      </c>
      <c r="L225" t="s">
        <v>1383</v>
      </c>
      <c r="M225" t="s">
        <v>1381</v>
      </c>
    </row>
    <row r="226" spans="1:13" x14ac:dyDescent="0.25">
      <c r="A226" t="s">
        <v>39</v>
      </c>
      <c r="B226" t="s">
        <v>1864</v>
      </c>
      <c r="C226" t="s">
        <v>330</v>
      </c>
      <c r="D226" t="s">
        <v>1402</v>
      </c>
      <c r="E226">
        <v>2244.127</v>
      </c>
      <c r="F226" t="s">
        <v>1377</v>
      </c>
      <c r="G226" t="s">
        <v>1865</v>
      </c>
      <c r="H226" t="s">
        <v>1628</v>
      </c>
      <c r="I226" t="s">
        <v>1388</v>
      </c>
      <c r="J226" t="s">
        <v>1381</v>
      </c>
      <c r="K226" t="s">
        <v>1382</v>
      </c>
      <c r="L226" t="s">
        <v>1383</v>
      </c>
      <c r="M226" t="s">
        <v>1381</v>
      </c>
    </row>
    <row r="227" spans="1:13" x14ac:dyDescent="0.25">
      <c r="A227" t="s">
        <v>39</v>
      </c>
      <c r="B227" t="s">
        <v>1866</v>
      </c>
      <c r="C227" t="s">
        <v>330</v>
      </c>
      <c r="D227" t="s">
        <v>1406</v>
      </c>
      <c r="E227">
        <v>2550.101</v>
      </c>
      <c r="F227" t="s">
        <v>1377</v>
      </c>
      <c r="G227" t="s">
        <v>1867</v>
      </c>
      <c r="H227" t="s">
        <v>1628</v>
      </c>
      <c r="I227" t="s">
        <v>1392</v>
      </c>
      <c r="J227" t="s">
        <v>1381</v>
      </c>
      <c r="K227" t="s">
        <v>1382</v>
      </c>
      <c r="L227" t="s">
        <v>1383</v>
      </c>
      <c r="M227" t="s">
        <v>1381</v>
      </c>
    </row>
    <row r="228" spans="1:13" x14ac:dyDescent="0.25">
      <c r="A228" t="s">
        <v>39</v>
      </c>
      <c r="B228" t="s">
        <v>1868</v>
      </c>
      <c r="C228" t="s">
        <v>330</v>
      </c>
      <c r="D228" t="s">
        <v>1410</v>
      </c>
      <c r="E228">
        <v>2540.861</v>
      </c>
      <c r="F228" t="s">
        <v>1377</v>
      </c>
      <c r="G228" t="s">
        <v>1869</v>
      </c>
      <c r="H228" t="s">
        <v>1628</v>
      </c>
      <c r="I228" t="s">
        <v>1464</v>
      </c>
      <c r="J228" t="s">
        <v>1381</v>
      </c>
      <c r="K228" t="s">
        <v>1382</v>
      </c>
      <c r="L228" t="s">
        <v>1383</v>
      </c>
      <c r="M228" t="s">
        <v>1381</v>
      </c>
    </row>
    <row r="229" spans="1:13" x14ac:dyDescent="0.25">
      <c r="A229" t="s">
        <v>39</v>
      </c>
      <c r="B229" t="s">
        <v>1870</v>
      </c>
      <c r="C229" t="s">
        <v>330</v>
      </c>
      <c r="D229" t="s">
        <v>1414</v>
      </c>
      <c r="E229">
        <v>2501.643</v>
      </c>
      <c r="F229" t="s">
        <v>1377</v>
      </c>
      <c r="G229" t="s">
        <v>1871</v>
      </c>
      <c r="H229" t="s">
        <v>1628</v>
      </c>
      <c r="I229" t="s">
        <v>1400</v>
      </c>
      <c r="J229" t="s">
        <v>1381</v>
      </c>
      <c r="K229" t="s">
        <v>1382</v>
      </c>
      <c r="L229" t="s">
        <v>1383</v>
      </c>
      <c r="M229" t="s">
        <v>1381</v>
      </c>
    </row>
    <row r="230" spans="1:13" x14ac:dyDescent="0.25">
      <c r="A230" t="s">
        <v>39</v>
      </c>
      <c r="B230" t="s">
        <v>1872</v>
      </c>
      <c r="C230" t="s">
        <v>330</v>
      </c>
      <c r="D230" t="s">
        <v>1418</v>
      </c>
      <c r="E230">
        <v>2041.795</v>
      </c>
      <c r="F230" t="s">
        <v>1377</v>
      </c>
      <c r="G230" t="s">
        <v>1873</v>
      </c>
      <c r="H230" t="s">
        <v>1628</v>
      </c>
      <c r="I230" t="s">
        <v>1404</v>
      </c>
      <c r="J230" t="s">
        <v>1381</v>
      </c>
      <c r="K230" t="s">
        <v>1382</v>
      </c>
      <c r="L230" t="s">
        <v>1383</v>
      </c>
      <c r="M230" t="s">
        <v>1381</v>
      </c>
    </row>
    <row r="231" spans="1:13" x14ac:dyDescent="0.25">
      <c r="A231" t="s">
        <v>39</v>
      </c>
      <c r="B231" t="s">
        <v>1874</v>
      </c>
      <c r="C231" t="s">
        <v>330</v>
      </c>
      <c r="D231" t="s">
        <v>1420</v>
      </c>
      <c r="E231">
        <v>2498.013</v>
      </c>
      <c r="F231" t="s">
        <v>1377</v>
      </c>
      <c r="G231" t="s">
        <v>1875</v>
      </c>
      <c r="H231" t="s">
        <v>1628</v>
      </c>
      <c r="I231" t="s">
        <v>1408</v>
      </c>
      <c r="J231" t="s">
        <v>1381</v>
      </c>
      <c r="K231" t="s">
        <v>1382</v>
      </c>
      <c r="L231" t="s">
        <v>1383</v>
      </c>
      <c r="M231" t="s">
        <v>1381</v>
      </c>
    </row>
    <row r="232" spans="1:13" x14ac:dyDescent="0.25">
      <c r="A232" t="s">
        <v>39</v>
      </c>
      <c r="B232" t="s">
        <v>1876</v>
      </c>
      <c r="C232" t="s">
        <v>330</v>
      </c>
      <c r="D232" t="s">
        <v>1423</v>
      </c>
      <c r="E232">
        <v>2540.759</v>
      </c>
      <c r="F232" t="s">
        <v>1377</v>
      </c>
      <c r="G232" t="s">
        <v>1877</v>
      </c>
      <c r="H232" t="s">
        <v>1628</v>
      </c>
      <c r="I232" t="s">
        <v>1464</v>
      </c>
      <c r="J232" t="s">
        <v>1381</v>
      </c>
      <c r="K232" t="s">
        <v>1382</v>
      </c>
      <c r="L232" t="s">
        <v>1383</v>
      </c>
      <c r="M232" t="s">
        <v>1381</v>
      </c>
    </row>
    <row r="233" spans="1:13" x14ac:dyDescent="0.25">
      <c r="A233" t="s">
        <v>39</v>
      </c>
      <c r="B233" t="s">
        <v>1878</v>
      </c>
      <c r="C233" t="s">
        <v>331</v>
      </c>
      <c r="D233" t="s">
        <v>1376</v>
      </c>
      <c r="E233">
        <v>24357.359</v>
      </c>
      <c r="F233" t="s">
        <v>1455</v>
      </c>
      <c r="G233" t="s">
        <v>1879</v>
      </c>
      <c r="H233" t="s">
        <v>1628</v>
      </c>
      <c r="I233" t="s">
        <v>1629</v>
      </c>
      <c r="J233" t="s">
        <v>1381</v>
      </c>
      <c r="K233" t="s">
        <v>1382</v>
      </c>
      <c r="L233" t="s">
        <v>1383</v>
      </c>
      <c r="M233" t="s">
        <v>1880</v>
      </c>
    </row>
    <row r="234" spans="1:13" x14ac:dyDescent="0.25">
      <c r="A234" t="s">
        <v>39</v>
      </c>
      <c r="B234" t="s">
        <v>1881</v>
      </c>
      <c r="C234" t="s">
        <v>331</v>
      </c>
      <c r="D234" t="s">
        <v>1386</v>
      </c>
      <c r="E234">
        <v>25566.601</v>
      </c>
      <c r="F234" t="s">
        <v>1455</v>
      </c>
      <c r="G234" t="s">
        <v>1882</v>
      </c>
      <c r="H234" t="s">
        <v>1628</v>
      </c>
      <c r="I234" t="s">
        <v>1633</v>
      </c>
      <c r="J234" t="s">
        <v>1381</v>
      </c>
      <c r="K234" t="s">
        <v>1382</v>
      </c>
      <c r="L234" t="s">
        <v>1383</v>
      </c>
      <c r="M234" t="s">
        <v>1880</v>
      </c>
    </row>
    <row r="235" spans="1:13" x14ac:dyDescent="0.25">
      <c r="A235" t="s">
        <v>39</v>
      </c>
      <c r="B235" t="s">
        <v>1883</v>
      </c>
      <c r="C235" t="s">
        <v>331</v>
      </c>
      <c r="D235" t="s">
        <v>1390</v>
      </c>
      <c r="E235">
        <v>27303.219</v>
      </c>
      <c r="F235" t="s">
        <v>1455</v>
      </c>
      <c r="G235" t="s">
        <v>1884</v>
      </c>
      <c r="H235" t="s">
        <v>1628</v>
      </c>
      <c r="I235" t="s">
        <v>1636</v>
      </c>
      <c r="J235" t="s">
        <v>1381</v>
      </c>
      <c r="K235" t="s">
        <v>1382</v>
      </c>
      <c r="L235" t="s">
        <v>1383</v>
      </c>
      <c r="M235" t="s">
        <v>1880</v>
      </c>
    </row>
    <row r="236" spans="1:13" x14ac:dyDescent="0.25">
      <c r="A236" t="s">
        <v>39</v>
      </c>
      <c r="B236" t="s">
        <v>1885</v>
      </c>
      <c r="C236" t="s">
        <v>331</v>
      </c>
      <c r="D236" t="s">
        <v>1394</v>
      </c>
      <c r="E236">
        <v>27875.268</v>
      </c>
      <c r="F236" t="s">
        <v>1455</v>
      </c>
      <c r="G236" t="s">
        <v>1886</v>
      </c>
      <c r="H236" t="s">
        <v>1628</v>
      </c>
      <c r="I236" t="s">
        <v>1639</v>
      </c>
      <c r="J236" t="s">
        <v>1381</v>
      </c>
      <c r="K236" t="s">
        <v>1382</v>
      </c>
      <c r="L236" t="s">
        <v>1383</v>
      </c>
      <c r="M236" t="s">
        <v>1880</v>
      </c>
    </row>
    <row r="237" spans="1:13" x14ac:dyDescent="0.25">
      <c r="A237" t="s">
        <v>39</v>
      </c>
      <c r="B237" t="s">
        <v>1887</v>
      </c>
      <c r="C237" t="s">
        <v>331</v>
      </c>
      <c r="D237" t="s">
        <v>1398</v>
      </c>
      <c r="E237">
        <v>29034.426</v>
      </c>
      <c r="F237" t="s">
        <v>1455</v>
      </c>
      <c r="G237" t="s">
        <v>1888</v>
      </c>
      <c r="H237" t="s">
        <v>1628</v>
      </c>
      <c r="I237" t="s">
        <v>1380</v>
      </c>
      <c r="J237" t="s">
        <v>1381</v>
      </c>
      <c r="K237" t="s">
        <v>1382</v>
      </c>
      <c r="L237" t="s">
        <v>1383</v>
      </c>
      <c r="M237" t="s">
        <v>1880</v>
      </c>
    </row>
    <row r="238" spans="1:13" x14ac:dyDescent="0.25">
      <c r="A238" t="s">
        <v>39</v>
      </c>
      <c r="B238" t="s">
        <v>1889</v>
      </c>
      <c r="C238" t="s">
        <v>331</v>
      </c>
      <c r="D238" t="s">
        <v>1402</v>
      </c>
      <c r="E238">
        <v>28333.513</v>
      </c>
      <c r="F238" t="s">
        <v>1455</v>
      </c>
      <c r="G238" t="s">
        <v>1890</v>
      </c>
      <c r="H238" t="s">
        <v>1628</v>
      </c>
      <c r="I238" t="s">
        <v>1388</v>
      </c>
      <c r="J238" t="s">
        <v>1381</v>
      </c>
      <c r="K238" t="s">
        <v>1382</v>
      </c>
      <c r="L238" t="s">
        <v>1383</v>
      </c>
      <c r="M238" t="s">
        <v>1880</v>
      </c>
    </row>
    <row r="239" spans="1:13" x14ac:dyDescent="0.25">
      <c r="A239" t="s">
        <v>39</v>
      </c>
      <c r="B239" t="s">
        <v>1891</v>
      </c>
      <c r="C239" t="s">
        <v>331</v>
      </c>
      <c r="D239" t="s">
        <v>1406</v>
      </c>
      <c r="E239">
        <v>27641.832</v>
      </c>
      <c r="F239" t="s">
        <v>1455</v>
      </c>
      <c r="G239" t="s">
        <v>1892</v>
      </c>
      <c r="H239" t="s">
        <v>1628</v>
      </c>
      <c r="I239" t="s">
        <v>1392</v>
      </c>
      <c r="J239" t="s">
        <v>1381</v>
      </c>
      <c r="K239" t="s">
        <v>1382</v>
      </c>
      <c r="L239" t="s">
        <v>1383</v>
      </c>
      <c r="M239" t="s">
        <v>1880</v>
      </c>
    </row>
    <row r="240" spans="1:13" x14ac:dyDescent="0.25">
      <c r="A240" t="s">
        <v>39</v>
      </c>
      <c r="B240" t="s">
        <v>1893</v>
      </c>
      <c r="C240" t="s">
        <v>331</v>
      </c>
      <c r="D240" t="s">
        <v>1410</v>
      </c>
      <c r="E240">
        <v>29859.988</v>
      </c>
      <c r="F240" t="s">
        <v>1455</v>
      </c>
      <c r="G240" t="s">
        <v>1894</v>
      </c>
      <c r="H240" t="s">
        <v>1628</v>
      </c>
      <c r="I240" t="s">
        <v>1464</v>
      </c>
      <c r="J240" t="s">
        <v>1381</v>
      </c>
      <c r="K240" t="s">
        <v>1382</v>
      </c>
      <c r="L240" t="s">
        <v>1383</v>
      </c>
      <c r="M240" t="s">
        <v>1880</v>
      </c>
    </row>
    <row r="241" spans="1:13" x14ac:dyDescent="0.25">
      <c r="A241" t="s">
        <v>39</v>
      </c>
      <c r="B241" t="s">
        <v>1895</v>
      </c>
      <c r="C241" t="s">
        <v>331</v>
      </c>
      <c r="D241" t="s">
        <v>1414</v>
      </c>
      <c r="E241">
        <v>33145.954</v>
      </c>
      <c r="F241" t="s">
        <v>1455</v>
      </c>
      <c r="G241" t="s">
        <v>1896</v>
      </c>
      <c r="H241" t="s">
        <v>1628</v>
      </c>
      <c r="I241" t="s">
        <v>1400</v>
      </c>
      <c r="J241" t="s">
        <v>1381</v>
      </c>
      <c r="K241" t="s">
        <v>1382</v>
      </c>
      <c r="L241" t="s">
        <v>1383</v>
      </c>
      <c r="M241" t="s">
        <v>1880</v>
      </c>
    </row>
    <row r="242" spans="1:13" x14ac:dyDescent="0.25">
      <c r="A242" t="s">
        <v>39</v>
      </c>
      <c r="B242" t="s">
        <v>1897</v>
      </c>
      <c r="C242" t="s">
        <v>331</v>
      </c>
      <c r="D242" t="s">
        <v>1418</v>
      </c>
      <c r="E242">
        <v>30117.227</v>
      </c>
      <c r="F242" t="s">
        <v>1455</v>
      </c>
      <c r="G242" t="s">
        <v>1898</v>
      </c>
      <c r="H242" t="s">
        <v>1628</v>
      </c>
      <c r="I242" t="s">
        <v>1404</v>
      </c>
      <c r="J242" t="s">
        <v>1381</v>
      </c>
      <c r="K242" t="s">
        <v>1382</v>
      </c>
      <c r="L242" t="s">
        <v>1383</v>
      </c>
      <c r="M242" t="s">
        <v>1880</v>
      </c>
    </row>
    <row r="243" spans="1:13" x14ac:dyDescent="0.25">
      <c r="A243" t="s">
        <v>39</v>
      </c>
      <c r="B243" t="s">
        <v>1899</v>
      </c>
      <c r="C243" t="s">
        <v>331</v>
      </c>
      <c r="D243" t="s">
        <v>1420</v>
      </c>
      <c r="E243">
        <v>30946.877</v>
      </c>
      <c r="F243" t="s">
        <v>1455</v>
      </c>
      <c r="G243" t="s">
        <v>1900</v>
      </c>
      <c r="H243" t="s">
        <v>1628</v>
      </c>
      <c r="I243" t="s">
        <v>1408</v>
      </c>
      <c r="J243" t="s">
        <v>1381</v>
      </c>
      <c r="K243" t="s">
        <v>1382</v>
      </c>
      <c r="L243" t="s">
        <v>1383</v>
      </c>
      <c r="M243" t="s">
        <v>1880</v>
      </c>
    </row>
    <row r="244" spans="1:13" x14ac:dyDescent="0.25">
      <c r="A244" t="s">
        <v>39</v>
      </c>
      <c r="B244" t="s">
        <v>1901</v>
      </c>
      <c r="C244" t="s">
        <v>331</v>
      </c>
      <c r="D244" t="s">
        <v>1423</v>
      </c>
      <c r="E244">
        <v>32994.068</v>
      </c>
      <c r="F244" t="s">
        <v>1455</v>
      </c>
      <c r="G244" t="s">
        <v>1902</v>
      </c>
      <c r="H244" t="s">
        <v>1628</v>
      </c>
      <c r="I244" t="s">
        <v>1464</v>
      </c>
      <c r="J244" t="s">
        <v>1381</v>
      </c>
      <c r="K244" t="s">
        <v>1382</v>
      </c>
      <c r="L244" t="s">
        <v>1383</v>
      </c>
      <c r="M244" t="s">
        <v>1903</v>
      </c>
    </row>
    <row r="245" spans="1:13" x14ac:dyDescent="0.25">
      <c r="A245" t="s">
        <v>39</v>
      </c>
      <c r="B245" t="s">
        <v>1904</v>
      </c>
      <c r="C245" t="s">
        <v>334</v>
      </c>
      <c r="D245" t="s">
        <v>1376</v>
      </c>
      <c r="E245">
        <v>8625.552</v>
      </c>
      <c r="F245" t="s">
        <v>1455</v>
      </c>
      <c r="G245" t="s">
        <v>1905</v>
      </c>
      <c r="H245" t="s">
        <v>1628</v>
      </c>
      <c r="I245" t="s">
        <v>1629</v>
      </c>
      <c r="J245" t="s">
        <v>1381</v>
      </c>
      <c r="K245" t="s">
        <v>1382</v>
      </c>
      <c r="L245" t="s">
        <v>1383</v>
      </c>
      <c r="M245" t="s">
        <v>1906</v>
      </c>
    </row>
    <row r="246" spans="1:13" x14ac:dyDescent="0.25">
      <c r="A246" t="s">
        <v>39</v>
      </c>
      <c r="B246" t="s">
        <v>1907</v>
      </c>
      <c r="C246" t="s">
        <v>334</v>
      </c>
      <c r="D246" t="s">
        <v>1386</v>
      </c>
      <c r="E246">
        <v>8785.54</v>
      </c>
      <c r="F246" t="s">
        <v>1455</v>
      </c>
      <c r="G246" t="s">
        <v>1908</v>
      </c>
      <c r="H246" t="s">
        <v>1628</v>
      </c>
      <c r="I246" t="s">
        <v>1633</v>
      </c>
      <c r="J246" t="s">
        <v>1381</v>
      </c>
      <c r="K246" t="s">
        <v>1382</v>
      </c>
      <c r="L246" t="s">
        <v>1383</v>
      </c>
      <c r="M246" t="s">
        <v>1906</v>
      </c>
    </row>
    <row r="247" spans="1:13" x14ac:dyDescent="0.25">
      <c r="A247" t="s">
        <v>39</v>
      </c>
      <c r="B247" t="s">
        <v>1909</v>
      </c>
      <c r="C247" t="s">
        <v>334</v>
      </c>
      <c r="D247" t="s">
        <v>1390</v>
      </c>
      <c r="E247">
        <v>9462.491</v>
      </c>
      <c r="F247" t="s">
        <v>1455</v>
      </c>
      <c r="G247" t="s">
        <v>1910</v>
      </c>
      <c r="H247" t="s">
        <v>1628</v>
      </c>
      <c r="I247" t="s">
        <v>1636</v>
      </c>
      <c r="J247" t="s">
        <v>1381</v>
      </c>
      <c r="K247" t="s">
        <v>1382</v>
      </c>
      <c r="L247" t="s">
        <v>1383</v>
      </c>
      <c r="M247" t="s">
        <v>1906</v>
      </c>
    </row>
    <row r="248" spans="1:13" x14ac:dyDescent="0.25">
      <c r="A248" t="s">
        <v>39</v>
      </c>
      <c r="B248" t="s">
        <v>1911</v>
      </c>
      <c r="C248" t="s">
        <v>334</v>
      </c>
      <c r="D248" t="s">
        <v>1394</v>
      </c>
      <c r="E248">
        <v>9698.752</v>
      </c>
      <c r="F248" t="s">
        <v>1455</v>
      </c>
      <c r="G248" t="s">
        <v>1912</v>
      </c>
      <c r="H248" t="s">
        <v>1628</v>
      </c>
      <c r="I248" t="s">
        <v>1639</v>
      </c>
      <c r="J248" t="s">
        <v>1381</v>
      </c>
      <c r="K248" t="s">
        <v>1382</v>
      </c>
      <c r="L248" t="s">
        <v>1383</v>
      </c>
      <c r="M248" t="s">
        <v>1906</v>
      </c>
    </row>
    <row r="249" spans="1:13" x14ac:dyDescent="0.25">
      <c r="A249" t="s">
        <v>39</v>
      </c>
      <c r="B249" t="s">
        <v>1913</v>
      </c>
      <c r="C249" t="s">
        <v>334</v>
      </c>
      <c r="D249" t="s">
        <v>1398</v>
      </c>
      <c r="E249">
        <v>9917.278</v>
      </c>
      <c r="F249" t="s">
        <v>1455</v>
      </c>
      <c r="G249" t="s">
        <v>1914</v>
      </c>
      <c r="H249" t="s">
        <v>1628</v>
      </c>
      <c r="I249" t="s">
        <v>1380</v>
      </c>
      <c r="J249" t="s">
        <v>1381</v>
      </c>
      <c r="K249" t="s">
        <v>1382</v>
      </c>
      <c r="L249" t="s">
        <v>1383</v>
      </c>
      <c r="M249" t="s">
        <v>1906</v>
      </c>
    </row>
    <row r="250" spans="1:13" x14ac:dyDescent="0.25">
      <c r="A250" t="s">
        <v>39</v>
      </c>
      <c r="B250" t="s">
        <v>1915</v>
      </c>
      <c r="C250" t="s">
        <v>334</v>
      </c>
      <c r="D250" t="s">
        <v>1402</v>
      </c>
      <c r="E250">
        <v>12666.6</v>
      </c>
      <c r="F250" t="s">
        <v>1455</v>
      </c>
      <c r="G250" t="s">
        <v>1916</v>
      </c>
      <c r="H250" t="s">
        <v>1628</v>
      </c>
      <c r="I250" t="s">
        <v>1388</v>
      </c>
      <c r="J250" t="s">
        <v>1381</v>
      </c>
      <c r="K250" t="s">
        <v>1382</v>
      </c>
      <c r="L250" t="s">
        <v>1383</v>
      </c>
      <c r="M250" t="s">
        <v>1906</v>
      </c>
    </row>
    <row r="251" spans="1:13" x14ac:dyDescent="0.25">
      <c r="A251" t="s">
        <v>39</v>
      </c>
      <c r="B251" t="s">
        <v>1917</v>
      </c>
      <c r="C251" t="s">
        <v>334</v>
      </c>
      <c r="D251" t="s">
        <v>1406</v>
      </c>
      <c r="E251">
        <v>12922.012</v>
      </c>
      <c r="F251" t="s">
        <v>1455</v>
      </c>
      <c r="G251" t="s">
        <v>1918</v>
      </c>
      <c r="H251" t="s">
        <v>1628</v>
      </c>
      <c r="I251" t="s">
        <v>1392</v>
      </c>
      <c r="J251" t="s">
        <v>1381</v>
      </c>
      <c r="K251" t="s">
        <v>1382</v>
      </c>
      <c r="L251" t="s">
        <v>1383</v>
      </c>
      <c r="M251" t="s">
        <v>1906</v>
      </c>
    </row>
    <row r="252" spans="1:13" x14ac:dyDescent="0.25">
      <c r="A252" t="s">
        <v>39</v>
      </c>
      <c r="B252" t="s">
        <v>1919</v>
      </c>
      <c r="C252" t="s">
        <v>334</v>
      </c>
      <c r="D252" t="s">
        <v>1410</v>
      </c>
      <c r="E252">
        <v>13530.565</v>
      </c>
      <c r="F252" t="s">
        <v>1455</v>
      </c>
      <c r="G252" t="s">
        <v>1920</v>
      </c>
      <c r="H252" t="s">
        <v>1628</v>
      </c>
      <c r="I252" t="s">
        <v>1464</v>
      </c>
      <c r="J252" t="s">
        <v>1381</v>
      </c>
      <c r="K252" t="s">
        <v>1382</v>
      </c>
      <c r="L252" t="s">
        <v>1383</v>
      </c>
      <c r="M252" t="s">
        <v>1906</v>
      </c>
    </row>
    <row r="253" spans="1:13" x14ac:dyDescent="0.25">
      <c r="A253" t="s">
        <v>39</v>
      </c>
      <c r="B253" t="s">
        <v>1921</v>
      </c>
      <c r="C253" t="s">
        <v>334</v>
      </c>
      <c r="D253" t="s">
        <v>1414</v>
      </c>
      <c r="E253">
        <v>14785.553</v>
      </c>
      <c r="F253" t="s">
        <v>1455</v>
      </c>
      <c r="G253" t="s">
        <v>1922</v>
      </c>
      <c r="H253" t="s">
        <v>1628</v>
      </c>
      <c r="I253" t="s">
        <v>1400</v>
      </c>
      <c r="J253" t="s">
        <v>1381</v>
      </c>
      <c r="K253" t="s">
        <v>1382</v>
      </c>
      <c r="L253" t="s">
        <v>1383</v>
      </c>
      <c r="M253" t="s">
        <v>1906</v>
      </c>
    </row>
    <row r="254" spans="1:13" x14ac:dyDescent="0.25">
      <c r="A254" t="s">
        <v>39</v>
      </c>
      <c r="B254" t="s">
        <v>1923</v>
      </c>
      <c r="C254" t="s">
        <v>334</v>
      </c>
      <c r="D254" t="s">
        <v>1418</v>
      </c>
      <c r="E254">
        <v>15351.967</v>
      </c>
      <c r="F254" t="s">
        <v>1455</v>
      </c>
      <c r="G254" t="s">
        <v>1924</v>
      </c>
      <c r="H254" t="s">
        <v>1628</v>
      </c>
      <c r="I254" t="s">
        <v>1404</v>
      </c>
      <c r="J254" t="s">
        <v>1381</v>
      </c>
      <c r="K254" t="s">
        <v>1382</v>
      </c>
      <c r="L254" t="s">
        <v>1383</v>
      </c>
      <c r="M254" t="s">
        <v>1906</v>
      </c>
    </row>
    <row r="255" spans="1:13" x14ac:dyDescent="0.25">
      <c r="A255" t="s">
        <v>39</v>
      </c>
      <c r="B255" t="s">
        <v>1925</v>
      </c>
      <c r="C255" t="s">
        <v>334</v>
      </c>
      <c r="D255" t="s">
        <v>1420</v>
      </c>
      <c r="E255">
        <v>16013.634</v>
      </c>
      <c r="F255" t="s">
        <v>1455</v>
      </c>
      <c r="G255" t="s">
        <v>1926</v>
      </c>
      <c r="H255" t="s">
        <v>1628</v>
      </c>
      <c r="I255" t="s">
        <v>1408</v>
      </c>
      <c r="J255" t="s">
        <v>1381</v>
      </c>
      <c r="K255" t="s">
        <v>1382</v>
      </c>
      <c r="L255" t="s">
        <v>1383</v>
      </c>
      <c r="M255" t="s">
        <v>1906</v>
      </c>
    </row>
    <row r="256" spans="1:13" x14ac:dyDescent="0.25">
      <c r="A256" t="s">
        <v>39</v>
      </c>
      <c r="B256" t="s">
        <v>1927</v>
      </c>
      <c r="C256" t="s">
        <v>334</v>
      </c>
      <c r="D256" t="s">
        <v>1423</v>
      </c>
      <c r="E256">
        <v>15895.891</v>
      </c>
      <c r="F256" t="s">
        <v>1455</v>
      </c>
      <c r="G256" t="s">
        <v>1928</v>
      </c>
      <c r="H256" t="s">
        <v>1628</v>
      </c>
      <c r="I256" t="s">
        <v>1464</v>
      </c>
      <c r="J256" t="s">
        <v>1381</v>
      </c>
      <c r="K256" t="s">
        <v>1382</v>
      </c>
      <c r="L256" t="s">
        <v>1383</v>
      </c>
      <c r="M256" t="s">
        <v>1929</v>
      </c>
    </row>
    <row r="257" spans="1:13" x14ac:dyDescent="0.25">
      <c r="A257" t="s">
        <v>39</v>
      </c>
      <c r="B257" t="s">
        <v>1930</v>
      </c>
      <c r="C257" t="s">
        <v>339</v>
      </c>
      <c r="D257" t="s">
        <v>1376</v>
      </c>
      <c r="E257">
        <v>1.802</v>
      </c>
      <c r="F257" t="s">
        <v>1377</v>
      </c>
      <c r="G257" t="s">
        <v>1931</v>
      </c>
      <c r="H257" t="s">
        <v>1628</v>
      </c>
      <c r="I257" t="s">
        <v>1629</v>
      </c>
      <c r="J257" t="s">
        <v>1381</v>
      </c>
      <c r="K257" t="s">
        <v>1382</v>
      </c>
      <c r="L257" t="s">
        <v>1383</v>
      </c>
      <c r="M257" t="s">
        <v>1381</v>
      </c>
    </row>
    <row r="258" spans="1:13" x14ac:dyDescent="0.25">
      <c r="A258" t="s">
        <v>39</v>
      </c>
      <c r="B258" t="s">
        <v>1932</v>
      </c>
      <c r="C258" t="s">
        <v>339</v>
      </c>
      <c r="D258" t="s">
        <v>1386</v>
      </c>
      <c r="E258">
        <v>0.406</v>
      </c>
      <c r="F258" t="s">
        <v>1377</v>
      </c>
      <c r="G258" t="s">
        <v>1933</v>
      </c>
      <c r="H258" t="s">
        <v>1628</v>
      </c>
      <c r="I258" t="s">
        <v>1633</v>
      </c>
      <c r="J258" t="s">
        <v>1381</v>
      </c>
      <c r="K258" t="s">
        <v>1382</v>
      </c>
      <c r="L258" t="s">
        <v>1383</v>
      </c>
      <c r="M258" t="s">
        <v>1381</v>
      </c>
    </row>
    <row r="259" spans="1:13" x14ac:dyDescent="0.25">
      <c r="A259" t="s">
        <v>39</v>
      </c>
      <c r="B259" t="s">
        <v>1934</v>
      </c>
      <c r="C259" t="s">
        <v>339</v>
      </c>
      <c r="D259" t="s">
        <v>1390</v>
      </c>
      <c r="E259">
        <v>0.406</v>
      </c>
      <c r="F259" t="s">
        <v>1377</v>
      </c>
      <c r="G259" t="s">
        <v>1933</v>
      </c>
      <c r="H259" t="s">
        <v>1628</v>
      </c>
      <c r="I259" t="s">
        <v>1636</v>
      </c>
      <c r="J259" t="s">
        <v>1381</v>
      </c>
      <c r="K259" t="s">
        <v>1382</v>
      </c>
      <c r="L259" t="s">
        <v>1383</v>
      </c>
      <c r="M259" t="s">
        <v>1381</v>
      </c>
    </row>
    <row r="260" spans="1:13" x14ac:dyDescent="0.25">
      <c r="A260" t="s">
        <v>39</v>
      </c>
      <c r="B260" t="s">
        <v>1935</v>
      </c>
      <c r="C260" t="s">
        <v>339</v>
      </c>
      <c r="D260" t="s">
        <v>1394</v>
      </c>
      <c r="E260">
        <v>0.406</v>
      </c>
      <c r="F260" t="s">
        <v>1377</v>
      </c>
      <c r="G260" t="s">
        <v>1933</v>
      </c>
      <c r="H260" t="s">
        <v>1628</v>
      </c>
      <c r="I260" t="s">
        <v>1639</v>
      </c>
      <c r="J260" t="s">
        <v>1381</v>
      </c>
      <c r="K260" t="s">
        <v>1382</v>
      </c>
      <c r="L260" t="s">
        <v>1383</v>
      </c>
      <c r="M260" t="s">
        <v>1381</v>
      </c>
    </row>
    <row r="261" spans="1:13" x14ac:dyDescent="0.25">
      <c r="A261" t="s">
        <v>39</v>
      </c>
      <c r="B261" t="s">
        <v>1936</v>
      </c>
      <c r="C261" t="s">
        <v>339</v>
      </c>
      <c r="D261" t="s">
        <v>1398</v>
      </c>
      <c r="E261">
        <v>0.406</v>
      </c>
      <c r="F261" t="s">
        <v>1377</v>
      </c>
      <c r="G261" t="s">
        <v>1933</v>
      </c>
      <c r="H261" t="s">
        <v>1628</v>
      </c>
      <c r="I261" t="s">
        <v>1380</v>
      </c>
      <c r="J261" t="s">
        <v>1381</v>
      </c>
      <c r="K261" t="s">
        <v>1382</v>
      </c>
      <c r="L261" t="s">
        <v>1383</v>
      </c>
      <c r="M261" t="s">
        <v>1381</v>
      </c>
    </row>
    <row r="262" spans="1:13" x14ac:dyDescent="0.25">
      <c r="A262" t="s">
        <v>39</v>
      </c>
      <c r="B262" t="s">
        <v>1937</v>
      </c>
      <c r="C262" t="s">
        <v>339</v>
      </c>
      <c r="D262" t="s">
        <v>1402</v>
      </c>
      <c r="E262">
        <v>0.406</v>
      </c>
      <c r="F262" t="s">
        <v>1377</v>
      </c>
      <c r="G262" t="s">
        <v>1933</v>
      </c>
      <c r="H262" t="s">
        <v>1628</v>
      </c>
      <c r="I262" t="s">
        <v>1388</v>
      </c>
      <c r="J262" t="s">
        <v>1381</v>
      </c>
      <c r="K262" t="s">
        <v>1382</v>
      </c>
      <c r="L262" t="s">
        <v>1383</v>
      </c>
      <c r="M262" t="s">
        <v>1381</v>
      </c>
    </row>
    <row r="263" spans="1:13" x14ac:dyDescent="0.25">
      <c r="A263" t="s">
        <v>39</v>
      </c>
      <c r="B263" t="s">
        <v>1938</v>
      </c>
      <c r="C263" t="s">
        <v>339</v>
      </c>
      <c r="D263" t="s">
        <v>1406</v>
      </c>
      <c r="E263">
        <v>0.406</v>
      </c>
      <c r="F263" t="s">
        <v>1377</v>
      </c>
      <c r="G263" t="s">
        <v>1933</v>
      </c>
      <c r="H263" t="s">
        <v>1628</v>
      </c>
      <c r="I263" t="s">
        <v>1392</v>
      </c>
      <c r="J263" t="s">
        <v>1381</v>
      </c>
      <c r="K263" t="s">
        <v>1382</v>
      </c>
      <c r="L263" t="s">
        <v>1383</v>
      </c>
      <c r="M263" t="s">
        <v>1381</v>
      </c>
    </row>
    <row r="264" spans="1:13" x14ac:dyDescent="0.25">
      <c r="A264" t="s">
        <v>39</v>
      </c>
      <c r="B264" t="s">
        <v>1939</v>
      </c>
      <c r="C264" t="s">
        <v>339</v>
      </c>
      <c r="D264" t="s">
        <v>1410</v>
      </c>
      <c r="E264">
        <v>0.406</v>
      </c>
      <c r="F264" t="s">
        <v>1377</v>
      </c>
      <c r="G264" t="s">
        <v>1933</v>
      </c>
      <c r="H264" t="s">
        <v>1628</v>
      </c>
      <c r="I264" t="s">
        <v>1464</v>
      </c>
      <c r="J264" t="s">
        <v>1381</v>
      </c>
      <c r="K264" t="s">
        <v>1382</v>
      </c>
      <c r="L264" t="s">
        <v>1383</v>
      </c>
      <c r="M264" t="s">
        <v>1381</v>
      </c>
    </row>
    <row r="265" spans="1:13" x14ac:dyDescent="0.25">
      <c r="A265" t="s">
        <v>39</v>
      </c>
      <c r="B265" t="s">
        <v>1940</v>
      </c>
      <c r="C265" t="s">
        <v>339</v>
      </c>
      <c r="D265" t="s">
        <v>1414</v>
      </c>
      <c r="E265">
        <v>0.406</v>
      </c>
      <c r="F265" t="s">
        <v>1377</v>
      </c>
      <c r="G265" t="s">
        <v>1933</v>
      </c>
      <c r="H265" t="s">
        <v>1628</v>
      </c>
      <c r="I265" t="s">
        <v>1400</v>
      </c>
      <c r="J265" t="s">
        <v>1381</v>
      </c>
      <c r="K265" t="s">
        <v>1382</v>
      </c>
      <c r="L265" t="s">
        <v>1383</v>
      </c>
      <c r="M265" t="s">
        <v>1381</v>
      </c>
    </row>
    <row r="266" spans="1:13" x14ac:dyDescent="0.25">
      <c r="A266" t="s">
        <v>39</v>
      </c>
      <c r="B266" t="s">
        <v>1941</v>
      </c>
      <c r="C266" t="s">
        <v>339</v>
      </c>
      <c r="D266" t="s">
        <v>1418</v>
      </c>
      <c r="E266">
        <v>0.406</v>
      </c>
      <c r="F266" t="s">
        <v>1377</v>
      </c>
      <c r="G266" t="s">
        <v>1933</v>
      </c>
      <c r="H266" t="s">
        <v>1628</v>
      </c>
      <c r="I266" t="s">
        <v>1404</v>
      </c>
      <c r="J266" t="s">
        <v>1381</v>
      </c>
      <c r="K266" t="s">
        <v>1382</v>
      </c>
      <c r="L266" t="s">
        <v>1383</v>
      </c>
      <c r="M266" t="s">
        <v>1381</v>
      </c>
    </row>
    <row r="267" spans="1:13" x14ac:dyDescent="0.25">
      <c r="A267" t="s">
        <v>39</v>
      </c>
      <c r="B267" t="s">
        <v>1942</v>
      </c>
      <c r="C267" t="s">
        <v>339</v>
      </c>
      <c r="D267" t="s">
        <v>1420</v>
      </c>
      <c r="E267">
        <v>0.406</v>
      </c>
      <c r="F267" t="s">
        <v>1377</v>
      </c>
      <c r="G267" t="s">
        <v>1933</v>
      </c>
      <c r="H267" t="s">
        <v>1628</v>
      </c>
      <c r="I267" t="s">
        <v>1408</v>
      </c>
      <c r="J267" t="s">
        <v>1381</v>
      </c>
      <c r="K267" t="s">
        <v>1382</v>
      </c>
      <c r="L267" t="s">
        <v>1383</v>
      </c>
      <c r="M267" t="s">
        <v>1381</v>
      </c>
    </row>
    <row r="268" spans="1:13" x14ac:dyDescent="0.25">
      <c r="A268" t="s">
        <v>39</v>
      </c>
      <c r="B268" t="s">
        <v>1943</v>
      </c>
      <c r="C268" t="s">
        <v>339</v>
      </c>
      <c r="D268" t="s">
        <v>1423</v>
      </c>
      <c r="E268">
        <v>0.406</v>
      </c>
      <c r="F268" t="s">
        <v>1377</v>
      </c>
      <c r="G268" t="s">
        <v>1933</v>
      </c>
      <c r="H268" t="s">
        <v>1628</v>
      </c>
      <c r="I268" t="s">
        <v>1464</v>
      </c>
      <c r="J268" t="s">
        <v>1381</v>
      </c>
      <c r="K268" t="s">
        <v>1382</v>
      </c>
      <c r="L268" t="s">
        <v>1383</v>
      </c>
      <c r="M268" t="s">
        <v>1381</v>
      </c>
    </row>
    <row r="269" spans="1:13" x14ac:dyDescent="0.25">
      <c r="A269" t="s">
        <v>39</v>
      </c>
      <c r="B269" t="s">
        <v>1944</v>
      </c>
      <c r="C269" t="s">
        <v>340</v>
      </c>
      <c r="D269" t="s">
        <v>1376</v>
      </c>
      <c r="E269">
        <v>2245.734</v>
      </c>
      <c r="F269" t="s">
        <v>1455</v>
      </c>
      <c r="G269" t="s">
        <v>1945</v>
      </c>
      <c r="H269" t="s">
        <v>1628</v>
      </c>
      <c r="I269" t="s">
        <v>1629</v>
      </c>
      <c r="J269" t="s">
        <v>1381</v>
      </c>
      <c r="K269" t="s">
        <v>1382</v>
      </c>
      <c r="L269" t="s">
        <v>1383</v>
      </c>
      <c r="M269" t="s">
        <v>1946</v>
      </c>
    </row>
    <row r="270" spans="1:13" x14ac:dyDescent="0.25">
      <c r="A270" t="s">
        <v>39</v>
      </c>
      <c r="B270" t="s">
        <v>1947</v>
      </c>
      <c r="C270" t="s">
        <v>340</v>
      </c>
      <c r="D270" t="s">
        <v>1386</v>
      </c>
      <c r="E270">
        <v>2196.941</v>
      </c>
      <c r="F270" t="s">
        <v>1455</v>
      </c>
      <c r="G270" t="s">
        <v>1948</v>
      </c>
      <c r="H270" t="s">
        <v>1628</v>
      </c>
      <c r="I270" t="s">
        <v>1633</v>
      </c>
      <c r="J270" t="s">
        <v>1381</v>
      </c>
      <c r="K270" t="s">
        <v>1382</v>
      </c>
      <c r="L270" t="s">
        <v>1383</v>
      </c>
      <c r="M270" t="s">
        <v>1946</v>
      </c>
    </row>
    <row r="271" spans="1:13" x14ac:dyDescent="0.25">
      <c r="A271" t="s">
        <v>39</v>
      </c>
      <c r="B271" t="s">
        <v>1949</v>
      </c>
      <c r="C271" t="s">
        <v>340</v>
      </c>
      <c r="D271" t="s">
        <v>1390</v>
      </c>
      <c r="E271">
        <v>2244.576</v>
      </c>
      <c r="F271" t="s">
        <v>1455</v>
      </c>
      <c r="G271" t="s">
        <v>1950</v>
      </c>
      <c r="H271" t="s">
        <v>1628</v>
      </c>
      <c r="I271" t="s">
        <v>1636</v>
      </c>
      <c r="J271" t="s">
        <v>1381</v>
      </c>
      <c r="K271" t="s">
        <v>1382</v>
      </c>
      <c r="L271" t="s">
        <v>1383</v>
      </c>
      <c r="M271" t="s">
        <v>1946</v>
      </c>
    </row>
    <row r="272" spans="1:13" x14ac:dyDescent="0.25">
      <c r="A272" t="s">
        <v>39</v>
      </c>
      <c r="B272" t="s">
        <v>1951</v>
      </c>
      <c r="C272" t="s">
        <v>340</v>
      </c>
      <c r="D272" t="s">
        <v>1394</v>
      </c>
      <c r="E272">
        <v>2255.528</v>
      </c>
      <c r="F272" t="s">
        <v>1455</v>
      </c>
      <c r="G272" t="s">
        <v>1952</v>
      </c>
      <c r="H272" t="s">
        <v>1628</v>
      </c>
      <c r="I272" t="s">
        <v>1639</v>
      </c>
      <c r="J272" t="s">
        <v>1381</v>
      </c>
      <c r="K272" t="s">
        <v>1382</v>
      </c>
      <c r="L272" t="s">
        <v>1383</v>
      </c>
      <c r="M272" t="s">
        <v>1946</v>
      </c>
    </row>
    <row r="273" spans="1:13" x14ac:dyDescent="0.25">
      <c r="A273" t="s">
        <v>39</v>
      </c>
      <c r="B273" t="s">
        <v>1953</v>
      </c>
      <c r="C273" t="s">
        <v>340</v>
      </c>
      <c r="D273" t="s">
        <v>1398</v>
      </c>
      <c r="E273">
        <v>2238.627</v>
      </c>
      <c r="F273" t="s">
        <v>1455</v>
      </c>
      <c r="G273" t="s">
        <v>1954</v>
      </c>
      <c r="H273" t="s">
        <v>1628</v>
      </c>
      <c r="I273" t="s">
        <v>1380</v>
      </c>
      <c r="J273" t="s">
        <v>1381</v>
      </c>
      <c r="K273" t="s">
        <v>1382</v>
      </c>
      <c r="L273" t="s">
        <v>1383</v>
      </c>
      <c r="M273" t="s">
        <v>1946</v>
      </c>
    </row>
    <row r="274" spans="1:13" x14ac:dyDescent="0.25">
      <c r="A274" t="s">
        <v>39</v>
      </c>
      <c r="B274" t="s">
        <v>1955</v>
      </c>
      <c r="C274" t="s">
        <v>340</v>
      </c>
      <c r="D274" t="s">
        <v>1402</v>
      </c>
      <c r="E274">
        <v>2263.244</v>
      </c>
      <c r="F274" t="s">
        <v>1455</v>
      </c>
      <c r="G274" t="s">
        <v>1956</v>
      </c>
      <c r="H274" t="s">
        <v>1628</v>
      </c>
      <c r="I274" t="s">
        <v>1388</v>
      </c>
      <c r="J274" t="s">
        <v>1381</v>
      </c>
      <c r="K274" t="s">
        <v>1382</v>
      </c>
      <c r="L274" t="s">
        <v>1383</v>
      </c>
      <c r="M274" t="s">
        <v>1946</v>
      </c>
    </row>
    <row r="275" spans="1:13" x14ac:dyDescent="0.25">
      <c r="A275" t="s">
        <v>39</v>
      </c>
      <c r="B275" t="s">
        <v>1957</v>
      </c>
      <c r="C275" t="s">
        <v>340</v>
      </c>
      <c r="D275" t="s">
        <v>1406</v>
      </c>
      <c r="E275">
        <v>2291.777</v>
      </c>
      <c r="F275" t="s">
        <v>1455</v>
      </c>
      <c r="G275" t="s">
        <v>1958</v>
      </c>
      <c r="H275" t="s">
        <v>1628</v>
      </c>
      <c r="I275" t="s">
        <v>1392</v>
      </c>
      <c r="J275" t="s">
        <v>1381</v>
      </c>
      <c r="K275" t="s">
        <v>1382</v>
      </c>
      <c r="L275" t="s">
        <v>1383</v>
      </c>
      <c r="M275" t="s">
        <v>1946</v>
      </c>
    </row>
    <row r="276" spans="1:13" x14ac:dyDescent="0.25">
      <c r="A276" t="s">
        <v>39</v>
      </c>
      <c r="B276" t="s">
        <v>1959</v>
      </c>
      <c r="C276" t="s">
        <v>340</v>
      </c>
      <c r="D276" t="s">
        <v>1410</v>
      </c>
      <c r="E276">
        <v>2309.758</v>
      </c>
      <c r="F276" t="s">
        <v>1455</v>
      </c>
      <c r="G276" t="s">
        <v>1960</v>
      </c>
      <c r="H276" t="s">
        <v>1628</v>
      </c>
      <c r="I276" t="s">
        <v>1464</v>
      </c>
      <c r="J276" t="s">
        <v>1381</v>
      </c>
      <c r="K276" t="s">
        <v>1382</v>
      </c>
      <c r="L276" t="s">
        <v>1383</v>
      </c>
      <c r="M276" t="s">
        <v>1946</v>
      </c>
    </row>
    <row r="277" spans="1:13" x14ac:dyDescent="0.25">
      <c r="A277" t="s">
        <v>39</v>
      </c>
      <c r="B277" t="s">
        <v>1961</v>
      </c>
      <c r="C277" t="s">
        <v>340</v>
      </c>
      <c r="D277" t="s">
        <v>1414</v>
      </c>
      <c r="E277">
        <v>2300.443</v>
      </c>
      <c r="F277" t="s">
        <v>1455</v>
      </c>
      <c r="G277" t="s">
        <v>1962</v>
      </c>
      <c r="H277" t="s">
        <v>1628</v>
      </c>
      <c r="I277" t="s">
        <v>1400</v>
      </c>
      <c r="J277" t="s">
        <v>1381</v>
      </c>
      <c r="K277" t="s">
        <v>1382</v>
      </c>
      <c r="L277" t="s">
        <v>1383</v>
      </c>
      <c r="M277" t="s">
        <v>1946</v>
      </c>
    </row>
    <row r="278" spans="1:13" x14ac:dyDescent="0.25">
      <c r="A278" t="s">
        <v>39</v>
      </c>
      <c r="B278" t="s">
        <v>1963</v>
      </c>
      <c r="C278" t="s">
        <v>340</v>
      </c>
      <c r="D278" t="s">
        <v>1418</v>
      </c>
      <c r="E278">
        <v>2335.685</v>
      </c>
      <c r="F278" t="s">
        <v>1455</v>
      </c>
      <c r="G278" t="s">
        <v>1964</v>
      </c>
      <c r="H278" t="s">
        <v>1628</v>
      </c>
      <c r="I278" t="s">
        <v>1404</v>
      </c>
      <c r="J278" t="s">
        <v>1381</v>
      </c>
      <c r="K278" t="s">
        <v>1382</v>
      </c>
      <c r="L278" t="s">
        <v>1383</v>
      </c>
      <c r="M278" t="s">
        <v>1946</v>
      </c>
    </row>
    <row r="279" spans="1:13" x14ac:dyDescent="0.25">
      <c r="A279" t="s">
        <v>39</v>
      </c>
      <c r="B279" t="s">
        <v>1965</v>
      </c>
      <c r="C279" t="s">
        <v>340</v>
      </c>
      <c r="D279" t="s">
        <v>1420</v>
      </c>
      <c r="E279">
        <v>2351.744</v>
      </c>
      <c r="F279" t="s">
        <v>1455</v>
      </c>
      <c r="G279" t="s">
        <v>1966</v>
      </c>
      <c r="H279" t="s">
        <v>1628</v>
      </c>
      <c r="I279" t="s">
        <v>1408</v>
      </c>
      <c r="J279" t="s">
        <v>1381</v>
      </c>
      <c r="K279" t="s">
        <v>1382</v>
      </c>
      <c r="L279" t="s">
        <v>1383</v>
      </c>
      <c r="M279" t="s">
        <v>1946</v>
      </c>
    </row>
    <row r="280" spans="1:13" x14ac:dyDescent="0.25">
      <c r="A280" t="s">
        <v>39</v>
      </c>
      <c r="B280" t="s">
        <v>1967</v>
      </c>
      <c r="C280" t="s">
        <v>340</v>
      </c>
      <c r="D280" t="s">
        <v>1423</v>
      </c>
      <c r="E280">
        <v>2384.305</v>
      </c>
      <c r="F280" t="s">
        <v>1455</v>
      </c>
      <c r="G280" t="s">
        <v>1968</v>
      </c>
      <c r="H280" t="s">
        <v>1628</v>
      </c>
      <c r="I280" t="s">
        <v>1464</v>
      </c>
      <c r="J280" t="s">
        <v>1381</v>
      </c>
      <c r="K280" t="s">
        <v>1382</v>
      </c>
      <c r="L280" t="s">
        <v>1383</v>
      </c>
      <c r="M280" t="s">
        <v>1969</v>
      </c>
    </row>
    <row r="281" spans="1:13" x14ac:dyDescent="0.25">
      <c r="A281" t="s">
        <v>39</v>
      </c>
      <c r="B281" t="s">
        <v>1970</v>
      </c>
      <c r="C281" t="s">
        <v>341</v>
      </c>
      <c r="D281" t="s">
        <v>1376</v>
      </c>
      <c r="E281">
        <v>7930.615</v>
      </c>
      <c r="F281" t="s">
        <v>1377</v>
      </c>
      <c r="G281" t="s">
        <v>1971</v>
      </c>
      <c r="H281" t="s">
        <v>1628</v>
      </c>
      <c r="I281" t="s">
        <v>1629</v>
      </c>
      <c r="J281" t="s">
        <v>1381</v>
      </c>
      <c r="K281" t="s">
        <v>1382</v>
      </c>
      <c r="L281" t="s">
        <v>1383</v>
      </c>
      <c r="M281" t="s">
        <v>1381</v>
      </c>
    </row>
    <row r="282" spans="1:13" x14ac:dyDescent="0.25">
      <c r="A282" t="s">
        <v>39</v>
      </c>
      <c r="B282" t="s">
        <v>1972</v>
      </c>
      <c r="C282" t="s">
        <v>341</v>
      </c>
      <c r="D282" t="s">
        <v>1386</v>
      </c>
      <c r="E282">
        <v>7868.766</v>
      </c>
      <c r="F282" t="s">
        <v>1377</v>
      </c>
      <c r="G282" t="s">
        <v>1973</v>
      </c>
      <c r="H282" t="s">
        <v>1628</v>
      </c>
      <c r="I282" t="s">
        <v>1633</v>
      </c>
      <c r="J282" t="s">
        <v>1381</v>
      </c>
      <c r="K282" t="s">
        <v>1382</v>
      </c>
      <c r="L282" t="s">
        <v>1383</v>
      </c>
      <c r="M282" t="s">
        <v>1381</v>
      </c>
    </row>
    <row r="283" spans="1:13" x14ac:dyDescent="0.25">
      <c r="A283" t="s">
        <v>39</v>
      </c>
      <c r="B283" t="s">
        <v>1974</v>
      </c>
      <c r="C283" t="s">
        <v>341</v>
      </c>
      <c r="D283" t="s">
        <v>1390</v>
      </c>
      <c r="E283">
        <v>7852.522</v>
      </c>
      <c r="F283" t="s">
        <v>1377</v>
      </c>
      <c r="G283" t="s">
        <v>1975</v>
      </c>
      <c r="H283" t="s">
        <v>1628</v>
      </c>
      <c r="I283" t="s">
        <v>1636</v>
      </c>
      <c r="J283" t="s">
        <v>1381</v>
      </c>
      <c r="K283" t="s">
        <v>1382</v>
      </c>
      <c r="L283" t="s">
        <v>1383</v>
      </c>
      <c r="M283" t="s">
        <v>1381</v>
      </c>
    </row>
    <row r="284" spans="1:13" x14ac:dyDescent="0.25">
      <c r="A284" t="s">
        <v>39</v>
      </c>
      <c r="B284" t="s">
        <v>1976</v>
      </c>
      <c r="C284" t="s">
        <v>341</v>
      </c>
      <c r="D284" t="s">
        <v>1394</v>
      </c>
      <c r="E284">
        <v>7849.844</v>
      </c>
      <c r="F284" t="s">
        <v>1377</v>
      </c>
      <c r="G284" t="s">
        <v>1977</v>
      </c>
      <c r="H284" t="s">
        <v>1628</v>
      </c>
      <c r="I284" t="s">
        <v>1639</v>
      </c>
      <c r="J284" t="s">
        <v>1381</v>
      </c>
      <c r="K284" t="s">
        <v>1382</v>
      </c>
      <c r="L284" t="s">
        <v>1383</v>
      </c>
      <c r="M284" t="s">
        <v>1381</v>
      </c>
    </row>
    <row r="285" spans="1:13" x14ac:dyDescent="0.25">
      <c r="A285" t="s">
        <v>39</v>
      </c>
      <c r="B285" t="s">
        <v>1978</v>
      </c>
      <c r="C285" t="s">
        <v>341</v>
      </c>
      <c r="D285" t="s">
        <v>1398</v>
      </c>
      <c r="E285">
        <v>7937.908</v>
      </c>
      <c r="F285" t="s">
        <v>1377</v>
      </c>
      <c r="G285" t="s">
        <v>1979</v>
      </c>
      <c r="H285" t="s">
        <v>1628</v>
      </c>
      <c r="I285" t="s">
        <v>1380</v>
      </c>
      <c r="J285" t="s">
        <v>1381</v>
      </c>
      <c r="K285" t="s">
        <v>1382</v>
      </c>
      <c r="L285" t="s">
        <v>1383</v>
      </c>
      <c r="M285" t="s">
        <v>1381</v>
      </c>
    </row>
    <row r="286" spans="1:13" x14ac:dyDescent="0.25">
      <c r="A286" t="s">
        <v>39</v>
      </c>
      <c r="B286" t="s">
        <v>1980</v>
      </c>
      <c r="C286" t="s">
        <v>341</v>
      </c>
      <c r="D286" t="s">
        <v>1402</v>
      </c>
      <c r="E286">
        <v>8022.546</v>
      </c>
      <c r="F286" t="s">
        <v>1377</v>
      </c>
      <c r="G286" t="s">
        <v>1981</v>
      </c>
      <c r="H286" t="s">
        <v>1628</v>
      </c>
      <c r="I286" t="s">
        <v>1388</v>
      </c>
      <c r="J286" t="s">
        <v>1381</v>
      </c>
      <c r="K286" t="s">
        <v>1382</v>
      </c>
      <c r="L286" t="s">
        <v>1383</v>
      </c>
      <c r="M286" t="s">
        <v>1381</v>
      </c>
    </row>
    <row r="287" spans="1:13" x14ac:dyDescent="0.25">
      <c r="A287" t="s">
        <v>39</v>
      </c>
      <c r="B287" t="s">
        <v>1982</v>
      </c>
      <c r="C287" t="s">
        <v>341</v>
      </c>
      <c r="D287" t="s">
        <v>1406</v>
      </c>
      <c r="E287">
        <v>8124.134</v>
      </c>
      <c r="F287" t="s">
        <v>1377</v>
      </c>
      <c r="G287" t="s">
        <v>1983</v>
      </c>
      <c r="H287" t="s">
        <v>1628</v>
      </c>
      <c r="I287" t="s">
        <v>1392</v>
      </c>
      <c r="J287" t="s">
        <v>1381</v>
      </c>
      <c r="K287" t="s">
        <v>1382</v>
      </c>
      <c r="L287" t="s">
        <v>1383</v>
      </c>
      <c r="M287" t="s">
        <v>1381</v>
      </c>
    </row>
    <row r="288" spans="1:13" x14ac:dyDescent="0.25">
      <c r="A288" t="s">
        <v>39</v>
      </c>
      <c r="B288" t="s">
        <v>1984</v>
      </c>
      <c r="C288" t="s">
        <v>341</v>
      </c>
      <c r="D288" t="s">
        <v>1410</v>
      </c>
      <c r="E288">
        <v>8270.145</v>
      </c>
      <c r="F288" t="s">
        <v>1377</v>
      </c>
      <c r="G288" t="s">
        <v>1985</v>
      </c>
      <c r="H288" t="s">
        <v>1628</v>
      </c>
      <c r="I288" t="s">
        <v>1464</v>
      </c>
      <c r="J288" t="s">
        <v>1381</v>
      </c>
      <c r="K288" t="s">
        <v>1382</v>
      </c>
      <c r="L288" t="s">
        <v>1383</v>
      </c>
      <c r="M288" t="s">
        <v>1381</v>
      </c>
    </row>
    <row r="289" spans="1:13" x14ac:dyDescent="0.25">
      <c r="A289" t="s">
        <v>39</v>
      </c>
      <c r="B289" t="s">
        <v>1986</v>
      </c>
      <c r="C289" t="s">
        <v>341</v>
      </c>
      <c r="D289" t="s">
        <v>1414</v>
      </c>
      <c r="E289">
        <v>8311.857</v>
      </c>
      <c r="F289" t="s">
        <v>1377</v>
      </c>
      <c r="G289" t="s">
        <v>1987</v>
      </c>
      <c r="H289" t="s">
        <v>1628</v>
      </c>
      <c r="I289" t="s">
        <v>1400</v>
      </c>
      <c r="J289" t="s">
        <v>1381</v>
      </c>
      <c r="K289" t="s">
        <v>1382</v>
      </c>
      <c r="L289" t="s">
        <v>1383</v>
      </c>
      <c r="M289" t="s">
        <v>1381</v>
      </c>
    </row>
    <row r="290" spans="1:13" x14ac:dyDescent="0.25">
      <c r="A290" t="s">
        <v>39</v>
      </c>
      <c r="B290" t="s">
        <v>1988</v>
      </c>
      <c r="C290" t="s">
        <v>341</v>
      </c>
      <c r="D290" t="s">
        <v>1418</v>
      </c>
      <c r="E290">
        <v>8309.035</v>
      </c>
      <c r="F290" t="s">
        <v>1377</v>
      </c>
      <c r="G290" t="s">
        <v>1989</v>
      </c>
      <c r="H290" t="s">
        <v>1628</v>
      </c>
      <c r="I290" t="s">
        <v>1404</v>
      </c>
      <c r="J290" t="s">
        <v>1381</v>
      </c>
      <c r="K290" t="s">
        <v>1382</v>
      </c>
      <c r="L290" t="s">
        <v>1383</v>
      </c>
      <c r="M290" t="s">
        <v>1381</v>
      </c>
    </row>
    <row r="291" spans="1:13" x14ac:dyDescent="0.25">
      <c r="A291" t="s">
        <v>39</v>
      </c>
      <c r="B291" t="s">
        <v>1990</v>
      </c>
      <c r="C291" t="s">
        <v>341</v>
      </c>
      <c r="D291" t="s">
        <v>1420</v>
      </c>
      <c r="E291">
        <v>8461.907</v>
      </c>
      <c r="F291" t="s">
        <v>1377</v>
      </c>
      <c r="G291" t="s">
        <v>1991</v>
      </c>
      <c r="H291" t="s">
        <v>1628</v>
      </c>
      <c r="I291" t="s">
        <v>1408</v>
      </c>
      <c r="J291" t="s">
        <v>1381</v>
      </c>
      <c r="K291" t="s">
        <v>1382</v>
      </c>
      <c r="L291" t="s">
        <v>1383</v>
      </c>
      <c r="M291" t="s">
        <v>1381</v>
      </c>
    </row>
    <row r="292" spans="1:13" x14ac:dyDescent="0.25">
      <c r="A292" t="s">
        <v>39</v>
      </c>
      <c r="B292" t="s">
        <v>1992</v>
      </c>
      <c r="C292" t="s">
        <v>341</v>
      </c>
      <c r="D292" t="s">
        <v>1423</v>
      </c>
      <c r="E292">
        <v>8574.825</v>
      </c>
      <c r="F292" t="s">
        <v>1377</v>
      </c>
      <c r="G292" t="s">
        <v>1993</v>
      </c>
      <c r="H292" t="s">
        <v>1628</v>
      </c>
      <c r="I292" t="s">
        <v>1464</v>
      </c>
      <c r="J292" t="s">
        <v>1381</v>
      </c>
      <c r="K292" t="s">
        <v>1382</v>
      </c>
      <c r="L292" t="s">
        <v>1383</v>
      </c>
      <c r="M292" t="s">
        <v>1381</v>
      </c>
    </row>
    <row r="293" spans="1:13" x14ac:dyDescent="0.25">
      <c r="A293" t="s">
        <v>39</v>
      </c>
      <c r="B293" t="s">
        <v>1994</v>
      </c>
      <c r="C293" t="s">
        <v>1995</v>
      </c>
      <c r="D293" t="s">
        <v>1376</v>
      </c>
      <c r="E293">
        <v>0</v>
      </c>
      <c r="F293" t="s">
        <v>1455</v>
      </c>
      <c r="G293" t="s">
        <v>1996</v>
      </c>
      <c r="H293" t="s">
        <v>1628</v>
      </c>
      <c r="I293" t="s">
        <v>1381</v>
      </c>
      <c r="J293" t="s">
        <v>1381</v>
      </c>
      <c r="K293" t="s">
        <v>1382</v>
      </c>
      <c r="L293" t="s">
        <v>1383</v>
      </c>
      <c r="M293" t="s">
        <v>1997</v>
      </c>
    </row>
    <row r="294" spans="1:13" x14ac:dyDescent="0.25">
      <c r="A294" t="s">
        <v>39</v>
      </c>
      <c r="B294" t="s">
        <v>1998</v>
      </c>
      <c r="C294" t="s">
        <v>1995</v>
      </c>
      <c r="D294" t="s">
        <v>1386</v>
      </c>
      <c r="E294">
        <v>0</v>
      </c>
      <c r="F294" t="s">
        <v>1455</v>
      </c>
      <c r="G294" t="s">
        <v>1996</v>
      </c>
      <c r="H294" t="s">
        <v>1628</v>
      </c>
      <c r="I294" t="s">
        <v>1381</v>
      </c>
      <c r="J294" t="s">
        <v>1381</v>
      </c>
      <c r="K294" t="s">
        <v>1382</v>
      </c>
      <c r="L294" t="s">
        <v>1383</v>
      </c>
      <c r="M294" t="s">
        <v>1997</v>
      </c>
    </row>
    <row r="295" spans="1:13" x14ac:dyDescent="0.25">
      <c r="A295" t="s">
        <v>39</v>
      </c>
      <c r="B295" t="s">
        <v>1999</v>
      </c>
      <c r="C295" t="s">
        <v>1995</v>
      </c>
      <c r="D295" t="s">
        <v>1390</v>
      </c>
      <c r="E295">
        <v>0</v>
      </c>
      <c r="F295" t="s">
        <v>1455</v>
      </c>
      <c r="G295" t="s">
        <v>1996</v>
      </c>
      <c r="H295" t="s">
        <v>1628</v>
      </c>
      <c r="I295" t="s">
        <v>1381</v>
      </c>
      <c r="J295" t="s">
        <v>1381</v>
      </c>
      <c r="K295" t="s">
        <v>1382</v>
      </c>
      <c r="L295" t="s">
        <v>1383</v>
      </c>
      <c r="M295" t="s">
        <v>1997</v>
      </c>
    </row>
    <row r="296" spans="1:13" x14ac:dyDescent="0.25">
      <c r="A296" t="s">
        <v>39</v>
      </c>
      <c r="B296" t="s">
        <v>2000</v>
      </c>
      <c r="C296" t="s">
        <v>1995</v>
      </c>
      <c r="D296" t="s">
        <v>1394</v>
      </c>
      <c r="E296">
        <v>0</v>
      </c>
      <c r="F296" t="s">
        <v>1455</v>
      </c>
      <c r="G296" t="s">
        <v>1996</v>
      </c>
      <c r="H296" t="s">
        <v>1628</v>
      </c>
      <c r="I296" t="s">
        <v>1381</v>
      </c>
      <c r="J296" t="s">
        <v>1381</v>
      </c>
      <c r="K296" t="s">
        <v>1382</v>
      </c>
      <c r="L296" t="s">
        <v>1383</v>
      </c>
      <c r="M296" t="s">
        <v>1997</v>
      </c>
    </row>
    <row r="297" spans="1:13" x14ac:dyDescent="0.25">
      <c r="A297" t="s">
        <v>39</v>
      </c>
      <c r="B297" t="s">
        <v>2001</v>
      </c>
      <c r="C297" t="s">
        <v>1995</v>
      </c>
      <c r="D297" t="s">
        <v>1398</v>
      </c>
      <c r="E297">
        <v>0</v>
      </c>
      <c r="F297" t="s">
        <v>1455</v>
      </c>
      <c r="G297" t="s">
        <v>1996</v>
      </c>
      <c r="H297" t="s">
        <v>1628</v>
      </c>
      <c r="I297" t="s">
        <v>1381</v>
      </c>
      <c r="J297" t="s">
        <v>1381</v>
      </c>
      <c r="K297" t="s">
        <v>1382</v>
      </c>
      <c r="L297" t="s">
        <v>1383</v>
      </c>
      <c r="M297" t="s">
        <v>1997</v>
      </c>
    </row>
    <row r="298" spans="1:13" x14ac:dyDescent="0.25">
      <c r="A298" t="s">
        <v>39</v>
      </c>
      <c r="B298" t="s">
        <v>2002</v>
      </c>
      <c r="C298" t="s">
        <v>1995</v>
      </c>
      <c r="D298" t="s">
        <v>1402</v>
      </c>
      <c r="E298">
        <v>0</v>
      </c>
      <c r="F298" t="s">
        <v>1455</v>
      </c>
      <c r="G298" t="s">
        <v>1996</v>
      </c>
      <c r="H298" t="s">
        <v>1628</v>
      </c>
      <c r="I298" t="s">
        <v>1381</v>
      </c>
      <c r="J298" t="s">
        <v>1381</v>
      </c>
      <c r="K298" t="s">
        <v>1382</v>
      </c>
      <c r="L298" t="s">
        <v>1383</v>
      </c>
      <c r="M298" t="s">
        <v>1997</v>
      </c>
    </row>
    <row r="299" spans="1:13" x14ac:dyDescent="0.25">
      <c r="A299" t="s">
        <v>39</v>
      </c>
      <c r="B299" t="s">
        <v>2003</v>
      </c>
      <c r="C299" t="s">
        <v>1995</v>
      </c>
      <c r="D299" t="s">
        <v>1406</v>
      </c>
      <c r="E299">
        <v>0</v>
      </c>
      <c r="F299" t="s">
        <v>1455</v>
      </c>
      <c r="G299" t="s">
        <v>1996</v>
      </c>
      <c r="H299" t="s">
        <v>1628</v>
      </c>
      <c r="I299" t="s">
        <v>1381</v>
      </c>
      <c r="J299" t="s">
        <v>1381</v>
      </c>
      <c r="K299" t="s">
        <v>1382</v>
      </c>
      <c r="L299" t="s">
        <v>1383</v>
      </c>
      <c r="M299" t="s">
        <v>1997</v>
      </c>
    </row>
    <row r="300" spans="1:13" x14ac:dyDescent="0.25">
      <c r="A300" t="s">
        <v>39</v>
      </c>
      <c r="B300" t="s">
        <v>2004</v>
      </c>
      <c r="C300" t="s">
        <v>1995</v>
      </c>
      <c r="D300" t="s">
        <v>1410</v>
      </c>
      <c r="E300">
        <v>0</v>
      </c>
      <c r="F300" t="s">
        <v>1455</v>
      </c>
      <c r="G300" t="s">
        <v>1996</v>
      </c>
      <c r="H300" t="s">
        <v>1628</v>
      </c>
      <c r="I300" t="s">
        <v>1381</v>
      </c>
      <c r="J300" t="s">
        <v>1381</v>
      </c>
      <c r="K300" t="s">
        <v>1382</v>
      </c>
      <c r="L300" t="s">
        <v>1383</v>
      </c>
      <c r="M300" t="s">
        <v>1997</v>
      </c>
    </row>
    <row r="301" spans="1:13" x14ac:dyDescent="0.25">
      <c r="A301" t="s">
        <v>39</v>
      </c>
      <c r="B301" t="s">
        <v>2005</v>
      </c>
      <c r="C301" t="s">
        <v>1995</v>
      </c>
      <c r="D301" t="s">
        <v>1414</v>
      </c>
      <c r="E301">
        <v>0</v>
      </c>
      <c r="F301" t="s">
        <v>1455</v>
      </c>
      <c r="G301" t="s">
        <v>1996</v>
      </c>
      <c r="H301" t="s">
        <v>1628</v>
      </c>
      <c r="I301" t="s">
        <v>1381</v>
      </c>
      <c r="J301" t="s">
        <v>1381</v>
      </c>
      <c r="K301" t="s">
        <v>1382</v>
      </c>
      <c r="L301" t="s">
        <v>1383</v>
      </c>
      <c r="M301" t="s">
        <v>1997</v>
      </c>
    </row>
    <row r="302" spans="1:13" x14ac:dyDescent="0.25">
      <c r="A302" t="s">
        <v>39</v>
      </c>
      <c r="B302" t="s">
        <v>2006</v>
      </c>
      <c r="C302" t="s">
        <v>1995</v>
      </c>
      <c r="D302" t="s">
        <v>1418</v>
      </c>
      <c r="E302">
        <v>0</v>
      </c>
      <c r="F302" t="s">
        <v>1455</v>
      </c>
      <c r="G302" t="s">
        <v>1996</v>
      </c>
      <c r="H302" t="s">
        <v>1628</v>
      </c>
      <c r="I302" t="s">
        <v>1381</v>
      </c>
      <c r="J302" t="s">
        <v>1381</v>
      </c>
      <c r="K302" t="s">
        <v>1382</v>
      </c>
      <c r="L302" t="s">
        <v>1383</v>
      </c>
      <c r="M302" t="s">
        <v>1997</v>
      </c>
    </row>
    <row r="303" spans="1:13" x14ac:dyDescent="0.25">
      <c r="A303" t="s">
        <v>39</v>
      </c>
      <c r="B303" t="s">
        <v>2007</v>
      </c>
      <c r="C303" t="s">
        <v>1995</v>
      </c>
      <c r="D303" t="s">
        <v>1420</v>
      </c>
      <c r="E303">
        <v>0</v>
      </c>
      <c r="F303" t="s">
        <v>1455</v>
      </c>
      <c r="G303" t="s">
        <v>1996</v>
      </c>
      <c r="H303" t="s">
        <v>1628</v>
      </c>
      <c r="I303" t="s">
        <v>1381</v>
      </c>
      <c r="J303" t="s">
        <v>1381</v>
      </c>
      <c r="K303" t="s">
        <v>1382</v>
      </c>
      <c r="L303" t="s">
        <v>1383</v>
      </c>
      <c r="M303" t="s">
        <v>1997</v>
      </c>
    </row>
    <row r="304" spans="1:13" x14ac:dyDescent="0.25">
      <c r="A304" t="s">
        <v>39</v>
      </c>
      <c r="B304" t="s">
        <v>2008</v>
      </c>
      <c r="C304" t="s">
        <v>1995</v>
      </c>
      <c r="D304" t="s">
        <v>1423</v>
      </c>
      <c r="E304">
        <v>0</v>
      </c>
      <c r="F304" t="s">
        <v>1455</v>
      </c>
      <c r="G304" t="s">
        <v>1996</v>
      </c>
      <c r="H304" t="s">
        <v>1628</v>
      </c>
      <c r="I304" t="s">
        <v>1381</v>
      </c>
      <c r="J304" t="s">
        <v>1381</v>
      </c>
      <c r="K304" t="s">
        <v>1382</v>
      </c>
      <c r="L304" t="s">
        <v>1383</v>
      </c>
      <c r="M304" t="s">
        <v>1997</v>
      </c>
    </row>
    <row r="305" spans="1:13" x14ac:dyDescent="0.25">
      <c r="A305" t="s">
        <v>39</v>
      </c>
      <c r="B305" t="s">
        <v>2009</v>
      </c>
      <c r="C305" t="s">
        <v>343</v>
      </c>
      <c r="D305" t="s">
        <v>1376</v>
      </c>
      <c r="E305">
        <v>-421.105</v>
      </c>
      <c r="F305" t="s">
        <v>1377</v>
      </c>
      <c r="G305" t="s">
        <v>2010</v>
      </c>
      <c r="H305" t="s">
        <v>1628</v>
      </c>
      <c r="I305" t="s">
        <v>1629</v>
      </c>
      <c r="J305" t="s">
        <v>1381</v>
      </c>
      <c r="K305" t="s">
        <v>1382</v>
      </c>
      <c r="L305" t="s">
        <v>1383</v>
      </c>
      <c r="M305" t="s">
        <v>1381</v>
      </c>
    </row>
    <row r="306" spans="1:13" x14ac:dyDescent="0.25">
      <c r="A306" t="s">
        <v>39</v>
      </c>
      <c r="B306" t="s">
        <v>2011</v>
      </c>
      <c r="C306" t="s">
        <v>343</v>
      </c>
      <c r="D306" t="s">
        <v>1386</v>
      </c>
      <c r="E306">
        <v>-370.052</v>
      </c>
      <c r="F306" t="s">
        <v>1377</v>
      </c>
      <c r="G306" t="s">
        <v>2012</v>
      </c>
      <c r="H306" t="s">
        <v>1628</v>
      </c>
      <c r="I306" t="s">
        <v>1633</v>
      </c>
      <c r="J306" t="s">
        <v>1381</v>
      </c>
      <c r="K306" t="s">
        <v>1382</v>
      </c>
      <c r="L306" t="s">
        <v>1383</v>
      </c>
      <c r="M306" t="s">
        <v>1381</v>
      </c>
    </row>
    <row r="307" spans="1:13" x14ac:dyDescent="0.25">
      <c r="A307" t="s">
        <v>39</v>
      </c>
      <c r="B307" t="s">
        <v>2013</v>
      </c>
      <c r="C307" t="s">
        <v>343</v>
      </c>
      <c r="D307" t="s">
        <v>1390</v>
      </c>
      <c r="E307">
        <v>-398.25</v>
      </c>
      <c r="F307" t="s">
        <v>1377</v>
      </c>
      <c r="G307" t="s">
        <v>2014</v>
      </c>
      <c r="H307" t="s">
        <v>1628</v>
      </c>
      <c r="I307" t="s">
        <v>1636</v>
      </c>
      <c r="J307" t="s">
        <v>1381</v>
      </c>
      <c r="K307" t="s">
        <v>1382</v>
      </c>
      <c r="L307" t="s">
        <v>1383</v>
      </c>
      <c r="M307" t="s">
        <v>1381</v>
      </c>
    </row>
    <row r="308" spans="1:13" x14ac:dyDescent="0.25">
      <c r="A308" t="s">
        <v>39</v>
      </c>
      <c r="B308" t="s">
        <v>2015</v>
      </c>
      <c r="C308" t="s">
        <v>343</v>
      </c>
      <c r="D308" t="s">
        <v>1394</v>
      </c>
      <c r="E308">
        <v>-395.545</v>
      </c>
      <c r="F308" t="s">
        <v>1377</v>
      </c>
      <c r="G308" t="s">
        <v>2016</v>
      </c>
      <c r="H308" t="s">
        <v>1628</v>
      </c>
      <c r="I308" t="s">
        <v>1639</v>
      </c>
      <c r="J308" t="s">
        <v>1381</v>
      </c>
      <c r="K308" t="s">
        <v>1382</v>
      </c>
      <c r="L308" t="s">
        <v>1383</v>
      </c>
      <c r="M308" t="s">
        <v>1381</v>
      </c>
    </row>
    <row r="309" spans="1:13" x14ac:dyDescent="0.25">
      <c r="A309" t="s">
        <v>39</v>
      </c>
      <c r="B309" t="s">
        <v>2017</v>
      </c>
      <c r="C309" t="s">
        <v>343</v>
      </c>
      <c r="D309" t="s">
        <v>1398</v>
      </c>
      <c r="E309">
        <v>-396.438</v>
      </c>
      <c r="F309" t="s">
        <v>1377</v>
      </c>
      <c r="G309" t="s">
        <v>2018</v>
      </c>
      <c r="H309" t="s">
        <v>1628</v>
      </c>
      <c r="I309" t="s">
        <v>1380</v>
      </c>
      <c r="J309" t="s">
        <v>1381</v>
      </c>
      <c r="K309" t="s">
        <v>1382</v>
      </c>
      <c r="L309" t="s">
        <v>1383</v>
      </c>
      <c r="M309" t="s">
        <v>1381</v>
      </c>
    </row>
    <row r="310" spans="1:13" x14ac:dyDescent="0.25">
      <c r="A310" t="s">
        <v>39</v>
      </c>
      <c r="B310" t="s">
        <v>2019</v>
      </c>
      <c r="C310" t="s">
        <v>343</v>
      </c>
      <c r="D310" t="s">
        <v>1402</v>
      </c>
      <c r="E310">
        <v>-410.734</v>
      </c>
      <c r="F310" t="s">
        <v>1377</v>
      </c>
      <c r="G310" t="s">
        <v>2020</v>
      </c>
      <c r="H310" t="s">
        <v>1628</v>
      </c>
      <c r="I310" t="s">
        <v>1388</v>
      </c>
      <c r="J310" t="s">
        <v>1381</v>
      </c>
      <c r="K310" t="s">
        <v>1382</v>
      </c>
      <c r="L310" t="s">
        <v>1383</v>
      </c>
      <c r="M310" t="s">
        <v>1381</v>
      </c>
    </row>
    <row r="311" spans="1:13" x14ac:dyDescent="0.25">
      <c r="A311" t="s">
        <v>39</v>
      </c>
      <c r="B311" t="s">
        <v>2021</v>
      </c>
      <c r="C311" t="s">
        <v>343</v>
      </c>
      <c r="D311" t="s">
        <v>1406</v>
      </c>
      <c r="E311">
        <v>-369.965</v>
      </c>
      <c r="F311" t="s">
        <v>1377</v>
      </c>
      <c r="G311" t="s">
        <v>2022</v>
      </c>
      <c r="H311" t="s">
        <v>1628</v>
      </c>
      <c r="I311" t="s">
        <v>1392</v>
      </c>
      <c r="J311" t="s">
        <v>1381</v>
      </c>
      <c r="K311" t="s">
        <v>1382</v>
      </c>
      <c r="L311" t="s">
        <v>1383</v>
      </c>
      <c r="M311" t="s">
        <v>1381</v>
      </c>
    </row>
    <row r="312" spans="1:13" x14ac:dyDescent="0.25">
      <c r="A312" t="s">
        <v>39</v>
      </c>
      <c r="B312" t="s">
        <v>2023</v>
      </c>
      <c r="C312" t="s">
        <v>343</v>
      </c>
      <c r="D312" t="s">
        <v>1410</v>
      </c>
      <c r="E312">
        <v>-423.131</v>
      </c>
      <c r="F312" t="s">
        <v>1377</v>
      </c>
      <c r="G312" t="s">
        <v>2024</v>
      </c>
      <c r="H312" t="s">
        <v>1628</v>
      </c>
      <c r="I312" t="s">
        <v>1464</v>
      </c>
      <c r="J312" t="s">
        <v>1381</v>
      </c>
      <c r="K312" t="s">
        <v>1382</v>
      </c>
      <c r="L312" t="s">
        <v>1383</v>
      </c>
      <c r="M312" t="s">
        <v>1381</v>
      </c>
    </row>
    <row r="313" spans="1:13" x14ac:dyDescent="0.25">
      <c r="A313" t="s">
        <v>39</v>
      </c>
      <c r="B313" t="s">
        <v>2025</v>
      </c>
      <c r="C313" t="s">
        <v>343</v>
      </c>
      <c r="D313" t="s">
        <v>1414</v>
      </c>
      <c r="E313">
        <v>-408.072</v>
      </c>
      <c r="F313" t="s">
        <v>1377</v>
      </c>
      <c r="G313" t="s">
        <v>2026</v>
      </c>
      <c r="H313" t="s">
        <v>1628</v>
      </c>
      <c r="I313" t="s">
        <v>1400</v>
      </c>
      <c r="J313" t="s">
        <v>1381</v>
      </c>
      <c r="K313" t="s">
        <v>1382</v>
      </c>
      <c r="L313" t="s">
        <v>1383</v>
      </c>
      <c r="M313" t="s">
        <v>1381</v>
      </c>
    </row>
    <row r="314" spans="1:13" x14ac:dyDescent="0.25">
      <c r="A314" t="s">
        <v>39</v>
      </c>
      <c r="B314" t="s">
        <v>2027</v>
      </c>
      <c r="C314" t="s">
        <v>343</v>
      </c>
      <c r="D314" t="s">
        <v>1418</v>
      </c>
      <c r="E314">
        <v>-339.695</v>
      </c>
      <c r="F314" t="s">
        <v>1377</v>
      </c>
      <c r="G314" t="s">
        <v>2028</v>
      </c>
      <c r="H314" t="s">
        <v>1628</v>
      </c>
      <c r="I314" t="s">
        <v>1404</v>
      </c>
      <c r="J314" t="s">
        <v>1381</v>
      </c>
      <c r="K314" t="s">
        <v>1382</v>
      </c>
      <c r="L314" t="s">
        <v>1383</v>
      </c>
      <c r="M314" t="s">
        <v>1381</v>
      </c>
    </row>
    <row r="315" spans="1:13" x14ac:dyDescent="0.25">
      <c r="A315" t="s">
        <v>39</v>
      </c>
      <c r="B315" t="s">
        <v>2029</v>
      </c>
      <c r="C315" t="s">
        <v>343</v>
      </c>
      <c r="D315" t="s">
        <v>1420</v>
      </c>
      <c r="E315">
        <v>-374.927</v>
      </c>
      <c r="F315" t="s">
        <v>1377</v>
      </c>
      <c r="G315" t="s">
        <v>2030</v>
      </c>
      <c r="H315" t="s">
        <v>1628</v>
      </c>
      <c r="I315" t="s">
        <v>1408</v>
      </c>
      <c r="J315" t="s">
        <v>1381</v>
      </c>
      <c r="K315" t="s">
        <v>1382</v>
      </c>
      <c r="L315" t="s">
        <v>1383</v>
      </c>
      <c r="M315" t="s">
        <v>1381</v>
      </c>
    </row>
    <row r="316" spans="1:13" x14ac:dyDescent="0.25">
      <c r="A316" t="s">
        <v>39</v>
      </c>
      <c r="B316" t="s">
        <v>2031</v>
      </c>
      <c r="C316" t="s">
        <v>343</v>
      </c>
      <c r="D316" t="s">
        <v>1423</v>
      </c>
      <c r="E316">
        <v>-384.434</v>
      </c>
      <c r="F316" t="s">
        <v>1377</v>
      </c>
      <c r="G316" t="s">
        <v>2032</v>
      </c>
      <c r="H316" t="s">
        <v>1628</v>
      </c>
      <c r="I316" t="s">
        <v>1464</v>
      </c>
      <c r="J316" t="s">
        <v>1381</v>
      </c>
      <c r="K316" t="s">
        <v>1382</v>
      </c>
      <c r="L316" t="s">
        <v>1383</v>
      </c>
      <c r="M316" t="s">
        <v>1381</v>
      </c>
    </row>
    <row r="317" spans="1:13" x14ac:dyDescent="0.25">
      <c r="A317" t="s">
        <v>39</v>
      </c>
      <c r="B317" t="s">
        <v>2033</v>
      </c>
      <c r="C317" t="s">
        <v>345</v>
      </c>
      <c r="D317" t="s">
        <v>1376</v>
      </c>
      <c r="E317">
        <v>56.185</v>
      </c>
      <c r="F317" t="s">
        <v>1377</v>
      </c>
      <c r="G317" t="s">
        <v>2034</v>
      </c>
      <c r="H317" t="s">
        <v>1628</v>
      </c>
      <c r="I317" t="s">
        <v>1629</v>
      </c>
      <c r="J317" t="s">
        <v>1381</v>
      </c>
      <c r="K317" t="s">
        <v>1382</v>
      </c>
      <c r="L317" t="s">
        <v>1383</v>
      </c>
      <c r="M317" t="s">
        <v>1381</v>
      </c>
    </row>
    <row r="318" spans="1:13" x14ac:dyDescent="0.25">
      <c r="A318" t="s">
        <v>39</v>
      </c>
      <c r="B318" t="s">
        <v>2035</v>
      </c>
      <c r="C318" t="s">
        <v>345</v>
      </c>
      <c r="D318" t="s">
        <v>1386</v>
      </c>
      <c r="E318">
        <v>69.595</v>
      </c>
      <c r="F318" t="s">
        <v>1377</v>
      </c>
      <c r="G318" t="s">
        <v>2036</v>
      </c>
      <c r="H318" t="s">
        <v>1628</v>
      </c>
      <c r="I318" t="s">
        <v>1633</v>
      </c>
      <c r="J318" t="s">
        <v>1381</v>
      </c>
      <c r="K318" t="s">
        <v>1382</v>
      </c>
      <c r="L318" t="s">
        <v>1383</v>
      </c>
      <c r="M318" t="s">
        <v>1381</v>
      </c>
    </row>
    <row r="319" spans="1:13" x14ac:dyDescent="0.25">
      <c r="A319" t="s">
        <v>39</v>
      </c>
      <c r="B319" t="s">
        <v>2037</v>
      </c>
      <c r="C319" t="s">
        <v>345</v>
      </c>
      <c r="D319" t="s">
        <v>1390</v>
      </c>
      <c r="E319">
        <v>66.284</v>
      </c>
      <c r="F319" t="s">
        <v>1377</v>
      </c>
      <c r="G319" t="s">
        <v>2038</v>
      </c>
      <c r="H319" t="s">
        <v>1628</v>
      </c>
      <c r="I319" t="s">
        <v>1636</v>
      </c>
      <c r="J319" t="s">
        <v>1381</v>
      </c>
      <c r="K319" t="s">
        <v>1382</v>
      </c>
      <c r="L319" t="s">
        <v>1383</v>
      </c>
      <c r="M319" t="s">
        <v>1381</v>
      </c>
    </row>
    <row r="320" spans="1:13" x14ac:dyDescent="0.25">
      <c r="A320" t="s">
        <v>39</v>
      </c>
      <c r="B320" t="s">
        <v>2039</v>
      </c>
      <c r="C320" t="s">
        <v>345</v>
      </c>
      <c r="D320" t="s">
        <v>1394</v>
      </c>
      <c r="E320">
        <v>92.308</v>
      </c>
      <c r="F320" t="s">
        <v>1377</v>
      </c>
      <c r="G320" t="s">
        <v>2040</v>
      </c>
      <c r="H320" t="s">
        <v>1628</v>
      </c>
      <c r="I320" t="s">
        <v>1639</v>
      </c>
      <c r="J320" t="s">
        <v>1381</v>
      </c>
      <c r="K320" t="s">
        <v>1382</v>
      </c>
      <c r="L320" t="s">
        <v>1383</v>
      </c>
      <c r="M320" t="s">
        <v>1381</v>
      </c>
    </row>
    <row r="321" spans="1:13" x14ac:dyDescent="0.25">
      <c r="A321" t="s">
        <v>39</v>
      </c>
      <c r="B321" t="s">
        <v>2041</v>
      </c>
      <c r="C321" t="s">
        <v>345</v>
      </c>
      <c r="D321" t="s">
        <v>1398</v>
      </c>
      <c r="E321">
        <v>87.372</v>
      </c>
      <c r="F321" t="s">
        <v>1377</v>
      </c>
      <c r="G321" t="s">
        <v>2042</v>
      </c>
      <c r="H321" t="s">
        <v>1628</v>
      </c>
      <c r="I321" t="s">
        <v>1380</v>
      </c>
      <c r="J321" t="s">
        <v>1381</v>
      </c>
      <c r="K321" t="s">
        <v>1382</v>
      </c>
      <c r="L321" t="s">
        <v>1383</v>
      </c>
      <c r="M321" t="s">
        <v>1381</v>
      </c>
    </row>
    <row r="322" spans="1:13" x14ac:dyDescent="0.25">
      <c r="A322" t="s">
        <v>39</v>
      </c>
      <c r="B322" t="s">
        <v>2043</v>
      </c>
      <c r="C322" t="s">
        <v>345</v>
      </c>
      <c r="D322" t="s">
        <v>1402</v>
      </c>
      <c r="E322">
        <v>77.13</v>
      </c>
      <c r="F322" t="s">
        <v>1377</v>
      </c>
      <c r="G322" t="s">
        <v>2044</v>
      </c>
      <c r="H322" t="s">
        <v>1628</v>
      </c>
      <c r="I322" t="s">
        <v>1388</v>
      </c>
      <c r="J322" t="s">
        <v>1381</v>
      </c>
      <c r="K322" t="s">
        <v>1382</v>
      </c>
      <c r="L322" t="s">
        <v>1383</v>
      </c>
      <c r="M322" t="s">
        <v>1381</v>
      </c>
    </row>
    <row r="323" spans="1:13" x14ac:dyDescent="0.25">
      <c r="A323" t="s">
        <v>39</v>
      </c>
      <c r="B323" t="s">
        <v>2045</v>
      </c>
      <c r="C323" t="s">
        <v>345</v>
      </c>
      <c r="D323" t="s">
        <v>1406</v>
      </c>
      <c r="E323">
        <v>69.415</v>
      </c>
      <c r="F323" t="s">
        <v>1377</v>
      </c>
      <c r="G323" t="s">
        <v>2046</v>
      </c>
      <c r="H323" t="s">
        <v>1628</v>
      </c>
      <c r="I323" t="s">
        <v>1392</v>
      </c>
      <c r="J323" t="s">
        <v>1381</v>
      </c>
      <c r="K323" t="s">
        <v>1382</v>
      </c>
      <c r="L323" t="s">
        <v>1383</v>
      </c>
      <c r="M323" t="s">
        <v>1381</v>
      </c>
    </row>
    <row r="324" spans="1:13" x14ac:dyDescent="0.25">
      <c r="A324" t="s">
        <v>39</v>
      </c>
      <c r="B324" t="s">
        <v>2047</v>
      </c>
      <c r="C324" t="s">
        <v>345</v>
      </c>
      <c r="D324" t="s">
        <v>1410</v>
      </c>
      <c r="E324">
        <v>68.215</v>
      </c>
      <c r="F324" t="s">
        <v>1377</v>
      </c>
      <c r="G324" t="s">
        <v>2048</v>
      </c>
      <c r="H324" t="s">
        <v>1628</v>
      </c>
      <c r="I324" t="s">
        <v>1464</v>
      </c>
      <c r="J324" t="s">
        <v>1381</v>
      </c>
      <c r="K324" t="s">
        <v>1382</v>
      </c>
      <c r="L324" t="s">
        <v>1383</v>
      </c>
      <c r="M324" t="s">
        <v>1381</v>
      </c>
    </row>
    <row r="325" spans="1:13" x14ac:dyDescent="0.25">
      <c r="A325" t="s">
        <v>39</v>
      </c>
      <c r="B325" t="s">
        <v>2049</v>
      </c>
      <c r="C325" t="s">
        <v>345</v>
      </c>
      <c r="D325" t="s">
        <v>1414</v>
      </c>
      <c r="E325">
        <v>64.211</v>
      </c>
      <c r="F325" t="s">
        <v>1377</v>
      </c>
      <c r="G325" t="s">
        <v>2050</v>
      </c>
      <c r="H325" t="s">
        <v>1628</v>
      </c>
      <c r="I325" t="s">
        <v>1400</v>
      </c>
      <c r="J325" t="s">
        <v>1381</v>
      </c>
      <c r="K325" t="s">
        <v>1382</v>
      </c>
      <c r="L325" t="s">
        <v>1383</v>
      </c>
      <c r="M325" t="s">
        <v>1381</v>
      </c>
    </row>
    <row r="326" spans="1:13" x14ac:dyDescent="0.25">
      <c r="A326" t="s">
        <v>39</v>
      </c>
      <c r="B326" t="s">
        <v>2051</v>
      </c>
      <c r="C326" t="s">
        <v>345</v>
      </c>
      <c r="D326" t="s">
        <v>1418</v>
      </c>
      <c r="E326">
        <v>77.149</v>
      </c>
      <c r="F326" t="s">
        <v>1377</v>
      </c>
      <c r="G326" t="s">
        <v>2044</v>
      </c>
      <c r="H326" t="s">
        <v>1628</v>
      </c>
      <c r="I326" t="s">
        <v>1404</v>
      </c>
      <c r="J326" t="s">
        <v>1381</v>
      </c>
      <c r="K326" t="s">
        <v>1382</v>
      </c>
      <c r="L326" t="s">
        <v>1383</v>
      </c>
      <c r="M326" t="s">
        <v>1381</v>
      </c>
    </row>
    <row r="327" spans="1:13" x14ac:dyDescent="0.25">
      <c r="A327" t="s">
        <v>39</v>
      </c>
      <c r="B327" t="s">
        <v>2052</v>
      </c>
      <c r="C327" t="s">
        <v>345</v>
      </c>
      <c r="D327" t="s">
        <v>1420</v>
      </c>
      <c r="E327">
        <v>62.186</v>
      </c>
      <c r="F327" t="s">
        <v>1377</v>
      </c>
      <c r="G327" t="s">
        <v>2053</v>
      </c>
      <c r="H327" t="s">
        <v>1628</v>
      </c>
      <c r="I327" t="s">
        <v>1408</v>
      </c>
      <c r="J327" t="s">
        <v>1381</v>
      </c>
      <c r="K327" t="s">
        <v>1382</v>
      </c>
      <c r="L327" t="s">
        <v>1383</v>
      </c>
      <c r="M327" t="s">
        <v>1381</v>
      </c>
    </row>
    <row r="328" spans="1:13" x14ac:dyDescent="0.25">
      <c r="A328" t="s">
        <v>39</v>
      </c>
      <c r="B328" t="s">
        <v>2054</v>
      </c>
      <c r="C328" t="s">
        <v>345</v>
      </c>
      <c r="D328" t="s">
        <v>1423</v>
      </c>
      <c r="E328">
        <v>67.507</v>
      </c>
      <c r="F328" t="s">
        <v>1377</v>
      </c>
      <c r="G328" t="s">
        <v>2055</v>
      </c>
      <c r="H328" t="s">
        <v>1628</v>
      </c>
      <c r="I328" t="s">
        <v>1464</v>
      </c>
      <c r="J328" t="s">
        <v>1381</v>
      </c>
      <c r="K328" t="s">
        <v>1382</v>
      </c>
      <c r="L328" t="s">
        <v>1383</v>
      </c>
      <c r="M328" t="s">
        <v>1381</v>
      </c>
    </row>
    <row r="329" spans="1:13" x14ac:dyDescent="0.25">
      <c r="A329" t="s">
        <v>39</v>
      </c>
      <c r="B329" t="s">
        <v>2056</v>
      </c>
      <c r="C329" t="s">
        <v>367</v>
      </c>
      <c r="D329" t="s">
        <v>1376</v>
      </c>
      <c r="E329">
        <v>0</v>
      </c>
      <c r="F329" t="s">
        <v>1377</v>
      </c>
      <c r="G329" t="s">
        <v>2057</v>
      </c>
      <c r="H329" t="s">
        <v>2058</v>
      </c>
      <c r="I329" t="s">
        <v>1629</v>
      </c>
      <c r="J329" t="s">
        <v>1381</v>
      </c>
      <c r="K329" t="s">
        <v>1382</v>
      </c>
      <c r="L329" t="s">
        <v>1383</v>
      </c>
      <c r="M329" t="s">
        <v>1381</v>
      </c>
    </row>
    <row r="330" spans="1:13" x14ac:dyDescent="0.25">
      <c r="A330" t="s">
        <v>39</v>
      </c>
      <c r="B330" t="s">
        <v>2059</v>
      </c>
      <c r="C330" t="s">
        <v>367</v>
      </c>
      <c r="D330" t="s">
        <v>1386</v>
      </c>
      <c r="E330">
        <v>0</v>
      </c>
      <c r="F330" t="s">
        <v>1377</v>
      </c>
      <c r="G330" t="s">
        <v>2057</v>
      </c>
      <c r="H330" t="s">
        <v>2058</v>
      </c>
      <c r="I330" t="s">
        <v>1633</v>
      </c>
      <c r="J330" t="s">
        <v>1381</v>
      </c>
      <c r="K330" t="s">
        <v>1382</v>
      </c>
      <c r="L330" t="s">
        <v>1383</v>
      </c>
      <c r="M330" t="s">
        <v>2060</v>
      </c>
    </row>
    <row r="331" spans="1:13" x14ac:dyDescent="0.25">
      <c r="A331" t="s">
        <v>39</v>
      </c>
      <c r="B331" t="s">
        <v>2061</v>
      </c>
      <c r="C331" t="s">
        <v>367</v>
      </c>
      <c r="D331" t="s">
        <v>1390</v>
      </c>
      <c r="E331">
        <v>0</v>
      </c>
      <c r="F331" t="s">
        <v>1377</v>
      </c>
      <c r="G331" t="s">
        <v>2057</v>
      </c>
      <c r="H331" t="s">
        <v>2058</v>
      </c>
      <c r="I331" t="s">
        <v>1636</v>
      </c>
      <c r="J331" t="s">
        <v>1381</v>
      </c>
      <c r="K331" t="s">
        <v>1382</v>
      </c>
      <c r="L331" t="s">
        <v>1383</v>
      </c>
      <c r="M331" t="s">
        <v>2062</v>
      </c>
    </row>
    <row r="332" spans="1:13" x14ac:dyDescent="0.25">
      <c r="A332" t="s">
        <v>39</v>
      </c>
      <c r="B332" t="s">
        <v>2063</v>
      </c>
      <c r="C332" t="s">
        <v>367</v>
      </c>
      <c r="D332" t="s">
        <v>1394</v>
      </c>
      <c r="E332">
        <v>0</v>
      </c>
      <c r="F332" t="s">
        <v>1377</v>
      </c>
      <c r="G332" t="s">
        <v>2057</v>
      </c>
      <c r="H332" t="s">
        <v>2058</v>
      </c>
      <c r="I332" t="s">
        <v>1381</v>
      </c>
      <c r="J332" t="s">
        <v>1381</v>
      </c>
      <c r="K332" t="s">
        <v>1382</v>
      </c>
      <c r="L332" t="s">
        <v>1383</v>
      </c>
      <c r="M332" t="s">
        <v>2064</v>
      </c>
    </row>
    <row r="333" spans="1:13" x14ac:dyDescent="0.25">
      <c r="A333" t="s">
        <v>39</v>
      </c>
      <c r="B333" t="s">
        <v>2065</v>
      </c>
      <c r="C333" t="s">
        <v>396</v>
      </c>
      <c r="D333" t="s">
        <v>1376</v>
      </c>
      <c r="E333">
        <v>13.726</v>
      </c>
      <c r="F333" t="s">
        <v>1377</v>
      </c>
      <c r="G333" t="s">
        <v>2066</v>
      </c>
      <c r="H333" t="s">
        <v>2058</v>
      </c>
      <c r="I333" t="s">
        <v>1380</v>
      </c>
      <c r="J333" t="s">
        <v>1381</v>
      </c>
      <c r="K333" t="s">
        <v>1382</v>
      </c>
      <c r="L333" t="s">
        <v>1383</v>
      </c>
      <c r="M333" t="s">
        <v>1381</v>
      </c>
    </row>
    <row r="334" spans="1:13" x14ac:dyDescent="0.25">
      <c r="A334" t="s">
        <v>39</v>
      </c>
      <c r="B334" t="s">
        <v>2067</v>
      </c>
      <c r="C334" t="s">
        <v>396</v>
      </c>
      <c r="D334" t="s">
        <v>1386</v>
      </c>
      <c r="E334">
        <v>10.492</v>
      </c>
      <c r="F334" t="s">
        <v>1377</v>
      </c>
      <c r="G334" t="s">
        <v>2068</v>
      </c>
      <c r="H334" t="s">
        <v>2058</v>
      </c>
      <c r="I334" t="s">
        <v>1388</v>
      </c>
      <c r="J334" t="s">
        <v>1381</v>
      </c>
      <c r="K334" t="s">
        <v>1382</v>
      </c>
      <c r="L334" t="s">
        <v>1383</v>
      </c>
      <c r="M334" t="s">
        <v>2069</v>
      </c>
    </row>
    <row r="335" spans="1:13" x14ac:dyDescent="0.25">
      <c r="A335" t="s">
        <v>39</v>
      </c>
      <c r="B335" t="s">
        <v>2070</v>
      </c>
      <c r="C335" t="s">
        <v>396</v>
      </c>
      <c r="D335" t="s">
        <v>1390</v>
      </c>
      <c r="E335">
        <v>11.258</v>
      </c>
      <c r="F335" t="s">
        <v>1377</v>
      </c>
      <c r="G335" t="s">
        <v>2071</v>
      </c>
      <c r="H335" t="s">
        <v>2058</v>
      </c>
      <c r="I335" t="s">
        <v>1392</v>
      </c>
      <c r="J335" t="s">
        <v>1381</v>
      </c>
      <c r="K335" t="s">
        <v>1382</v>
      </c>
      <c r="L335" t="s">
        <v>1383</v>
      </c>
      <c r="M335" t="s">
        <v>2072</v>
      </c>
    </row>
    <row r="336" spans="1:13" x14ac:dyDescent="0.25">
      <c r="A336" t="s">
        <v>39</v>
      </c>
      <c r="B336" t="s">
        <v>2073</v>
      </c>
      <c r="C336" t="s">
        <v>396</v>
      </c>
      <c r="D336" t="s">
        <v>1394</v>
      </c>
      <c r="E336">
        <v>9.884</v>
      </c>
      <c r="F336" t="s">
        <v>1377</v>
      </c>
      <c r="G336" t="s">
        <v>2074</v>
      </c>
      <c r="H336" t="s">
        <v>2058</v>
      </c>
      <c r="I336" t="s">
        <v>1381</v>
      </c>
      <c r="J336" t="s">
        <v>1381</v>
      </c>
      <c r="K336" t="s">
        <v>1382</v>
      </c>
      <c r="L336" t="s">
        <v>1383</v>
      </c>
      <c r="M336" t="s">
        <v>2075</v>
      </c>
    </row>
    <row r="337" spans="1:13" x14ac:dyDescent="0.25">
      <c r="A337" t="s">
        <v>39</v>
      </c>
      <c r="B337" t="s">
        <v>2076</v>
      </c>
      <c r="C337" t="s">
        <v>396</v>
      </c>
      <c r="D337" t="s">
        <v>1398</v>
      </c>
      <c r="E337">
        <v>20.215</v>
      </c>
      <c r="F337" t="s">
        <v>1377</v>
      </c>
      <c r="G337" t="s">
        <v>2077</v>
      </c>
      <c r="H337" t="s">
        <v>2058</v>
      </c>
      <c r="I337" t="s">
        <v>1400</v>
      </c>
      <c r="J337" t="s">
        <v>1381</v>
      </c>
      <c r="K337" t="s">
        <v>1382</v>
      </c>
      <c r="L337" t="s">
        <v>1383</v>
      </c>
      <c r="M337" t="s">
        <v>1381</v>
      </c>
    </row>
    <row r="338" spans="1:13" x14ac:dyDescent="0.25">
      <c r="A338" t="s">
        <v>39</v>
      </c>
      <c r="B338" t="s">
        <v>2078</v>
      </c>
      <c r="C338" t="s">
        <v>396</v>
      </c>
      <c r="D338" t="s">
        <v>1402</v>
      </c>
      <c r="E338">
        <v>14.357</v>
      </c>
      <c r="F338" t="s">
        <v>1377</v>
      </c>
      <c r="G338" t="s">
        <v>2079</v>
      </c>
      <c r="H338" t="s">
        <v>2058</v>
      </c>
      <c r="I338" t="s">
        <v>1404</v>
      </c>
      <c r="J338" t="s">
        <v>1381</v>
      </c>
      <c r="K338" t="s">
        <v>1382</v>
      </c>
      <c r="L338" t="s">
        <v>1383</v>
      </c>
      <c r="M338" t="s">
        <v>2080</v>
      </c>
    </row>
    <row r="339" spans="1:13" x14ac:dyDescent="0.25">
      <c r="A339" t="s">
        <v>39</v>
      </c>
      <c r="B339" t="s">
        <v>2081</v>
      </c>
      <c r="C339" t="s">
        <v>396</v>
      </c>
      <c r="D339" t="s">
        <v>1406</v>
      </c>
      <c r="E339">
        <v>13.377</v>
      </c>
      <c r="F339" t="s">
        <v>1377</v>
      </c>
      <c r="G339" t="s">
        <v>2082</v>
      </c>
      <c r="H339" t="s">
        <v>2058</v>
      </c>
      <c r="I339" t="s">
        <v>1408</v>
      </c>
      <c r="J339" t="s">
        <v>1381</v>
      </c>
      <c r="K339" t="s">
        <v>1382</v>
      </c>
      <c r="L339" t="s">
        <v>1383</v>
      </c>
      <c r="M339" t="s">
        <v>2083</v>
      </c>
    </row>
    <row r="340" spans="1:13" x14ac:dyDescent="0.25">
      <c r="A340" t="s">
        <v>39</v>
      </c>
      <c r="B340" t="s">
        <v>2084</v>
      </c>
      <c r="C340" t="s">
        <v>396</v>
      </c>
      <c r="D340" t="s">
        <v>1410</v>
      </c>
      <c r="E340">
        <v>15.17</v>
      </c>
      <c r="F340" t="s">
        <v>1377</v>
      </c>
      <c r="G340" t="s">
        <v>2085</v>
      </c>
      <c r="H340" t="s">
        <v>2058</v>
      </c>
      <c r="I340" t="s">
        <v>1381</v>
      </c>
      <c r="J340" t="s">
        <v>1381</v>
      </c>
      <c r="K340" t="s">
        <v>1382</v>
      </c>
      <c r="L340" t="s">
        <v>1383</v>
      </c>
      <c r="M340" t="s">
        <v>2086</v>
      </c>
    </row>
    <row r="341" spans="1:13" x14ac:dyDescent="0.25">
      <c r="A341" t="s">
        <v>39</v>
      </c>
      <c r="B341" t="s">
        <v>2087</v>
      </c>
      <c r="C341" t="s">
        <v>396</v>
      </c>
      <c r="D341" t="s">
        <v>1414</v>
      </c>
      <c r="E341">
        <v>35.637</v>
      </c>
      <c r="F341" t="s">
        <v>1377</v>
      </c>
      <c r="G341" t="s">
        <v>2088</v>
      </c>
      <c r="H341" t="s">
        <v>2058</v>
      </c>
      <c r="I341" t="s">
        <v>1416</v>
      </c>
      <c r="J341" t="s">
        <v>1381</v>
      </c>
      <c r="K341" t="s">
        <v>1382</v>
      </c>
      <c r="L341" t="s">
        <v>1383</v>
      </c>
      <c r="M341" t="s">
        <v>1381</v>
      </c>
    </row>
    <row r="342" spans="1:13" x14ac:dyDescent="0.25">
      <c r="A342" t="s">
        <v>39</v>
      </c>
      <c r="B342" t="s">
        <v>2089</v>
      </c>
      <c r="C342" t="s">
        <v>396</v>
      </c>
      <c r="D342" t="s">
        <v>1418</v>
      </c>
      <c r="E342">
        <v>18.193</v>
      </c>
      <c r="F342" t="s">
        <v>1377</v>
      </c>
      <c r="G342" t="s">
        <v>2090</v>
      </c>
      <c r="H342" t="s">
        <v>2058</v>
      </c>
      <c r="I342" t="s">
        <v>1404</v>
      </c>
      <c r="J342" t="s">
        <v>1381</v>
      </c>
      <c r="K342" t="s">
        <v>1382</v>
      </c>
      <c r="L342" t="s">
        <v>1383</v>
      </c>
      <c r="M342" t="s">
        <v>2091</v>
      </c>
    </row>
    <row r="343" spans="1:13" x14ac:dyDescent="0.25">
      <c r="A343" t="s">
        <v>39</v>
      </c>
      <c r="B343" t="s">
        <v>2092</v>
      </c>
      <c r="C343" t="s">
        <v>396</v>
      </c>
      <c r="D343" t="s">
        <v>1420</v>
      </c>
      <c r="E343">
        <v>13.98</v>
      </c>
      <c r="F343" t="s">
        <v>1377</v>
      </c>
      <c r="G343" t="s">
        <v>2093</v>
      </c>
      <c r="H343" t="s">
        <v>2058</v>
      </c>
      <c r="I343" t="s">
        <v>1408</v>
      </c>
      <c r="J343" t="s">
        <v>1381</v>
      </c>
      <c r="K343" t="s">
        <v>1382</v>
      </c>
      <c r="L343" t="s">
        <v>1383</v>
      </c>
      <c r="M343" t="s">
        <v>2094</v>
      </c>
    </row>
    <row r="344" spans="1:13" x14ac:dyDescent="0.25">
      <c r="A344" t="s">
        <v>39</v>
      </c>
      <c r="B344" t="s">
        <v>2095</v>
      </c>
      <c r="C344" t="s">
        <v>399</v>
      </c>
      <c r="D344" t="s">
        <v>1376</v>
      </c>
      <c r="E344">
        <v>-68.769</v>
      </c>
      <c r="F344" t="s">
        <v>1377</v>
      </c>
      <c r="G344" t="s">
        <v>2096</v>
      </c>
      <c r="H344" t="s">
        <v>2058</v>
      </c>
      <c r="I344" t="s">
        <v>1380</v>
      </c>
      <c r="J344" t="s">
        <v>1381</v>
      </c>
      <c r="K344" t="s">
        <v>1382</v>
      </c>
      <c r="L344" t="s">
        <v>1383</v>
      </c>
      <c r="M344" t="s">
        <v>1381</v>
      </c>
    </row>
    <row r="345" spans="1:13" x14ac:dyDescent="0.25">
      <c r="A345" t="s">
        <v>39</v>
      </c>
      <c r="B345" t="s">
        <v>2097</v>
      </c>
      <c r="C345" t="s">
        <v>415</v>
      </c>
      <c r="D345" t="s">
        <v>1376</v>
      </c>
      <c r="E345">
        <v>239.101</v>
      </c>
      <c r="F345" t="s">
        <v>1377</v>
      </c>
      <c r="G345" t="s">
        <v>2098</v>
      </c>
      <c r="H345" t="s">
        <v>2058</v>
      </c>
      <c r="I345" t="s">
        <v>1380</v>
      </c>
      <c r="J345" t="s">
        <v>1381</v>
      </c>
      <c r="K345" t="s">
        <v>1382</v>
      </c>
      <c r="L345" t="s">
        <v>1383</v>
      </c>
      <c r="M345" t="s">
        <v>1381</v>
      </c>
    </row>
    <row r="346" spans="1:13" x14ac:dyDescent="0.25">
      <c r="A346" t="s">
        <v>39</v>
      </c>
      <c r="B346" t="s">
        <v>2099</v>
      </c>
      <c r="C346" t="s">
        <v>415</v>
      </c>
      <c r="D346" t="s">
        <v>1386</v>
      </c>
      <c r="E346">
        <v>242.568</v>
      </c>
      <c r="F346" t="s">
        <v>1377</v>
      </c>
      <c r="G346" t="s">
        <v>2100</v>
      </c>
      <c r="H346" t="s">
        <v>2058</v>
      </c>
      <c r="I346" t="s">
        <v>1388</v>
      </c>
      <c r="J346" t="s">
        <v>1381</v>
      </c>
      <c r="K346" t="s">
        <v>1382</v>
      </c>
      <c r="L346" t="s">
        <v>1383</v>
      </c>
      <c r="M346" t="s">
        <v>1381</v>
      </c>
    </row>
    <row r="347" spans="1:13" x14ac:dyDescent="0.25">
      <c r="A347" t="s">
        <v>39</v>
      </c>
      <c r="B347" t="s">
        <v>2101</v>
      </c>
      <c r="C347" t="s">
        <v>415</v>
      </c>
      <c r="D347" t="s">
        <v>1390</v>
      </c>
      <c r="E347">
        <v>228.353</v>
      </c>
      <c r="F347" t="s">
        <v>1377</v>
      </c>
      <c r="G347" t="s">
        <v>2102</v>
      </c>
      <c r="H347" t="s">
        <v>2058</v>
      </c>
      <c r="I347" t="s">
        <v>1392</v>
      </c>
      <c r="J347" t="s">
        <v>1381</v>
      </c>
      <c r="K347" t="s">
        <v>1382</v>
      </c>
      <c r="L347" t="s">
        <v>1383</v>
      </c>
      <c r="M347" t="s">
        <v>1381</v>
      </c>
    </row>
    <row r="348" spans="1:13" x14ac:dyDescent="0.25">
      <c r="A348" t="s">
        <v>39</v>
      </c>
      <c r="B348" t="s">
        <v>2103</v>
      </c>
      <c r="C348" t="s">
        <v>415</v>
      </c>
      <c r="D348" t="s">
        <v>1394</v>
      </c>
      <c r="E348">
        <v>232.609</v>
      </c>
      <c r="F348" t="s">
        <v>1377</v>
      </c>
      <c r="G348" t="s">
        <v>2104</v>
      </c>
      <c r="H348" t="s">
        <v>2058</v>
      </c>
      <c r="I348" t="s">
        <v>1464</v>
      </c>
      <c r="J348" t="s">
        <v>1381</v>
      </c>
      <c r="K348" t="s">
        <v>1382</v>
      </c>
      <c r="L348" t="s">
        <v>1383</v>
      </c>
      <c r="M348" t="s">
        <v>1381</v>
      </c>
    </row>
    <row r="349" spans="1:13" x14ac:dyDescent="0.25">
      <c r="A349" t="s">
        <v>39</v>
      </c>
      <c r="B349" t="s">
        <v>2105</v>
      </c>
      <c r="C349" t="s">
        <v>415</v>
      </c>
      <c r="D349" t="s">
        <v>1398</v>
      </c>
      <c r="E349">
        <v>220.046</v>
      </c>
      <c r="F349" t="s">
        <v>1377</v>
      </c>
      <c r="G349" t="s">
        <v>2106</v>
      </c>
      <c r="H349" t="s">
        <v>2058</v>
      </c>
      <c r="I349" t="s">
        <v>1400</v>
      </c>
      <c r="J349" t="s">
        <v>1381</v>
      </c>
      <c r="K349" t="s">
        <v>1382</v>
      </c>
      <c r="L349" t="s">
        <v>1383</v>
      </c>
      <c r="M349" t="s">
        <v>1381</v>
      </c>
    </row>
    <row r="350" spans="1:13" x14ac:dyDescent="0.25">
      <c r="A350" t="s">
        <v>39</v>
      </c>
      <c r="B350" t="s">
        <v>2107</v>
      </c>
      <c r="C350" t="s">
        <v>415</v>
      </c>
      <c r="D350" t="s">
        <v>1402</v>
      </c>
      <c r="E350">
        <v>219.971</v>
      </c>
      <c r="F350" t="s">
        <v>1377</v>
      </c>
      <c r="G350" t="s">
        <v>2106</v>
      </c>
      <c r="H350" t="s">
        <v>2058</v>
      </c>
      <c r="I350" t="s">
        <v>1404</v>
      </c>
      <c r="J350" t="s">
        <v>1381</v>
      </c>
      <c r="K350" t="s">
        <v>1382</v>
      </c>
      <c r="L350" t="s">
        <v>1383</v>
      </c>
      <c r="M350" t="s">
        <v>1381</v>
      </c>
    </row>
    <row r="351" spans="1:13" x14ac:dyDescent="0.25">
      <c r="A351" t="s">
        <v>39</v>
      </c>
      <c r="B351" t="s">
        <v>2108</v>
      </c>
      <c r="C351" t="s">
        <v>415</v>
      </c>
      <c r="D351" t="s">
        <v>1406</v>
      </c>
      <c r="E351">
        <v>214.452</v>
      </c>
      <c r="F351" t="s">
        <v>1377</v>
      </c>
      <c r="G351" t="s">
        <v>2109</v>
      </c>
      <c r="H351" t="s">
        <v>2058</v>
      </c>
      <c r="I351" t="s">
        <v>1408</v>
      </c>
      <c r="J351" t="s">
        <v>1381</v>
      </c>
      <c r="K351" t="s">
        <v>1382</v>
      </c>
      <c r="L351" t="s">
        <v>1383</v>
      </c>
      <c r="M351" t="s">
        <v>1381</v>
      </c>
    </row>
    <row r="352" spans="1:13" x14ac:dyDescent="0.25">
      <c r="A352" t="s">
        <v>39</v>
      </c>
      <c r="B352" t="s">
        <v>2110</v>
      </c>
      <c r="C352" t="s">
        <v>415</v>
      </c>
      <c r="D352" t="s">
        <v>1410</v>
      </c>
      <c r="E352">
        <v>217.079</v>
      </c>
      <c r="F352" t="s">
        <v>1377</v>
      </c>
      <c r="G352" t="s">
        <v>2111</v>
      </c>
      <c r="H352" t="s">
        <v>2058</v>
      </c>
      <c r="I352" t="s">
        <v>1464</v>
      </c>
      <c r="J352" t="s">
        <v>1381</v>
      </c>
      <c r="K352" t="s">
        <v>1382</v>
      </c>
      <c r="L352" t="s">
        <v>1383</v>
      </c>
      <c r="M352" t="s">
        <v>1381</v>
      </c>
    </row>
    <row r="353" spans="1:13" x14ac:dyDescent="0.25">
      <c r="A353" t="s">
        <v>39</v>
      </c>
      <c r="B353" t="s">
        <v>2112</v>
      </c>
      <c r="C353" t="s">
        <v>415</v>
      </c>
      <c r="D353" t="s">
        <v>1414</v>
      </c>
      <c r="E353">
        <v>214.536</v>
      </c>
      <c r="F353" t="s">
        <v>1377</v>
      </c>
      <c r="G353" t="s">
        <v>2109</v>
      </c>
      <c r="H353" t="s">
        <v>2058</v>
      </c>
      <c r="I353" t="s">
        <v>1416</v>
      </c>
      <c r="J353" t="s">
        <v>1381</v>
      </c>
      <c r="K353" t="s">
        <v>1382</v>
      </c>
      <c r="L353" t="s">
        <v>1383</v>
      </c>
      <c r="M353" t="s">
        <v>1381</v>
      </c>
    </row>
    <row r="354" spans="1:13" x14ac:dyDescent="0.25">
      <c r="A354" t="s">
        <v>39</v>
      </c>
      <c r="B354" t="s">
        <v>2113</v>
      </c>
      <c r="C354" t="s">
        <v>415</v>
      </c>
      <c r="D354" t="s">
        <v>1418</v>
      </c>
      <c r="E354">
        <v>215.097</v>
      </c>
      <c r="F354" t="s">
        <v>1377</v>
      </c>
      <c r="G354" t="s">
        <v>2114</v>
      </c>
      <c r="H354" t="s">
        <v>2058</v>
      </c>
      <c r="I354" t="s">
        <v>1404</v>
      </c>
      <c r="J354" t="s">
        <v>1381</v>
      </c>
      <c r="K354" t="s">
        <v>1382</v>
      </c>
      <c r="L354" t="s">
        <v>1383</v>
      </c>
      <c r="M354" t="s">
        <v>1381</v>
      </c>
    </row>
    <row r="355" spans="1:13" x14ac:dyDescent="0.25">
      <c r="A355" t="s">
        <v>39</v>
      </c>
      <c r="B355" t="s">
        <v>2115</v>
      </c>
      <c r="C355" t="s">
        <v>415</v>
      </c>
      <c r="D355" t="s">
        <v>1420</v>
      </c>
      <c r="E355">
        <v>215.293</v>
      </c>
      <c r="F355" t="s">
        <v>1377</v>
      </c>
      <c r="G355" t="s">
        <v>2116</v>
      </c>
      <c r="H355" t="s">
        <v>2058</v>
      </c>
      <c r="I355" t="s">
        <v>1408</v>
      </c>
      <c r="J355" t="s">
        <v>1381</v>
      </c>
      <c r="K355" t="s">
        <v>1382</v>
      </c>
      <c r="L355" t="s">
        <v>1383</v>
      </c>
      <c r="M355" t="s">
        <v>1381</v>
      </c>
    </row>
    <row r="356" spans="1:13" x14ac:dyDescent="0.25">
      <c r="A356" t="s">
        <v>39</v>
      </c>
      <c r="B356" t="s">
        <v>2117</v>
      </c>
      <c r="C356" t="s">
        <v>417</v>
      </c>
      <c r="D356" t="s">
        <v>1376</v>
      </c>
      <c r="E356">
        <v>248.095</v>
      </c>
      <c r="F356" t="s">
        <v>1377</v>
      </c>
      <c r="G356" t="s">
        <v>2118</v>
      </c>
      <c r="H356" t="s">
        <v>2058</v>
      </c>
      <c r="I356" t="s">
        <v>1380</v>
      </c>
      <c r="J356" t="s">
        <v>1381</v>
      </c>
      <c r="K356" t="s">
        <v>1382</v>
      </c>
      <c r="L356" t="s">
        <v>1383</v>
      </c>
      <c r="M356" t="s">
        <v>1381</v>
      </c>
    </row>
    <row r="357" spans="1:13" x14ac:dyDescent="0.25">
      <c r="A357" t="s">
        <v>39</v>
      </c>
      <c r="B357" t="s">
        <v>2119</v>
      </c>
      <c r="C357" t="s">
        <v>417</v>
      </c>
      <c r="D357" t="s">
        <v>1386</v>
      </c>
      <c r="E357">
        <v>245.413</v>
      </c>
      <c r="F357" t="s">
        <v>1377</v>
      </c>
      <c r="G357" t="s">
        <v>2120</v>
      </c>
      <c r="H357" t="s">
        <v>2058</v>
      </c>
      <c r="I357" t="s">
        <v>1388</v>
      </c>
      <c r="J357" t="s">
        <v>1381</v>
      </c>
      <c r="K357" t="s">
        <v>1382</v>
      </c>
      <c r="L357" t="s">
        <v>1383</v>
      </c>
      <c r="M357" t="s">
        <v>1381</v>
      </c>
    </row>
    <row r="358" spans="1:13" x14ac:dyDescent="0.25">
      <c r="A358" t="s">
        <v>39</v>
      </c>
      <c r="B358" t="s">
        <v>2121</v>
      </c>
      <c r="C358" t="s">
        <v>417</v>
      </c>
      <c r="D358" t="s">
        <v>1390</v>
      </c>
      <c r="E358">
        <v>232.041</v>
      </c>
      <c r="F358" t="s">
        <v>1377</v>
      </c>
      <c r="G358" t="s">
        <v>2122</v>
      </c>
      <c r="H358" t="s">
        <v>2058</v>
      </c>
      <c r="I358" t="s">
        <v>1392</v>
      </c>
      <c r="J358" t="s">
        <v>1381</v>
      </c>
      <c r="K358" t="s">
        <v>1382</v>
      </c>
      <c r="L358" t="s">
        <v>1383</v>
      </c>
      <c r="M358" t="s">
        <v>1381</v>
      </c>
    </row>
    <row r="359" spans="1:13" x14ac:dyDescent="0.25">
      <c r="A359" t="s">
        <v>39</v>
      </c>
      <c r="B359" t="s">
        <v>2123</v>
      </c>
      <c r="C359" t="s">
        <v>417</v>
      </c>
      <c r="D359" t="s">
        <v>1394</v>
      </c>
      <c r="E359">
        <v>236.62</v>
      </c>
      <c r="F359" t="s">
        <v>1377</v>
      </c>
      <c r="G359" t="s">
        <v>2124</v>
      </c>
      <c r="H359" t="s">
        <v>2058</v>
      </c>
      <c r="I359" t="s">
        <v>1464</v>
      </c>
      <c r="J359" t="s">
        <v>1381</v>
      </c>
      <c r="K359" t="s">
        <v>1382</v>
      </c>
      <c r="L359" t="s">
        <v>1383</v>
      </c>
      <c r="M359" t="s">
        <v>1381</v>
      </c>
    </row>
    <row r="360" spans="1:13" x14ac:dyDescent="0.25">
      <c r="A360" t="s">
        <v>39</v>
      </c>
      <c r="B360" t="s">
        <v>2125</v>
      </c>
      <c r="C360" t="s">
        <v>417</v>
      </c>
      <c r="D360" t="s">
        <v>1398</v>
      </c>
      <c r="E360">
        <v>225.291</v>
      </c>
      <c r="F360" t="s">
        <v>1377</v>
      </c>
      <c r="G360" t="s">
        <v>2126</v>
      </c>
      <c r="H360" t="s">
        <v>2058</v>
      </c>
      <c r="I360" t="s">
        <v>1400</v>
      </c>
      <c r="J360" t="s">
        <v>1381</v>
      </c>
      <c r="K360" t="s">
        <v>1382</v>
      </c>
      <c r="L360" t="s">
        <v>1383</v>
      </c>
      <c r="M360" t="s">
        <v>1381</v>
      </c>
    </row>
    <row r="361" spans="1:13" x14ac:dyDescent="0.25">
      <c r="A361" t="s">
        <v>39</v>
      </c>
      <c r="B361" t="s">
        <v>2127</v>
      </c>
      <c r="C361" t="s">
        <v>417</v>
      </c>
      <c r="D361" t="s">
        <v>1402</v>
      </c>
      <c r="E361">
        <v>226.146</v>
      </c>
      <c r="F361" t="s">
        <v>1377</v>
      </c>
      <c r="G361" t="s">
        <v>2128</v>
      </c>
      <c r="H361" t="s">
        <v>2058</v>
      </c>
      <c r="I361" t="s">
        <v>1404</v>
      </c>
      <c r="J361" t="s">
        <v>1381</v>
      </c>
      <c r="K361" t="s">
        <v>1382</v>
      </c>
      <c r="L361" t="s">
        <v>1383</v>
      </c>
      <c r="M361" t="s">
        <v>1381</v>
      </c>
    </row>
    <row r="362" spans="1:13" x14ac:dyDescent="0.25">
      <c r="A362" t="s">
        <v>39</v>
      </c>
      <c r="B362" t="s">
        <v>2129</v>
      </c>
      <c r="C362" t="s">
        <v>417</v>
      </c>
      <c r="D362" t="s">
        <v>1406</v>
      </c>
      <c r="E362">
        <v>221.699</v>
      </c>
      <c r="F362" t="s">
        <v>1377</v>
      </c>
      <c r="G362" t="s">
        <v>2130</v>
      </c>
      <c r="H362" t="s">
        <v>2058</v>
      </c>
      <c r="I362" t="s">
        <v>1408</v>
      </c>
      <c r="J362" t="s">
        <v>1381</v>
      </c>
      <c r="K362" t="s">
        <v>1382</v>
      </c>
      <c r="L362" t="s">
        <v>1383</v>
      </c>
      <c r="M362" t="s">
        <v>1381</v>
      </c>
    </row>
    <row r="363" spans="1:13" x14ac:dyDescent="0.25">
      <c r="A363" t="s">
        <v>39</v>
      </c>
      <c r="B363" t="s">
        <v>2131</v>
      </c>
      <c r="C363" t="s">
        <v>417</v>
      </c>
      <c r="D363" t="s">
        <v>1410</v>
      </c>
      <c r="E363">
        <v>223.65</v>
      </c>
      <c r="F363" t="s">
        <v>1377</v>
      </c>
      <c r="G363" t="s">
        <v>2132</v>
      </c>
      <c r="H363" t="s">
        <v>2058</v>
      </c>
      <c r="I363" t="s">
        <v>1464</v>
      </c>
      <c r="J363" t="s">
        <v>1381</v>
      </c>
      <c r="K363" t="s">
        <v>1382</v>
      </c>
      <c r="L363" t="s">
        <v>1383</v>
      </c>
      <c r="M363" t="s">
        <v>1381</v>
      </c>
    </row>
    <row r="364" spans="1:13" x14ac:dyDescent="0.25">
      <c r="A364" t="s">
        <v>39</v>
      </c>
      <c r="B364" t="s">
        <v>2133</v>
      </c>
      <c r="C364" t="s">
        <v>417</v>
      </c>
      <c r="D364" t="s">
        <v>1414</v>
      </c>
      <c r="E364">
        <v>222.448</v>
      </c>
      <c r="F364" t="s">
        <v>1377</v>
      </c>
      <c r="G364" t="s">
        <v>2134</v>
      </c>
      <c r="H364" t="s">
        <v>2058</v>
      </c>
      <c r="I364" t="s">
        <v>1416</v>
      </c>
      <c r="J364" t="s">
        <v>1381</v>
      </c>
      <c r="K364" t="s">
        <v>1382</v>
      </c>
      <c r="L364" t="s">
        <v>1383</v>
      </c>
      <c r="M364" t="s">
        <v>1381</v>
      </c>
    </row>
    <row r="365" spans="1:13" x14ac:dyDescent="0.25">
      <c r="A365" t="s">
        <v>39</v>
      </c>
      <c r="B365" t="s">
        <v>2135</v>
      </c>
      <c r="C365" t="s">
        <v>417</v>
      </c>
      <c r="D365" t="s">
        <v>1418</v>
      </c>
      <c r="E365">
        <v>221.897</v>
      </c>
      <c r="F365" t="s">
        <v>1377</v>
      </c>
      <c r="G365" t="s">
        <v>2136</v>
      </c>
      <c r="H365" t="s">
        <v>2058</v>
      </c>
      <c r="I365" t="s">
        <v>1404</v>
      </c>
      <c r="J365" t="s">
        <v>1381</v>
      </c>
      <c r="K365" t="s">
        <v>1382</v>
      </c>
      <c r="L365" t="s">
        <v>1383</v>
      </c>
      <c r="M365" t="s">
        <v>1381</v>
      </c>
    </row>
    <row r="366" spans="1:13" x14ac:dyDescent="0.25">
      <c r="A366" t="s">
        <v>39</v>
      </c>
      <c r="B366" t="s">
        <v>2137</v>
      </c>
      <c r="C366" t="s">
        <v>417</v>
      </c>
      <c r="D366" t="s">
        <v>1420</v>
      </c>
      <c r="E366">
        <v>222.715</v>
      </c>
      <c r="F366" t="s">
        <v>1377</v>
      </c>
      <c r="G366" t="s">
        <v>2138</v>
      </c>
      <c r="H366" t="s">
        <v>2058</v>
      </c>
      <c r="I366" t="s">
        <v>1408</v>
      </c>
      <c r="J366" t="s">
        <v>1381</v>
      </c>
      <c r="K366" t="s">
        <v>1382</v>
      </c>
      <c r="L366" t="s">
        <v>1383</v>
      </c>
      <c r="M366" t="s">
        <v>1381</v>
      </c>
    </row>
    <row r="367" spans="1:13" x14ac:dyDescent="0.25">
      <c r="A367" t="s">
        <v>39</v>
      </c>
      <c r="B367" t="s">
        <v>2139</v>
      </c>
      <c r="C367" t="s">
        <v>417</v>
      </c>
      <c r="D367" t="s">
        <v>1423</v>
      </c>
      <c r="E367">
        <v>222.746</v>
      </c>
      <c r="F367" t="s">
        <v>1377</v>
      </c>
      <c r="G367" t="s">
        <v>2138</v>
      </c>
      <c r="H367" t="s">
        <v>2058</v>
      </c>
      <c r="I367" t="s">
        <v>1464</v>
      </c>
      <c r="J367" t="s">
        <v>1381</v>
      </c>
      <c r="K367" t="s">
        <v>1382</v>
      </c>
      <c r="L367" t="s">
        <v>1383</v>
      </c>
      <c r="M367" t="s">
        <v>1381</v>
      </c>
    </row>
    <row r="368" spans="1:13" x14ac:dyDescent="0.25">
      <c r="A368" t="s">
        <v>41</v>
      </c>
      <c r="B368" t="s">
        <v>2140</v>
      </c>
      <c r="C368" t="s">
        <v>256</v>
      </c>
      <c r="D368" t="s">
        <v>1376</v>
      </c>
      <c r="E368">
        <v>0</v>
      </c>
      <c r="F368" t="s">
        <v>2141</v>
      </c>
      <c r="G368" t="s">
        <v>1381</v>
      </c>
      <c r="H368" t="s">
        <v>2142</v>
      </c>
      <c r="I368" t="s">
        <v>1381</v>
      </c>
      <c r="J368" t="s">
        <v>1381</v>
      </c>
      <c r="K368" t="s">
        <v>2143</v>
      </c>
      <c r="L368" t="s">
        <v>2144</v>
      </c>
      <c r="M368" t="s">
        <v>2145</v>
      </c>
    </row>
    <row r="369" spans="1:13" x14ac:dyDescent="0.25">
      <c r="A369" t="s">
        <v>41</v>
      </c>
      <c r="B369" t="s">
        <v>2146</v>
      </c>
      <c r="C369" t="s">
        <v>256</v>
      </c>
      <c r="D369" t="s">
        <v>1386</v>
      </c>
      <c r="E369">
        <v>0</v>
      </c>
      <c r="F369" t="s">
        <v>2141</v>
      </c>
      <c r="G369" t="s">
        <v>1381</v>
      </c>
      <c r="H369" t="s">
        <v>2142</v>
      </c>
      <c r="I369" t="s">
        <v>1381</v>
      </c>
      <c r="J369" t="s">
        <v>1381</v>
      </c>
      <c r="K369" t="s">
        <v>2143</v>
      </c>
      <c r="L369" t="s">
        <v>2144</v>
      </c>
      <c r="M369" t="s">
        <v>2145</v>
      </c>
    </row>
    <row r="370" spans="1:13" x14ac:dyDescent="0.25">
      <c r="A370" t="s">
        <v>41</v>
      </c>
      <c r="B370" t="s">
        <v>2147</v>
      </c>
      <c r="C370" t="s">
        <v>256</v>
      </c>
      <c r="D370" t="s">
        <v>1390</v>
      </c>
      <c r="E370">
        <v>0</v>
      </c>
      <c r="F370" t="s">
        <v>2141</v>
      </c>
      <c r="G370" t="s">
        <v>1381</v>
      </c>
      <c r="H370" t="s">
        <v>2142</v>
      </c>
      <c r="I370" t="s">
        <v>1381</v>
      </c>
      <c r="J370" t="s">
        <v>1381</v>
      </c>
      <c r="K370" t="s">
        <v>2143</v>
      </c>
      <c r="L370" t="s">
        <v>2144</v>
      </c>
      <c r="M370" t="s">
        <v>2145</v>
      </c>
    </row>
    <row r="371" spans="1:13" x14ac:dyDescent="0.25">
      <c r="A371" t="s">
        <v>41</v>
      </c>
      <c r="B371" t="s">
        <v>2148</v>
      </c>
      <c r="C371" t="s">
        <v>256</v>
      </c>
      <c r="D371" t="s">
        <v>1394</v>
      </c>
      <c r="E371">
        <v>0</v>
      </c>
      <c r="F371" t="s">
        <v>2141</v>
      </c>
      <c r="G371" t="s">
        <v>1381</v>
      </c>
      <c r="H371" t="s">
        <v>2142</v>
      </c>
      <c r="I371" t="s">
        <v>1381</v>
      </c>
      <c r="J371" t="s">
        <v>1381</v>
      </c>
      <c r="K371" t="s">
        <v>2143</v>
      </c>
      <c r="L371" t="s">
        <v>2144</v>
      </c>
      <c r="M371" t="s">
        <v>2145</v>
      </c>
    </row>
    <row r="372" spans="1:13" x14ac:dyDescent="0.25">
      <c r="A372" t="s">
        <v>41</v>
      </c>
      <c r="B372" t="s">
        <v>2149</v>
      </c>
      <c r="C372" t="s">
        <v>256</v>
      </c>
      <c r="D372" t="s">
        <v>1398</v>
      </c>
      <c r="E372">
        <v>0</v>
      </c>
      <c r="F372" t="s">
        <v>2141</v>
      </c>
      <c r="G372" t="s">
        <v>1381</v>
      </c>
      <c r="H372" t="s">
        <v>2142</v>
      </c>
      <c r="I372" t="s">
        <v>1381</v>
      </c>
      <c r="J372" t="s">
        <v>1381</v>
      </c>
      <c r="K372" t="s">
        <v>2143</v>
      </c>
      <c r="L372" t="s">
        <v>2144</v>
      </c>
      <c r="M372" t="s">
        <v>2145</v>
      </c>
    </row>
    <row r="373" spans="1:13" x14ac:dyDescent="0.25">
      <c r="A373" t="s">
        <v>41</v>
      </c>
      <c r="B373" t="s">
        <v>2150</v>
      </c>
      <c r="C373" t="s">
        <v>256</v>
      </c>
      <c r="D373" t="s">
        <v>1402</v>
      </c>
      <c r="E373">
        <v>0</v>
      </c>
      <c r="F373" t="s">
        <v>2141</v>
      </c>
      <c r="G373" t="s">
        <v>1381</v>
      </c>
      <c r="H373" t="s">
        <v>2142</v>
      </c>
      <c r="I373" t="s">
        <v>1381</v>
      </c>
      <c r="J373" t="s">
        <v>1381</v>
      </c>
      <c r="K373" t="s">
        <v>2143</v>
      </c>
      <c r="L373" t="s">
        <v>2144</v>
      </c>
      <c r="M373" t="s">
        <v>2145</v>
      </c>
    </row>
    <row r="374" spans="1:13" x14ac:dyDescent="0.25">
      <c r="A374" t="s">
        <v>41</v>
      </c>
      <c r="B374" t="s">
        <v>2151</v>
      </c>
      <c r="C374" t="s">
        <v>256</v>
      </c>
      <c r="D374" t="s">
        <v>1406</v>
      </c>
      <c r="E374">
        <v>0</v>
      </c>
      <c r="F374" t="s">
        <v>2141</v>
      </c>
      <c r="G374" t="s">
        <v>1381</v>
      </c>
      <c r="H374" t="s">
        <v>2142</v>
      </c>
      <c r="I374" t="s">
        <v>1381</v>
      </c>
      <c r="J374" t="s">
        <v>1381</v>
      </c>
      <c r="K374" t="s">
        <v>2143</v>
      </c>
      <c r="L374" t="s">
        <v>2144</v>
      </c>
      <c r="M374" t="s">
        <v>2145</v>
      </c>
    </row>
    <row r="375" spans="1:13" x14ac:dyDescent="0.25">
      <c r="A375" t="s">
        <v>41</v>
      </c>
      <c r="B375" t="s">
        <v>2152</v>
      </c>
      <c r="C375" t="s">
        <v>256</v>
      </c>
      <c r="D375" t="s">
        <v>1410</v>
      </c>
      <c r="E375">
        <v>0</v>
      </c>
      <c r="F375" t="s">
        <v>2141</v>
      </c>
      <c r="G375" t="s">
        <v>1381</v>
      </c>
      <c r="H375" t="s">
        <v>2142</v>
      </c>
      <c r="I375" t="s">
        <v>1381</v>
      </c>
      <c r="J375" t="s">
        <v>1381</v>
      </c>
      <c r="K375" t="s">
        <v>2143</v>
      </c>
      <c r="L375" t="s">
        <v>2144</v>
      </c>
      <c r="M375" t="s">
        <v>2145</v>
      </c>
    </row>
    <row r="376" spans="1:13" x14ac:dyDescent="0.25">
      <c r="A376" t="s">
        <v>41</v>
      </c>
      <c r="B376" t="s">
        <v>2153</v>
      </c>
      <c r="C376" t="s">
        <v>256</v>
      </c>
      <c r="D376" t="s">
        <v>1414</v>
      </c>
      <c r="E376">
        <v>0</v>
      </c>
      <c r="F376" t="s">
        <v>2141</v>
      </c>
      <c r="G376" t="s">
        <v>1381</v>
      </c>
      <c r="H376" t="s">
        <v>2142</v>
      </c>
      <c r="I376" t="s">
        <v>1381</v>
      </c>
      <c r="J376" t="s">
        <v>1381</v>
      </c>
      <c r="K376" t="s">
        <v>2143</v>
      </c>
      <c r="L376" t="s">
        <v>2144</v>
      </c>
      <c r="M376" t="s">
        <v>2145</v>
      </c>
    </row>
    <row r="377" spans="1:13" x14ac:dyDescent="0.25">
      <c r="A377" t="s">
        <v>41</v>
      </c>
      <c r="B377" t="s">
        <v>2154</v>
      </c>
      <c r="C377" t="s">
        <v>256</v>
      </c>
      <c r="D377" t="s">
        <v>1418</v>
      </c>
      <c r="E377">
        <v>0</v>
      </c>
      <c r="F377" t="s">
        <v>2141</v>
      </c>
      <c r="G377" t="s">
        <v>1381</v>
      </c>
      <c r="H377" t="s">
        <v>2142</v>
      </c>
      <c r="I377" t="s">
        <v>1381</v>
      </c>
      <c r="J377" t="s">
        <v>1381</v>
      </c>
      <c r="K377" t="s">
        <v>2143</v>
      </c>
      <c r="L377" t="s">
        <v>2144</v>
      </c>
      <c r="M377" t="s">
        <v>2145</v>
      </c>
    </row>
    <row r="378" spans="1:13" x14ac:dyDescent="0.25">
      <c r="A378" t="s">
        <v>41</v>
      </c>
      <c r="B378" t="s">
        <v>2155</v>
      </c>
      <c r="C378" t="s">
        <v>256</v>
      </c>
      <c r="D378" t="s">
        <v>1420</v>
      </c>
      <c r="E378">
        <v>0</v>
      </c>
      <c r="F378" t="s">
        <v>2141</v>
      </c>
      <c r="G378" t="s">
        <v>1381</v>
      </c>
      <c r="H378" t="s">
        <v>2142</v>
      </c>
      <c r="I378" t="s">
        <v>1381</v>
      </c>
      <c r="J378" t="s">
        <v>1381</v>
      </c>
      <c r="K378" t="s">
        <v>2143</v>
      </c>
      <c r="L378" t="s">
        <v>2144</v>
      </c>
      <c r="M378" t="s">
        <v>2145</v>
      </c>
    </row>
    <row r="379" spans="1:13" x14ac:dyDescent="0.25">
      <c r="A379" t="s">
        <v>41</v>
      </c>
      <c r="B379" t="s">
        <v>2156</v>
      </c>
      <c r="C379" t="s">
        <v>256</v>
      </c>
      <c r="D379" t="s">
        <v>1423</v>
      </c>
      <c r="E379">
        <v>0</v>
      </c>
      <c r="F379" t="s">
        <v>2141</v>
      </c>
      <c r="G379" t="s">
        <v>1381</v>
      </c>
      <c r="H379" t="s">
        <v>2142</v>
      </c>
      <c r="I379" t="s">
        <v>1381</v>
      </c>
      <c r="J379" t="s">
        <v>1381</v>
      </c>
      <c r="K379" t="s">
        <v>2143</v>
      </c>
      <c r="L379" t="s">
        <v>2144</v>
      </c>
      <c r="M379" t="s">
        <v>2145</v>
      </c>
    </row>
    <row r="380" spans="1:13" x14ac:dyDescent="0.25">
      <c r="A380" t="s">
        <v>41</v>
      </c>
      <c r="B380" t="s">
        <v>2157</v>
      </c>
      <c r="C380" t="s">
        <v>2158</v>
      </c>
      <c r="D380" t="s">
        <v>1376</v>
      </c>
      <c r="E380">
        <v>0</v>
      </c>
      <c r="F380" t="s">
        <v>2141</v>
      </c>
      <c r="G380" t="s">
        <v>1381</v>
      </c>
      <c r="H380" t="s">
        <v>2142</v>
      </c>
      <c r="I380" t="s">
        <v>1381</v>
      </c>
      <c r="J380" t="s">
        <v>1381</v>
      </c>
      <c r="K380" t="s">
        <v>2143</v>
      </c>
      <c r="L380" t="s">
        <v>2144</v>
      </c>
      <c r="M380" t="s">
        <v>2145</v>
      </c>
    </row>
    <row r="381" spans="1:13" x14ac:dyDescent="0.25">
      <c r="A381" t="s">
        <v>41</v>
      </c>
      <c r="B381" t="s">
        <v>2159</v>
      </c>
      <c r="C381" t="s">
        <v>2158</v>
      </c>
      <c r="D381" t="s">
        <v>1386</v>
      </c>
      <c r="E381">
        <v>0</v>
      </c>
      <c r="F381" t="s">
        <v>2141</v>
      </c>
      <c r="G381" t="s">
        <v>1381</v>
      </c>
      <c r="H381" t="s">
        <v>2142</v>
      </c>
      <c r="I381" t="s">
        <v>1381</v>
      </c>
      <c r="J381" t="s">
        <v>1381</v>
      </c>
      <c r="K381" t="s">
        <v>2143</v>
      </c>
      <c r="L381" t="s">
        <v>2144</v>
      </c>
      <c r="M381" t="s">
        <v>2145</v>
      </c>
    </row>
    <row r="382" spans="1:13" x14ac:dyDescent="0.25">
      <c r="A382" t="s">
        <v>41</v>
      </c>
      <c r="B382" t="s">
        <v>2160</v>
      </c>
      <c r="C382" t="s">
        <v>2158</v>
      </c>
      <c r="D382" t="s">
        <v>1390</v>
      </c>
      <c r="E382">
        <v>0</v>
      </c>
      <c r="F382" t="s">
        <v>2141</v>
      </c>
      <c r="G382" t="s">
        <v>1381</v>
      </c>
      <c r="H382" t="s">
        <v>2142</v>
      </c>
      <c r="I382" t="s">
        <v>1381</v>
      </c>
      <c r="J382" t="s">
        <v>1381</v>
      </c>
      <c r="K382" t="s">
        <v>2143</v>
      </c>
      <c r="L382" t="s">
        <v>2144</v>
      </c>
      <c r="M382" t="s">
        <v>2145</v>
      </c>
    </row>
    <row r="383" spans="1:13" x14ac:dyDescent="0.25">
      <c r="A383" t="s">
        <v>41</v>
      </c>
      <c r="B383" t="s">
        <v>2161</v>
      </c>
      <c r="C383" t="s">
        <v>2158</v>
      </c>
      <c r="D383" t="s">
        <v>1398</v>
      </c>
      <c r="E383">
        <v>0</v>
      </c>
      <c r="F383" t="s">
        <v>2141</v>
      </c>
      <c r="G383" t="s">
        <v>1381</v>
      </c>
      <c r="H383" t="s">
        <v>2142</v>
      </c>
      <c r="I383" t="s">
        <v>1381</v>
      </c>
      <c r="J383" t="s">
        <v>1381</v>
      </c>
      <c r="K383" t="s">
        <v>2143</v>
      </c>
      <c r="L383" t="s">
        <v>2144</v>
      </c>
      <c r="M383" t="s">
        <v>2145</v>
      </c>
    </row>
    <row r="384" spans="1:13" x14ac:dyDescent="0.25">
      <c r="A384" t="s">
        <v>41</v>
      </c>
      <c r="B384" t="s">
        <v>2162</v>
      </c>
      <c r="C384" t="s">
        <v>2158</v>
      </c>
      <c r="D384" t="s">
        <v>1402</v>
      </c>
      <c r="E384">
        <v>0</v>
      </c>
      <c r="F384" t="s">
        <v>2141</v>
      </c>
      <c r="G384" t="s">
        <v>1381</v>
      </c>
      <c r="H384" t="s">
        <v>2142</v>
      </c>
      <c r="I384" t="s">
        <v>1381</v>
      </c>
      <c r="J384" t="s">
        <v>1381</v>
      </c>
      <c r="K384" t="s">
        <v>2143</v>
      </c>
      <c r="L384" t="s">
        <v>2144</v>
      </c>
      <c r="M384" t="s">
        <v>2145</v>
      </c>
    </row>
    <row r="385" spans="1:13" x14ac:dyDescent="0.25">
      <c r="A385" t="s">
        <v>41</v>
      </c>
      <c r="B385" t="s">
        <v>2163</v>
      </c>
      <c r="C385" t="s">
        <v>2158</v>
      </c>
      <c r="D385" t="s">
        <v>1406</v>
      </c>
      <c r="E385">
        <v>0</v>
      </c>
      <c r="F385" t="s">
        <v>2141</v>
      </c>
      <c r="G385" t="s">
        <v>1381</v>
      </c>
      <c r="H385" t="s">
        <v>2142</v>
      </c>
      <c r="I385" t="s">
        <v>1381</v>
      </c>
      <c r="J385" t="s">
        <v>1381</v>
      </c>
      <c r="K385" t="s">
        <v>2143</v>
      </c>
      <c r="L385" t="s">
        <v>2144</v>
      </c>
      <c r="M385" t="s">
        <v>2145</v>
      </c>
    </row>
    <row r="386" spans="1:13" x14ac:dyDescent="0.25">
      <c r="A386" t="s">
        <v>41</v>
      </c>
      <c r="B386" t="s">
        <v>2164</v>
      </c>
      <c r="C386" t="s">
        <v>2158</v>
      </c>
      <c r="D386" t="s">
        <v>1414</v>
      </c>
      <c r="E386">
        <v>0</v>
      </c>
      <c r="F386" t="s">
        <v>2141</v>
      </c>
      <c r="G386" t="s">
        <v>1381</v>
      </c>
      <c r="H386" t="s">
        <v>2142</v>
      </c>
      <c r="I386" t="s">
        <v>1381</v>
      </c>
      <c r="J386" t="s">
        <v>1381</v>
      </c>
      <c r="K386" t="s">
        <v>2143</v>
      </c>
      <c r="L386" t="s">
        <v>2144</v>
      </c>
      <c r="M386" t="s">
        <v>2145</v>
      </c>
    </row>
    <row r="387" spans="1:13" x14ac:dyDescent="0.25">
      <c r="A387" t="s">
        <v>41</v>
      </c>
      <c r="B387" t="s">
        <v>2165</v>
      </c>
      <c r="C387" t="s">
        <v>2158</v>
      </c>
      <c r="D387" t="s">
        <v>1418</v>
      </c>
      <c r="E387">
        <v>0</v>
      </c>
      <c r="F387" t="s">
        <v>2141</v>
      </c>
      <c r="G387" t="s">
        <v>1381</v>
      </c>
      <c r="H387" t="s">
        <v>2142</v>
      </c>
      <c r="I387" t="s">
        <v>1381</v>
      </c>
      <c r="J387" t="s">
        <v>1381</v>
      </c>
      <c r="K387" t="s">
        <v>2143</v>
      </c>
      <c r="L387" t="s">
        <v>2144</v>
      </c>
      <c r="M387" t="s">
        <v>2145</v>
      </c>
    </row>
    <row r="388" spans="1:13" x14ac:dyDescent="0.25">
      <c r="A388" t="s">
        <v>41</v>
      </c>
      <c r="B388" t="s">
        <v>2166</v>
      </c>
      <c r="C388" t="s">
        <v>2158</v>
      </c>
      <c r="D388" t="s">
        <v>1420</v>
      </c>
      <c r="E388">
        <v>0</v>
      </c>
      <c r="F388" t="s">
        <v>2141</v>
      </c>
      <c r="G388" t="s">
        <v>1381</v>
      </c>
      <c r="H388" t="s">
        <v>2142</v>
      </c>
      <c r="I388" t="s">
        <v>1381</v>
      </c>
      <c r="J388" t="s">
        <v>1381</v>
      </c>
      <c r="K388" t="s">
        <v>2143</v>
      </c>
      <c r="L388" t="s">
        <v>2144</v>
      </c>
      <c r="M388" t="s">
        <v>2145</v>
      </c>
    </row>
    <row r="389" spans="1:13" x14ac:dyDescent="0.25">
      <c r="A389" t="s">
        <v>41</v>
      </c>
      <c r="B389" t="s">
        <v>2167</v>
      </c>
      <c r="C389" t="s">
        <v>2158</v>
      </c>
      <c r="D389" t="s">
        <v>1376</v>
      </c>
      <c r="E389">
        <v>0</v>
      </c>
      <c r="F389" t="s">
        <v>2141</v>
      </c>
      <c r="G389" t="s">
        <v>1381</v>
      </c>
      <c r="H389" t="s">
        <v>2142</v>
      </c>
      <c r="I389" t="s">
        <v>1381</v>
      </c>
      <c r="J389" t="s">
        <v>1381</v>
      </c>
      <c r="K389" t="s">
        <v>2143</v>
      </c>
      <c r="L389" t="s">
        <v>2144</v>
      </c>
      <c r="M389" t="s">
        <v>2145</v>
      </c>
    </row>
    <row r="390" spans="1:13" x14ac:dyDescent="0.25">
      <c r="A390" t="s">
        <v>41</v>
      </c>
      <c r="B390" t="s">
        <v>2168</v>
      </c>
      <c r="C390" t="s">
        <v>2158</v>
      </c>
      <c r="D390" t="s">
        <v>1386</v>
      </c>
      <c r="E390">
        <v>0</v>
      </c>
      <c r="F390" t="s">
        <v>2141</v>
      </c>
      <c r="G390" t="s">
        <v>1381</v>
      </c>
      <c r="H390" t="s">
        <v>2142</v>
      </c>
      <c r="I390" t="s">
        <v>1381</v>
      </c>
      <c r="J390" t="s">
        <v>1381</v>
      </c>
      <c r="K390" t="s">
        <v>2143</v>
      </c>
      <c r="L390" t="s">
        <v>2144</v>
      </c>
      <c r="M390" t="s">
        <v>2145</v>
      </c>
    </row>
    <row r="391" spans="1:13" x14ac:dyDescent="0.25">
      <c r="A391" t="s">
        <v>41</v>
      </c>
      <c r="B391" t="s">
        <v>2169</v>
      </c>
      <c r="C391" t="s">
        <v>2158</v>
      </c>
      <c r="D391" t="s">
        <v>1390</v>
      </c>
      <c r="E391">
        <v>0</v>
      </c>
      <c r="F391" t="s">
        <v>2141</v>
      </c>
      <c r="G391" t="s">
        <v>1381</v>
      </c>
      <c r="H391" t="s">
        <v>2142</v>
      </c>
      <c r="I391" t="s">
        <v>1381</v>
      </c>
      <c r="J391" t="s">
        <v>1381</v>
      </c>
      <c r="K391" t="s">
        <v>2143</v>
      </c>
      <c r="L391" t="s">
        <v>2144</v>
      </c>
      <c r="M391" t="s">
        <v>2145</v>
      </c>
    </row>
    <row r="392" spans="1:13" x14ac:dyDescent="0.25">
      <c r="A392" t="s">
        <v>41</v>
      </c>
      <c r="B392" t="s">
        <v>2170</v>
      </c>
      <c r="C392" t="s">
        <v>2158</v>
      </c>
      <c r="D392" t="s">
        <v>1398</v>
      </c>
      <c r="E392">
        <v>0</v>
      </c>
      <c r="F392" t="s">
        <v>2141</v>
      </c>
      <c r="G392" t="s">
        <v>1381</v>
      </c>
      <c r="H392" t="s">
        <v>2142</v>
      </c>
      <c r="I392" t="s">
        <v>1381</v>
      </c>
      <c r="J392" t="s">
        <v>1381</v>
      </c>
      <c r="K392" t="s">
        <v>2143</v>
      </c>
      <c r="L392" t="s">
        <v>2144</v>
      </c>
      <c r="M392" t="s">
        <v>2145</v>
      </c>
    </row>
    <row r="393" spans="1:13" x14ac:dyDescent="0.25">
      <c r="A393" t="s">
        <v>41</v>
      </c>
      <c r="B393" t="s">
        <v>2171</v>
      </c>
      <c r="C393" t="s">
        <v>2158</v>
      </c>
      <c r="D393" t="s">
        <v>1402</v>
      </c>
      <c r="E393">
        <v>0</v>
      </c>
      <c r="F393" t="s">
        <v>2141</v>
      </c>
      <c r="G393" t="s">
        <v>1381</v>
      </c>
      <c r="H393" t="s">
        <v>2142</v>
      </c>
      <c r="I393" t="s">
        <v>1381</v>
      </c>
      <c r="J393" t="s">
        <v>1381</v>
      </c>
      <c r="K393" t="s">
        <v>2143</v>
      </c>
      <c r="L393" t="s">
        <v>2144</v>
      </c>
      <c r="M393" t="s">
        <v>2145</v>
      </c>
    </row>
    <row r="394" spans="1:13" x14ac:dyDescent="0.25">
      <c r="A394" t="s">
        <v>41</v>
      </c>
      <c r="B394" t="s">
        <v>2172</v>
      </c>
      <c r="C394" t="s">
        <v>2158</v>
      </c>
      <c r="D394" t="s">
        <v>1406</v>
      </c>
      <c r="E394">
        <v>0</v>
      </c>
      <c r="F394" t="s">
        <v>2141</v>
      </c>
      <c r="G394" t="s">
        <v>1381</v>
      </c>
      <c r="H394" t="s">
        <v>2142</v>
      </c>
      <c r="I394" t="s">
        <v>1381</v>
      </c>
      <c r="J394" t="s">
        <v>1381</v>
      </c>
      <c r="K394" t="s">
        <v>2143</v>
      </c>
      <c r="L394" t="s">
        <v>2144</v>
      </c>
      <c r="M394" t="s">
        <v>2145</v>
      </c>
    </row>
    <row r="395" spans="1:13" x14ac:dyDescent="0.25">
      <c r="A395" t="s">
        <v>41</v>
      </c>
      <c r="B395" t="s">
        <v>2173</v>
      </c>
      <c r="C395" t="s">
        <v>2158</v>
      </c>
      <c r="D395" t="s">
        <v>1414</v>
      </c>
      <c r="E395">
        <v>0</v>
      </c>
      <c r="F395" t="s">
        <v>2141</v>
      </c>
      <c r="G395" t="s">
        <v>1381</v>
      </c>
      <c r="H395" t="s">
        <v>2142</v>
      </c>
      <c r="I395" t="s">
        <v>1381</v>
      </c>
      <c r="J395" t="s">
        <v>1381</v>
      </c>
      <c r="K395" t="s">
        <v>2143</v>
      </c>
      <c r="L395" t="s">
        <v>2144</v>
      </c>
      <c r="M395" t="s">
        <v>2145</v>
      </c>
    </row>
    <row r="396" spans="1:13" x14ac:dyDescent="0.25">
      <c r="A396" t="s">
        <v>41</v>
      </c>
      <c r="B396" t="s">
        <v>2174</v>
      </c>
      <c r="C396" t="s">
        <v>2158</v>
      </c>
      <c r="D396" t="s">
        <v>1418</v>
      </c>
      <c r="E396">
        <v>0</v>
      </c>
      <c r="F396" t="s">
        <v>2141</v>
      </c>
      <c r="G396" t="s">
        <v>1381</v>
      </c>
      <c r="H396" t="s">
        <v>2142</v>
      </c>
      <c r="I396" t="s">
        <v>1381</v>
      </c>
      <c r="J396" t="s">
        <v>1381</v>
      </c>
      <c r="K396" t="s">
        <v>2143</v>
      </c>
      <c r="L396" t="s">
        <v>2144</v>
      </c>
      <c r="M396" t="s">
        <v>2145</v>
      </c>
    </row>
    <row r="397" spans="1:13" x14ac:dyDescent="0.25">
      <c r="A397" t="s">
        <v>41</v>
      </c>
      <c r="B397" t="s">
        <v>2175</v>
      </c>
      <c r="C397" t="s">
        <v>2158</v>
      </c>
      <c r="D397" t="s">
        <v>1420</v>
      </c>
      <c r="E397">
        <v>0</v>
      </c>
      <c r="F397" t="s">
        <v>2141</v>
      </c>
      <c r="G397" t="s">
        <v>1381</v>
      </c>
      <c r="H397" t="s">
        <v>2142</v>
      </c>
      <c r="I397" t="s">
        <v>1381</v>
      </c>
      <c r="J397" t="s">
        <v>1381</v>
      </c>
      <c r="K397" t="s">
        <v>2143</v>
      </c>
      <c r="L397" t="s">
        <v>2144</v>
      </c>
      <c r="M397" t="s">
        <v>2145</v>
      </c>
    </row>
    <row r="398" spans="1:13" x14ac:dyDescent="0.25">
      <c r="A398" t="s">
        <v>41</v>
      </c>
      <c r="B398" t="s">
        <v>2176</v>
      </c>
      <c r="C398" t="s">
        <v>2158</v>
      </c>
      <c r="D398" t="s">
        <v>1376</v>
      </c>
      <c r="E398">
        <v>0</v>
      </c>
      <c r="F398" t="s">
        <v>2141</v>
      </c>
      <c r="G398" t="s">
        <v>1381</v>
      </c>
      <c r="H398" t="s">
        <v>2142</v>
      </c>
      <c r="I398" t="s">
        <v>1381</v>
      </c>
      <c r="J398" t="s">
        <v>1381</v>
      </c>
      <c r="K398" t="s">
        <v>2143</v>
      </c>
      <c r="L398" t="s">
        <v>2144</v>
      </c>
      <c r="M398" t="s">
        <v>2145</v>
      </c>
    </row>
    <row r="399" spans="1:13" x14ac:dyDescent="0.25">
      <c r="A399" t="s">
        <v>41</v>
      </c>
      <c r="B399" t="s">
        <v>2177</v>
      </c>
      <c r="C399" t="s">
        <v>2158</v>
      </c>
      <c r="D399" t="s">
        <v>1386</v>
      </c>
      <c r="E399">
        <v>0</v>
      </c>
      <c r="F399" t="s">
        <v>2141</v>
      </c>
      <c r="G399" t="s">
        <v>1381</v>
      </c>
      <c r="H399" t="s">
        <v>2142</v>
      </c>
      <c r="I399" t="s">
        <v>1381</v>
      </c>
      <c r="J399" t="s">
        <v>1381</v>
      </c>
      <c r="K399" t="s">
        <v>2143</v>
      </c>
      <c r="L399" t="s">
        <v>2144</v>
      </c>
      <c r="M399" t="s">
        <v>2145</v>
      </c>
    </row>
    <row r="400" spans="1:13" x14ac:dyDescent="0.25">
      <c r="A400" t="s">
        <v>41</v>
      </c>
      <c r="B400" t="s">
        <v>2178</v>
      </c>
      <c r="C400" t="s">
        <v>2158</v>
      </c>
      <c r="D400" t="s">
        <v>1390</v>
      </c>
      <c r="E400">
        <v>0</v>
      </c>
      <c r="F400" t="s">
        <v>2141</v>
      </c>
      <c r="G400" t="s">
        <v>1381</v>
      </c>
      <c r="H400" t="s">
        <v>2142</v>
      </c>
      <c r="I400" t="s">
        <v>1381</v>
      </c>
      <c r="J400" t="s">
        <v>1381</v>
      </c>
      <c r="K400" t="s">
        <v>2143</v>
      </c>
      <c r="L400" t="s">
        <v>2144</v>
      </c>
      <c r="M400" t="s">
        <v>2145</v>
      </c>
    </row>
    <row r="401" spans="1:13" x14ac:dyDescent="0.25">
      <c r="A401" t="s">
        <v>41</v>
      </c>
      <c r="B401" t="s">
        <v>2179</v>
      </c>
      <c r="C401" t="s">
        <v>2158</v>
      </c>
      <c r="D401" t="s">
        <v>1398</v>
      </c>
      <c r="E401">
        <v>0</v>
      </c>
      <c r="F401" t="s">
        <v>2141</v>
      </c>
      <c r="G401" t="s">
        <v>1381</v>
      </c>
      <c r="H401" t="s">
        <v>2142</v>
      </c>
      <c r="I401" t="s">
        <v>1381</v>
      </c>
      <c r="J401" t="s">
        <v>1381</v>
      </c>
      <c r="K401" t="s">
        <v>2143</v>
      </c>
      <c r="L401" t="s">
        <v>2144</v>
      </c>
      <c r="M401" t="s">
        <v>2145</v>
      </c>
    </row>
    <row r="402" spans="1:13" x14ac:dyDescent="0.25">
      <c r="A402" t="s">
        <v>41</v>
      </c>
      <c r="B402" t="s">
        <v>2180</v>
      </c>
      <c r="C402" t="s">
        <v>2158</v>
      </c>
      <c r="D402" t="s">
        <v>1402</v>
      </c>
      <c r="E402">
        <v>0</v>
      </c>
      <c r="F402" t="s">
        <v>2141</v>
      </c>
      <c r="G402" t="s">
        <v>1381</v>
      </c>
      <c r="H402" t="s">
        <v>2142</v>
      </c>
      <c r="I402" t="s">
        <v>1381</v>
      </c>
      <c r="J402" t="s">
        <v>1381</v>
      </c>
      <c r="K402" t="s">
        <v>2143</v>
      </c>
      <c r="L402" t="s">
        <v>2144</v>
      </c>
      <c r="M402" t="s">
        <v>2145</v>
      </c>
    </row>
    <row r="403" spans="1:13" x14ac:dyDescent="0.25">
      <c r="A403" t="s">
        <v>41</v>
      </c>
      <c r="B403" t="s">
        <v>2181</v>
      </c>
      <c r="C403" t="s">
        <v>2158</v>
      </c>
      <c r="D403" t="s">
        <v>1406</v>
      </c>
      <c r="E403">
        <v>0</v>
      </c>
      <c r="F403" t="s">
        <v>2141</v>
      </c>
      <c r="G403" t="s">
        <v>1381</v>
      </c>
      <c r="H403" t="s">
        <v>2142</v>
      </c>
      <c r="I403" t="s">
        <v>1381</v>
      </c>
      <c r="J403" t="s">
        <v>1381</v>
      </c>
      <c r="K403" t="s">
        <v>2143</v>
      </c>
      <c r="L403" t="s">
        <v>2144</v>
      </c>
      <c r="M403" t="s">
        <v>2145</v>
      </c>
    </row>
    <row r="404" spans="1:13" x14ac:dyDescent="0.25">
      <c r="A404" t="s">
        <v>41</v>
      </c>
      <c r="B404" t="s">
        <v>2182</v>
      </c>
      <c r="C404" t="s">
        <v>2158</v>
      </c>
      <c r="D404" t="s">
        <v>1414</v>
      </c>
      <c r="E404">
        <v>0</v>
      </c>
      <c r="F404" t="s">
        <v>2141</v>
      </c>
      <c r="G404" t="s">
        <v>1381</v>
      </c>
      <c r="H404" t="s">
        <v>2142</v>
      </c>
      <c r="I404" t="s">
        <v>1381</v>
      </c>
      <c r="J404" t="s">
        <v>1381</v>
      </c>
      <c r="K404" t="s">
        <v>2143</v>
      </c>
      <c r="L404" t="s">
        <v>2144</v>
      </c>
      <c r="M404" t="s">
        <v>2145</v>
      </c>
    </row>
    <row r="405" spans="1:13" x14ac:dyDescent="0.25">
      <c r="A405" t="s">
        <v>41</v>
      </c>
      <c r="B405" t="s">
        <v>2183</v>
      </c>
      <c r="C405" t="s">
        <v>2158</v>
      </c>
      <c r="D405" t="s">
        <v>1418</v>
      </c>
      <c r="E405">
        <v>0</v>
      </c>
      <c r="F405" t="s">
        <v>2141</v>
      </c>
      <c r="G405" t="s">
        <v>1381</v>
      </c>
      <c r="H405" t="s">
        <v>2142</v>
      </c>
      <c r="I405" t="s">
        <v>1381</v>
      </c>
      <c r="J405" t="s">
        <v>1381</v>
      </c>
      <c r="K405" t="s">
        <v>2143</v>
      </c>
      <c r="L405" t="s">
        <v>2144</v>
      </c>
      <c r="M405" t="s">
        <v>2145</v>
      </c>
    </row>
    <row r="406" spans="1:13" x14ac:dyDescent="0.25">
      <c r="A406" t="s">
        <v>41</v>
      </c>
      <c r="B406" t="s">
        <v>2184</v>
      </c>
      <c r="C406" t="s">
        <v>2158</v>
      </c>
      <c r="D406" t="s">
        <v>1420</v>
      </c>
      <c r="E406">
        <v>0</v>
      </c>
      <c r="F406" t="s">
        <v>2141</v>
      </c>
      <c r="G406" t="s">
        <v>1381</v>
      </c>
      <c r="H406" t="s">
        <v>2142</v>
      </c>
      <c r="I406" t="s">
        <v>1381</v>
      </c>
      <c r="J406" t="s">
        <v>1381</v>
      </c>
      <c r="K406" t="s">
        <v>2143</v>
      </c>
      <c r="L406" t="s">
        <v>2144</v>
      </c>
      <c r="M406" t="s">
        <v>2145</v>
      </c>
    </row>
    <row r="407" spans="1:13" x14ac:dyDescent="0.25">
      <c r="A407" t="s">
        <v>41</v>
      </c>
      <c r="B407" t="s">
        <v>2185</v>
      </c>
      <c r="C407" t="s">
        <v>438</v>
      </c>
      <c r="D407" t="s">
        <v>1376</v>
      </c>
      <c r="E407">
        <v>0</v>
      </c>
      <c r="F407" t="s">
        <v>2142</v>
      </c>
      <c r="G407" t="s">
        <v>2186</v>
      </c>
      <c r="H407" t="s">
        <v>2142</v>
      </c>
      <c r="I407" t="s">
        <v>1381</v>
      </c>
      <c r="J407" t="s">
        <v>1381</v>
      </c>
      <c r="K407" t="s">
        <v>1382</v>
      </c>
      <c r="L407" t="s">
        <v>1383</v>
      </c>
      <c r="M407" t="s">
        <v>2187</v>
      </c>
    </row>
    <row r="408" spans="1:13" x14ac:dyDescent="0.25">
      <c r="A408" t="s">
        <v>41</v>
      </c>
      <c r="B408" t="s">
        <v>2188</v>
      </c>
      <c r="C408" t="s">
        <v>438</v>
      </c>
      <c r="D408" t="s">
        <v>1386</v>
      </c>
      <c r="E408">
        <v>0</v>
      </c>
      <c r="F408" t="s">
        <v>2142</v>
      </c>
      <c r="G408" t="s">
        <v>2186</v>
      </c>
      <c r="H408" t="s">
        <v>2142</v>
      </c>
      <c r="I408" t="s">
        <v>1381</v>
      </c>
      <c r="J408" t="s">
        <v>1381</v>
      </c>
      <c r="K408" t="s">
        <v>1382</v>
      </c>
      <c r="L408" t="s">
        <v>1383</v>
      </c>
      <c r="M408" t="s">
        <v>2187</v>
      </c>
    </row>
    <row r="409" spans="1:13" x14ac:dyDescent="0.25">
      <c r="A409" t="s">
        <v>41</v>
      </c>
      <c r="B409" t="s">
        <v>2189</v>
      </c>
      <c r="C409" t="s">
        <v>438</v>
      </c>
      <c r="D409" t="s">
        <v>1390</v>
      </c>
      <c r="E409">
        <v>0</v>
      </c>
      <c r="F409" t="s">
        <v>2142</v>
      </c>
      <c r="G409" t="s">
        <v>2186</v>
      </c>
      <c r="H409" t="s">
        <v>2142</v>
      </c>
      <c r="I409" t="s">
        <v>1381</v>
      </c>
      <c r="J409" t="s">
        <v>1381</v>
      </c>
      <c r="K409" t="s">
        <v>1382</v>
      </c>
      <c r="L409" t="s">
        <v>1383</v>
      </c>
      <c r="M409" t="s">
        <v>2187</v>
      </c>
    </row>
    <row r="410" spans="1:13" x14ac:dyDescent="0.25">
      <c r="A410" t="s">
        <v>41</v>
      </c>
      <c r="B410" t="s">
        <v>2190</v>
      </c>
      <c r="C410" t="s">
        <v>438</v>
      </c>
      <c r="D410" t="s">
        <v>1394</v>
      </c>
      <c r="E410">
        <v>0</v>
      </c>
      <c r="F410" t="s">
        <v>2142</v>
      </c>
      <c r="G410" t="s">
        <v>2186</v>
      </c>
      <c r="H410" t="s">
        <v>2142</v>
      </c>
      <c r="I410" t="s">
        <v>1381</v>
      </c>
      <c r="J410" t="s">
        <v>1381</v>
      </c>
      <c r="K410" t="s">
        <v>1382</v>
      </c>
      <c r="L410" t="s">
        <v>1383</v>
      </c>
      <c r="M410" t="s">
        <v>2187</v>
      </c>
    </row>
    <row r="411" spans="1:13" x14ac:dyDescent="0.25">
      <c r="A411" t="s">
        <v>41</v>
      </c>
      <c r="B411" t="s">
        <v>2191</v>
      </c>
      <c r="C411" t="s">
        <v>438</v>
      </c>
      <c r="D411" t="s">
        <v>1398</v>
      </c>
      <c r="E411">
        <v>0</v>
      </c>
      <c r="F411" t="s">
        <v>2142</v>
      </c>
      <c r="G411" t="s">
        <v>2186</v>
      </c>
      <c r="H411" t="s">
        <v>2142</v>
      </c>
      <c r="I411" t="s">
        <v>1381</v>
      </c>
      <c r="J411" t="s">
        <v>1381</v>
      </c>
      <c r="K411" t="s">
        <v>1382</v>
      </c>
      <c r="L411" t="s">
        <v>1383</v>
      </c>
      <c r="M411" t="s">
        <v>2187</v>
      </c>
    </row>
    <row r="412" spans="1:13" x14ac:dyDescent="0.25">
      <c r="A412" t="s">
        <v>41</v>
      </c>
      <c r="B412" t="s">
        <v>2192</v>
      </c>
      <c r="C412" t="s">
        <v>438</v>
      </c>
      <c r="D412" t="s">
        <v>1402</v>
      </c>
      <c r="E412">
        <v>0</v>
      </c>
      <c r="F412" t="s">
        <v>2142</v>
      </c>
      <c r="G412" t="s">
        <v>2186</v>
      </c>
      <c r="H412" t="s">
        <v>2142</v>
      </c>
      <c r="I412" t="s">
        <v>1381</v>
      </c>
      <c r="J412" t="s">
        <v>1381</v>
      </c>
      <c r="K412" t="s">
        <v>1382</v>
      </c>
      <c r="L412" t="s">
        <v>1383</v>
      </c>
      <c r="M412" t="s">
        <v>2187</v>
      </c>
    </row>
    <row r="413" spans="1:13" x14ac:dyDescent="0.25">
      <c r="A413" t="s">
        <v>41</v>
      </c>
      <c r="B413" t="s">
        <v>2193</v>
      </c>
      <c r="C413" t="s">
        <v>438</v>
      </c>
      <c r="D413" t="s">
        <v>1406</v>
      </c>
      <c r="E413">
        <v>0</v>
      </c>
      <c r="F413" t="s">
        <v>2142</v>
      </c>
      <c r="G413" t="s">
        <v>2186</v>
      </c>
      <c r="H413" t="s">
        <v>2142</v>
      </c>
      <c r="I413" t="s">
        <v>1381</v>
      </c>
      <c r="J413" t="s">
        <v>1381</v>
      </c>
      <c r="K413" t="s">
        <v>1382</v>
      </c>
      <c r="L413" t="s">
        <v>1383</v>
      </c>
      <c r="M413" t="s">
        <v>2187</v>
      </c>
    </row>
    <row r="414" spans="1:13" x14ac:dyDescent="0.25">
      <c r="A414" t="s">
        <v>41</v>
      </c>
      <c r="B414" t="s">
        <v>2194</v>
      </c>
      <c r="C414" t="s">
        <v>438</v>
      </c>
      <c r="D414" t="s">
        <v>1410</v>
      </c>
      <c r="E414">
        <v>0</v>
      </c>
      <c r="F414" t="s">
        <v>2142</v>
      </c>
      <c r="G414" t="s">
        <v>2186</v>
      </c>
      <c r="H414" t="s">
        <v>2142</v>
      </c>
      <c r="I414" t="s">
        <v>1381</v>
      </c>
      <c r="J414" t="s">
        <v>1381</v>
      </c>
      <c r="K414" t="s">
        <v>1382</v>
      </c>
      <c r="L414" t="s">
        <v>1383</v>
      </c>
      <c r="M414" t="s">
        <v>2187</v>
      </c>
    </row>
    <row r="415" spans="1:13" x14ac:dyDescent="0.25">
      <c r="A415" t="s">
        <v>41</v>
      </c>
      <c r="B415" t="s">
        <v>2195</v>
      </c>
      <c r="C415" t="s">
        <v>438</v>
      </c>
      <c r="D415" t="s">
        <v>1414</v>
      </c>
      <c r="E415">
        <v>0</v>
      </c>
      <c r="F415" t="s">
        <v>2142</v>
      </c>
      <c r="G415" t="s">
        <v>2186</v>
      </c>
      <c r="H415" t="s">
        <v>2142</v>
      </c>
      <c r="I415" t="s">
        <v>1381</v>
      </c>
      <c r="J415" t="s">
        <v>1381</v>
      </c>
      <c r="K415" t="s">
        <v>1382</v>
      </c>
      <c r="L415" t="s">
        <v>1383</v>
      </c>
      <c r="M415" t="s">
        <v>2187</v>
      </c>
    </row>
    <row r="416" spans="1:13" x14ac:dyDescent="0.25">
      <c r="A416" t="s">
        <v>41</v>
      </c>
      <c r="B416" t="s">
        <v>2196</v>
      </c>
      <c r="C416" t="s">
        <v>438</v>
      </c>
      <c r="D416" t="s">
        <v>1418</v>
      </c>
      <c r="E416">
        <v>0</v>
      </c>
      <c r="F416" t="s">
        <v>2142</v>
      </c>
      <c r="G416" t="s">
        <v>2186</v>
      </c>
      <c r="H416" t="s">
        <v>2142</v>
      </c>
      <c r="I416" t="s">
        <v>1381</v>
      </c>
      <c r="J416" t="s">
        <v>1381</v>
      </c>
      <c r="K416" t="s">
        <v>1382</v>
      </c>
      <c r="L416" t="s">
        <v>1383</v>
      </c>
      <c r="M416" t="s">
        <v>2187</v>
      </c>
    </row>
    <row r="417" spans="1:13" x14ac:dyDescent="0.25">
      <c r="A417" t="s">
        <v>41</v>
      </c>
      <c r="B417" t="s">
        <v>2197</v>
      </c>
      <c r="C417" t="s">
        <v>438</v>
      </c>
      <c r="D417" t="s">
        <v>1420</v>
      </c>
      <c r="E417">
        <v>0</v>
      </c>
      <c r="F417" t="s">
        <v>2142</v>
      </c>
      <c r="G417" t="s">
        <v>2186</v>
      </c>
      <c r="H417" t="s">
        <v>2142</v>
      </c>
      <c r="I417" t="s">
        <v>1381</v>
      </c>
      <c r="J417" t="s">
        <v>1381</v>
      </c>
      <c r="K417" t="s">
        <v>1382</v>
      </c>
      <c r="L417" t="s">
        <v>1383</v>
      </c>
      <c r="M417" t="s">
        <v>2187</v>
      </c>
    </row>
    <row r="418" spans="1:13" x14ac:dyDescent="0.25">
      <c r="A418" t="s">
        <v>41</v>
      </c>
      <c r="B418" t="s">
        <v>2198</v>
      </c>
      <c r="C418" t="s">
        <v>438</v>
      </c>
      <c r="D418" t="s">
        <v>1423</v>
      </c>
      <c r="E418">
        <v>90.8</v>
      </c>
      <c r="F418" t="s">
        <v>2142</v>
      </c>
      <c r="G418" t="s">
        <v>2199</v>
      </c>
      <c r="H418" t="s">
        <v>2142</v>
      </c>
      <c r="I418" t="s">
        <v>1381</v>
      </c>
      <c r="J418" t="s">
        <v>1381</v>
      </c>
      <c r="K418" t="s">
        <v>1382</v>
      </c>
      <c r="L418" t="s">
        <v>1383</v>
      </c>
      <c r="M418" t="s">
        <v>2187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F29" sqref="F2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14560.624124511742</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14560.624124511742</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-431.941769892939</v>
      </c>
      <c r="Q11" s="25">
        <f>Valuation!N142</f>
        <v>-12.357921900945017</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1174.2438810090114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29.876778359427067</v>
      </c>
      <c r="M13" s="8"/>
      <c r="N13" s="32" t="s">
        <v>16</v>
      </c>
      <c r="O13" s="30"/>
      <c r="P13" s="33">
        <f>Valuation!N219</f>
        <v>-1302.7163446349757</v>
      </c>
      <c r="Q13" s="31">
        <f>Valuation!N220</f>
        <v>-35.25496567538721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24179.849008052126</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24179.849008052126</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106.63396846124435</v>
      </c>
      <c r="Q18" s="25">
        <f>Valuation!F131</f>
        <v>1.803943425223359</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1949.98782323001</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50.27498877807021</v>
      </c>
      <c r="M20" s="8"/>
      <c r="N20" s="32" t="s">
        <v>24</v>
      </c>
      <c r="O20" s="30"/>
      <c r="P20" s="33">
        <f>Valuation!F208</f>
        <v>113.70334030380603</v>
      </c>
      <c r="Q20" s="31">
        <f>Valuation!F209</f>
        <v>1.9898327715962667</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-0.008666971337829545</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12.4</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3507.6640000000007</v>
      </c>
      <c r="H8" s="106">
        <f>Model!Q28</f>
        <v>3588.715</v>
      </c>
      <c r="I8" s="106">
        <f>Model!R28</f>
        <v>4191.5740000000005</v>
      </c>
      <c r="J8" s="107">
        <f>Model!S28</f>
        <v>2769.123999999999</v>
      </c>
      <c r="K8" s="106">
        <f>Model!U28</f>
        <v>3777.652510000001</v>
      </c>
      <c r="L8" s="106">
        <f>Model!V28</f>
        <v>3898.85528</v>
      </c>
      <c r="M8" s="106">
        <f>Model!W28</f>
        <v>4509.10275</v>
      </c>
      <c r="N8" s="108">
        <f>Model!X28</f>
        <v>3039.317969999999</v>
      </c>
      <c r="O8" s="106">
        <f>Model!Z28</f>
        <v>3983.5114171000005</v>
      </c>
      <c r="P8" s="106">
        <f>Model!AA28</f>
        <v>4181.371408800001</v>
      </c>
      <c r="Q8" s="106">
        <f>Model!AB28</f>
        <v>4795.318069500001</v>
      </c>
      <c r="R8" s="106">
        <f>Model!AC28</f>
        <v>3294.028989999999</v>
      </c>
      <c r="S8" s="8"/>
      <c r="T8" s="106">
        <f>Model!J28</f>
        <v>13583.18</v>
      </c>
      <c r="U8" s="106">
        <f>Model!O28</f>
        <v>15257.969000000001</v>
      </c>
      <c r="V8" s="107">
        <f>Model!T28</f>
        <v>14057.077000000001</v>
      </c>
      <c r="W8" s="106">
        <f>Model!Y28</f>
        <v>15224.928510000002</v>
      </c>
      <c r="X8" s="106">
        <f>Model!AD28</f>
        <v>16254.2298854</v>
      </c>
      <c r="Y8" s="106">
        <f>Model!AE28</f>
        <v>17128.390803084003</v>
      </c>
      <c r="Z8" s="106">
        <f>Model!AF28</f>
        <v>17784.316566345242</v>
      </c>
      <c r="AA8" s="106">
        <f>Model!AG28</f>
        <v>18210.52559526321</v>
      </c>
      <c r="AB8" s="8"/>
      <c r="AC8" s="109">
        <f>IFERROR((V8/T8)^(1/(V$4-T$4))-1,"N/A")</f>
        <v>0.01729470485840401</v>
      </c>
      <c r="AD8" s="74"/>
      <c r="AE8" s="109">
        <f>IFERROR((AA8/V8)^(1/(AA$4-V$4))-1,"N/A")</f>
        <v>0.053138503992367525</v>
      </c>
    </row>
    <row r="9" spans="1:31" x14ac:dyDescent="0.25">
      <c r="A9" s="9"/>
      <c r="B9" s="8"/>
      <c r="C9" s="110" t="s">
        <v>104</v>
      </c>
      <c r="D9" s="8"/>
      <c r="E9" s="8"/>
      <c r="F9" s="8"/>
      <c r="G9" s="8"/>
      <c r="H9" s="111"/>
      <c r="I9" s="111"/>
      <c r="J9" s="112"/>
      <c r="K9" s="111">
        <f t="shared" ref="K9:R9" si="0">K8/G8-1</f>
        <v>0.07697102972234515</v>
      </c>
      <c r="L9" s="111">
        <f t="shared" si="0"/>
        <v>0.08642098355539529</v>
      </c>
      <c r="M9" s="111">
        <f t="shared" si="0"/>
        <v>0.07575406040785615</v>
      </c>
      <c r="N9" s="113">
        <f t="shared" si="0"/>
        <v>0.09757380673454863</v>
      </c>
      <c r="O9" s="111">
        <f t="shared" si="0"/>
        <v>0.05449387061278421</v>
      </c>
      <c r="P9" s="111">
        <f t="shared" si="0"/>
        <v>0.07246130171828291</v>
      </c>
      <c r="Q9" s="111">
        <f t="shared" si="0"/>
        <v>0.06347500497743175</v>
      </c>
      <c r="R9" s="111">
        <f t="shared" si="0"/>
        <v>0.08380532162615406</v>
      </c>
      <c r="S9" s="8"/>
      <c r="T9" s="111"/>
      <c r="U9" s="111">
        <f t="shared" ref="U9:AA9" si="1">IF(ISERROR(U8/T8-1),"NA",(U8/T8-1))</f>
        <v>0.12329874153180631</v>
      </c>
      <c r="V9" s="112">
        <f t="shared" si="1"/>
        <v>-0.0787058880510243</v>
      </c>
      <c r="W9" s="111">
        <f t="shared" si="1"/>
        <v>0.08307925680424177</v>
      </c>
      <c r="X9" s="111">
        <f t="shared" si="1"/>
        <v>0.06760631911827608</v>
      </c>
      <c r="Y9" s="111">
        <f t="shared" si="1"/>
        <v>0.053780518907831976</v>
      </c>
      <c r="Z9" s="111">
        <f t="shared" si="1"/>
        <v>0.03829465189124126</v>
      </c>
      <c r="AA9" s="111">
        <f t="shared" si="1"/>
        <v>0.02396544322228955</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3507.6640000000007</v>
      </c>
      <c r="H11" s="106">
        <f>Model!Q30</f>
        <v>3588.715</v>
      </c>
      <c r="I11" s="106">
        <f>Model!R30</f>
        <v>4191.5740000000005</v>
      </c>
      <c r="J11" s="107">
        <f>Model!S30</f>
        <v>2769.123999999999</v>
      </c>
      <c r="K11" s="106">
        <f>Model!U30</f>
        <v>3060.733510000001</v>
      </c>
      <c r="L11" s="106">
        <f>Model!V30</f>
        <v>3134.0472800000002</v>
      </c>
      <c r="M11" s="106">
        <f>Model!W30</f>
        <v>3695.15575</v>
      </c>
      <c r="N11" s="108">
        <f>Model!X30</f>
        <v>2247.009969999999</v>
      </c>
      <c r="O11" s="106">
        <f>Model!Z30</f>
        <v>3224.3513371000004</v>
      </c>
      <c r="P11" s="106">
        <f>Model!AA30</f>
        <v>3409.2613288000007</v>
      </c>
      <c r="Q11" s="106">
        <f>Model!AB30</f>
        <v>4010.257989500001</v>
      </c>
      <c r="R11" s="106">
        <f>Model!AC30</f>
        <v>2496.018909999999</v>
      </c>
      <c r="S11" s="8"/>
      <c r="T11" s="106">
        <f>Model!J30</f>
        <v>12651.480000000001</v>
      </c>
      <c r="U11" s="106">
        <f>Model!O30</f>
        <v>14147.269</v>
      </c>
      <c r="V11" s="107">
        <f>Model!T30</f>
        <v>14057.077000000001</v>
      </c>
      <c r="W11" s="106">
        <f>Model!Y30</f>
        <v>12136.94651</v>
      </c>
      <c r="X11" s="106">
        <f>Model!AD30</f>
        <v>13139.8895654</v>
      </c>
      <c r="Y11" s="106">
        <f>Model!AE30</f>
        <v>13709.464803084004</v>
      </c>
      <c r="Z11" s="106">
        <f>Model!AF30</f>
        <v>14050.390566345242</v>
      </c>
      <c r="AA11" s="106">
        <f>Model!AG30</f>
        <v>14161.599595263211</v>
      </c>
      <c r="AB11" s="8"/>
      <c r="AC11" s="109">
        <f>IFERROR((V11/T11)^(1/(V$4-T$4))-1,"N/A")</f>
        <v>0.0540879417431972</v>
      </c>
      <c r="AD11" s="74"/>
      <c r="AE11" s="109">
        <f>IFERROR((AA11/V11)^(1/(AA$4-V$4))-1,"N/A")</f>
        <v>0.001482713658556678</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0.8102210306262394</v>
      </c>
      <c r="L12" s="111">
        <f t="shared" si="2"/>
        <v>0.8038378074910234</v>
      </c>
      <c r="M12" s="111">
        <f t="shared" si="2"/>
        <v>0.819488034509748</v>
      </c>
      <c r="N12" s="113">
        <f t="shared" si="2"/>
        <v>0.7393138829761862</v>
      </c>
      <c r="O12" s="111">
        <f t="shared" si="2"/>
        <v>0.8094243996035364</v>
      </c>
      <c r="P12" s="111">
        <f t="shared" si="2"/>
        <v>0.8153452529055328</v>
      </c>
      <c r="Q12" s="111">
        <f t="shared" si="2"/>
        <v>0.8362861297995491</v>
      </c>
      <c r="R12" s="111">
        <f t="shared" si="2"/>
        <v>0.7577404198862256</v>
      </c>
      <c r="S12" s="8"/>
      <c r="T12" s="111">
        <f t="shared" ref="T12:AA12" si="3">T11/T$8</f>
        <v>0.9314078146649019</v>
      </c>
      <c r="U12" s="111">
        <f t="shared" si="3"/>
        <v>0.927205252547046</v>
      </c>
      <c r="V12" s="112">
        <f t="shared" si="3"/>
        <v>1</v>
      </c>
      <c r="W12" s="111">
        <f t="shared" si="3"/>
        <v>0.7971759277574433</v>
      </c>
      <c r="X12" s="111">
        <f t="shared" si="3"/>
        <v>0.8083981620810355</v>
      </c>
      <c r="Y12" s="111">
        <f t="shared" si="3"/>
        <v>0.8003942086968021</v>
      </c>
      <c r="Z12" s="111">
        <f t="shared" si="3"/>
        <v>0.7900438857984556</v>
      </c>
      <c r="AA12" s="111">
        <f t="shared" si="3"/>
        <v>0.7776601241507727</v>
      </c>
      <c r="AB12" s="8"/>
      <c r="AC12" s="116"/>
      <c r="AD12" s="74"/>
      <c r="AE12" s="116"/>
    </row>
    <row r="13" spans="1:31" x14ac:dyDescent="0.25">
      <c r="A13" s="9"/>
      <c r="B13" s="8"/>
      <c r="C13" s="110" t="s">
        <v>104</v>
      </c>
      <c r="D13" s="8"/>
      <c r="E13" s="8"/>
      <c r="F13" s="8"/>
      <c r="G13" s="111"/>
      <c r="H13" s="111"/>
      <c r="I13" s="111"/>
      <c r="J13" s="112"/>
      <c r="K13" s="111">
        <f t="shared" ref="K13:R13" si="4">K11/G11-1</f>
        <v>-0.12741542234375913</v>
      </c>
      <c r="L13" s="111">
        <f t="shared" si="4"/>
        <v>-0.12669373856658994</v>
      </c>
      <c r="M13" s="111">
        <f t="shared" si="4"/>
        <v>-0.1184324194204851</v>
      </c>
      <c r="N13" s="113">
        <f t="shared" si="4"/>
        <v>-0.18854844709012664</v>
      </c>
      <c r="O13" s="111">
        <f t="shared" si="4"/>
        <v>0.053457063989866827</v>
      </c>
      <c r="P13" s="111">
        <f t="shared" si="4"/>
        <v>0.08781426194693531</v>
      </c>
      <c r="Q13" s="111">
        <f t="shared" si="4"/>
        <v>0.08527441353453113</v>
      </c>
      <c r="R13" s="111">
        <f t="shared" si="4"/>
        <v>0.11081790616176024</v>
      </c>
      <c r="S13" s="8"/>
      <c r="T13" s="111"/>
      <c r="U13" s="111">
        <f t="shared" ref="U13:AA13" si="5">U11/T11-1</f>
        <v>0.11823035723883679</v>
      </c>
      <c r="V13" s="112">
        <f t="shared" si="5"/>
        <v>-0.006375223373500494</v>
      </c>
      <c r="W13" s="111">
        <f t="shared" si="5"/>
        <v>-0.13659528862223647</v>
      </c>
      <c r="X13" s="111">
        <f t="shared" si="5"/>
        <v>0.08263553395194134</v>
      </c>
      <c r="Y13" s="111">
        <f t="shared" si="5"/>
        <v>0.04334703384294869</v>
      </c>
      <c r="Z13" s="111">
        <f t="shared" si="5"/>
        <v>0.024867911924945973</v>
      </c>
      <c r="AA13" s="111">
        <f t="shared" si="5"/>
        <v>0.007915013350898947</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2537.5640000000008</v>
      </c>
      <c r="H15" s="106">
        <f>Model!Q36</f>
        <v>2676.815</v>
      </c>
      <c r="I15" s="106">
        <f>Model!R36</f>
        <v>3256.4740000000006</v>
      </c>
      <c r="J15" s="107">
        <f>Model!S36</f>
        <v>2599.523999999999</v>
      </c>
      <c r="K15" s="106">
        <f>Model!U36</f>
        <v>611.8535132250004</v>
      </c>
      <c r="L15" s="106">
        <f>Model!V36</f>
        <v>634.8101069461372</v>
      </c>
      <c r="M15" s="106">
        <f>Model!W36</f>
        <v>719.2720580065079</v>
      </c>
      <c r="N15" s="108">
        <f>Model!X36</f>
        <v>428.21763303634907</v>
      </c>
      <c r="O15" s="106">
        <f>Model!Z36</f>
        <v>629.768540841867</v>
      </c>
      <c r="P15" s="106">
        <f>Model!AA36</f>
        <v>690.7020685898319</v>
      </c>
      <c r="Q15" s="106">
        <f>Model!AB36</f>
        <v>873.5518147176845</v>
      </c>
      <c r="R15" s="106">
        <f>Model!AC36</f>
        <v>578.2533377331395</v>
      </c>
      <c r="S15" s="8"/>
      <c r="T15" s="106">
        <f>Model!J36</f>
        <v>8939.28</v>
      </c>
      <c r="U15" s="106">
        <f>Model!O36</f>
        <v>11385.169000000002</v>
      </c>
      <c r="V15" s="107">
        <f>Model!T36</f>
        <v>11070.377</v>
      </c>
      <c r="W15" s="106">
        <f>Model!Y36</f>
        <v>2394.1533112139946</v>
      </c>
      <c r="X15" s="106">
        <f>Model!AD36</f>
        <v>2772.2757618825226</v>
      </c>
      <c r="Y15" s="106">
        <f>Model!AE36</f>
        <v>2678.991998225785</v>
      </c>
      <c r="Z15" s="106">
        <f>Model!AF36</f>
        <v>2814.954543961685</v>
      </c>
      <c r="AA15" s="106">
        <f>Model!AG36</f>
        <v>2748.7554919526174</v>
      </c>
      <c r="AB15" s="8"/>
      <c r="AC15" s="109">
        <f>IFERROR((V15/T15)^(1/(V$4-T$4))-1,"N/A")</f>
        <v>0.1128328447011917</v>
      </c>
      <c r="AD15" s="74"/>
      <c r="AE15" s="109">
        <f>IFERROR((AA15/V15)^(1/(AA$4-V$4))-1,"N/A")</f>
        <v>-0.24317627168653222</v>
      </c>
    </row>
    <row r="16" spans="1:31" x14ac:dyDescent="0.25">
      <c r="A16" s="9"/>
      <c r="B16" s="8"/>
      <c r="C16" s="110" t="s">
        <v>106</v>
      </c>
      <c r="D16" s="8"/>
      <c r="E16" s="8"/>
      <c r="F16" s="8"/>
      <c r="G16" s="111">
        <f t="shared" ref="G16:R16" si="6">G15/G$8</f>
        <v>0.7234341715740162</v>
      </c>
      <c r="H16" s="111">
        <f t="shared" si="6"/>
        <v>0.7458979049604106</v>
      </c>
      <c r="I16" s="111">
        <f t="shared" si="6"/>
        <v>0.776909580983182</v>
      </c>
      <c r="J16" s="112">
        <f t="shared" si="6"/>
        <v>0.9387531941509301</v>
      </c>
      <c r="K16" s="111">
        <f t="shared" si="6"/>
        <v>0.16196659475834113</v>
      </c>
      <c r="L16" s="111">
        <f t="shared" si="6"/>
        <v>0.1628196127726334</v>
      </c>
      <c r="M16" s="111">
        <f t="shared" si="6"/>
        <v>0.15951556171713052</v>
      </c>
      <c r="N16" s="113">
        <f t="shared" si="6"/>
        <v>0.14089267304807507</v>
      </c>
      <c r="O16" s="111">
        <f t="shared" si="6"/>
        <v>0.15809382097876326</v>
      </c>
      <c r="P16" s="111">
        <f t="shared" si="6"/>
        <v>0.165185533898328</v>
      </c>
      <c r="Q16" s="111">
        <f t="shared" si="6"/>
        <v>0.18216764812198746</v>
      </c>
      <c r="R16" s="111">
        <f t="shared" si="6"/>
        <v>0.17554591641075376</v>
      </c>
      <c r="S16" s="8"/>
      <c r="T16" s="111">
        <f t="shared" ref="T16:AA16" si="7">T15/T$8</f>
        <v>0.6581139320836505</v>
      </c>
      <c r="U16" s="111">
        <f t="shared" si="7"/>
        <v>0.7461785379168093</v>
      </c>
      <c r="V16" s="112">
        <f t="shared" si="7"/>
        <v>0.7875305086541107</v>
      </c>
      <c r="W16" s="111">
        <f t="shared" si="7"/>
        <v>0.15725218740051702</v>
      </c>
      <c r="X16" s="111">
        <f t="shared" si="7"/>
        <v>0.17055718920111113</v>
      </c>
      <c r="Y16" s="111">
        <f t="shared" si="7"/>
        <v>0.15640651997170843</v>
      </c>
      <c r="Z16" s="111">
        <f t="shared" si="7"/>
        <v>0.15828297553410967</v>
      </c>
      <c r="AA16" s="111">
        <f t="shared" si="7"/>
        <v>0.15094322662864842</v>
      </c>
      <c r="AB16" s="8"/>
      <c r="AC16" s="116"/>
      <c r="AD16" s="74"/>
      <c r="AE16" s="116"/>
    </row>
    <row r="17" spans="1:31" x14ac:dyDescent="0.25">
      <c r="A17" s="9"/>
      <c r="B17" s="8"/>
      <c r="C17" s="110" t="s">
        <v>104</v>
      </c>
      <c r="D17" s="8"/>
      <c r="E17" s="8"/>
      <c r="F17" s="8"/>
      <c r="G17" s="8"/>
      <c r="H17" s="111"/>
      <c r="I17" s="111"/>
      <c r="J17" s="112"/>
      <c r="K17" s="111">
        <f t="shared" ref="K17:R17" si="8">K15/G15-1</f>
        <v>-0.7588815441797723</v>
      </c>
      <c r="L17" s="111">
        <f t="shared" si="8"/>
        <v>-0.7628487187399439</v>
      </c>
      <c r="M17" s="111">
        <f t="shared" si="8"/>
        <v>-0.7791255026121788</v>
      </c>
      <c r="N17" s="113">
        <f t="shared" si="8"/>
        <v>-0.8352707522468155</v>
      </c>
      <c r="O17" s="111">
        <f t="shared" si="8"/>
        <v>0.029279929312555186</v>
      </c>
      <c r="P17" s="111">
        <f t="shared" si="8"/>
        <v>0.0880451666287616</v>
      </c>
      <c r="Q17" s="111">
        <f t="shared" si="8"/>
        <v>0.2144943001661559</v>
      </c>
      <c r="R17" s="111">
        <f t="shared" si="8"/>
        <v>0.350372551529317</v>
      </c>
      <c r="S17" s="8"/>
      <c r="T17" s="111"/>
      <c r="U17" s="111">
        <f t="shared" ref="U17:AA17" si="9">U15/T15-1</f>
        <v>0.2736114094199982</v>
      </c>
      <c r="V17" s="112">
        <f t="shared" si="9"/>
        <v>-0.027649304107826733</v>
      </c>
      <c r="W17" s="111">
        <f t="shared" si="9"/>
        <v>-0.7837333533253661</v>
      </c>
      <c r="X17" s="111">
        <f t="shared" si="9"/>
        <v>0.15793577165565686</v>
      </c>
      <c r="Y17" s="111">
        <f t="shared" si="9"/>
        <v>-0.03364880396796921</v>
      </c>
      <c r="Z17" s="111">
        <f t="shared" si="9"/>
        <v>0.05075138179805827</v>
      </c>
      <c r="AA17" s="111">
        <f t="shared" si="9"/>
        <v>-0.02351691687209312</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2481.5640000000008</v>
      </c>
      <c r="H19" s="106">
        <f>Model!Q45</f>
        <v>2603.715</v>
      </c>
      <c r="I19" s="106">
        <f>Model!R45</f>
        <v>3178.4740000000006</v>
      </c>
      <c r="J19" s="107">
        <f>Model!S45</f>
        <v>2622.053999999999</v>
      </c>
      <c r="K19" s="106">
        <f>Model!U45</f>
        <v>479.0813008551753</v>
      </c>
      <c r="L19" s="106">
        <f>Model!V45</f>
        <v>471.66390946098</v>
      </c>
      <c r="M19" s="106">
        <f>Model!W45</f>
        <v>534.4191390988353</v>
      </c>
      <c r="N19" s="108">
        <f>Model!X45</f>
        <v>318.1657013460074</v>
      </c>
      <c r="O19" s="106">
        <f>Model!Z45</f>
        <v>469.17756292719093</v>
      </c>
      <c r="P19" s="106">
        <f>Model!AA45</f>
        <v>514.5730410994248</v>
      </c>
      <c r="Q19" s="106">
        <f>Model!AB45</f>
        <v>650.7961019646749</v>
      </c>
      <c r="R19" s="106">
        <f>Model!AC45</f>
        <v>430.79873661118893</v>
      </c>
      <c r="S19" s="8"/>
      <c r="T19" s="106">
        <f>Model!J45</f>
        <v>7915.7</v>
      </c>
      <c r="U19" s="106">
        <f>Model!O45</f>
        <v>9981.275000000001</v>
      </c>
      <c r="V19" s="107">
        <f>Model!T45</f>
        <v>10885.807</v>
      </c>
      <c r="W19" s="106">
        <f>Model!Y45</f>
        <v>1803.3300507609981</v>
      </c>
      <c r="X19" s="106">
        <f>Model!AD45</f>
        <v>2065.3454426024796</v>
      </c>
      <c r="Y19" s="106">
        <f>Model!AE45</f>
        <v>2009.243998669339</v>
      </c>
      <c r="Z19" s="106">
        <f>Model!AF45</f>
        <v>2111.2159079712637</v>
      </c>
      <c r="AA19" s="106">
        <f>Model!AG45</f>
        <v>2061.566618964463</v>
      </c>
      <c r="AB19" s="8"/>
      <c r="AC19" s="109">
        <f>IFERROR((V19/T19)^(1/(V$4-T$4))-1,"N/A")</f>
        <v>0.172696561999097</v>
      </c>
      <c r="AD19" s="74"/>
      <c r="AE19" s="109">
        <f>IFERROR((AA19/V19)^(1/(AA$4-V$4))-1,"N/A")</f>
        <v>-0.28308552587658486</v>
      </c>
    </row>
    <row r="20" spans="1:31" x14ac:dyDescent="0.25">
      <c r="A20" s="9"/>
      <c r="B20" s="8"/>
      <c r="C20" s="110" t="s">
        <v>106</v>
      </c>
      <c r="D20" s="8"/>
      <c r="E20" s="8"/>
      <c r="F20" s="8"/>
      <c r="G20" s="111">
        <f t="shared" ref="G20:R20" si="10">G19/G$8</f>
        <v>0.7074691304526318</v>
      </c>
      <c r="H20" s="111">
        <f t="shared" si="10"/>
        <v>0.7255284969689708</v>
      </c>
      <c r="I20" s="111">
        <f t="shared" si="10"/>
        <v>0.7583008196920775</v>
      </c>
      <c r="J20" s="112">
        <f t="shared" si="10"/>
        <v>0.9468893411779322</v>
      </c>
      <c r="K20" s="111">
        <f t="shared" si="10"/>
        <v>0.12681984369578111</v>
      </c>
      <c r="L20" s="111">
        <f t="shared" si="10"/>
        <v>0.12097497229006662</v>
      </c>
      <c r="M20" s="111">
        <f t="shared" si="10"/>
        <v>0.11852006235582796</v>
      </c>
      <c r="N20" s="113">
        <f t="shared" si="10"/>
        <v>0.10468325607471977</v>
      </c>
      <c r="O20" s="111">
        <f t="shared" si="10"/>
        <v>0.11777989662917863</v>
      </c>
      <c r="P20" s="111">
        <f t="shared" si="10"/>
        <v>0.12306322275425435</v>
      </c>
      <c r="Q20" s="111">
        <f t="shared" si="10"/>
        <v>0.13571489785088067</v>
      </c>
      <c r="R20" s="111">
        <f t="shared" si="10"/>
        <v>0.13078170772601155</v>
      </c>
      <c r="S20" s="8"/>
      <c r="T20" s="111">
        <f t="shared" ref="T20:AA20" si="11">T19/T$8</f>
        <v>0.5827574986122542</v>
      </c>
      <c r="U20" s="111">
        <f t="shared" si="11"/>
        <v>0.6541679957535633</v>
      </c>
      <c r="V20" s="112">
        <f t="shared" si="11"/>
        <v>0.7744004674656046</v>
      </c>
      <c r="W20" s="111">
        <f t="shared" si="11"/>
        <v>0.11844587970160511</v>
      </c>
      <c r="X20" s="111">
        <f t="shared" si="11"/>
        <v>0.1270651059548278</v>
      </c>
      <c r="Y20" s="111">
        <f t="shared" si="11"/>
        <v>0.11730488997878133</v>
      </c>
      <c r="Z20" s="111">
        <f t="shared" si="11"/>
        <v>0.11871223165058224</v>
      </c>
      <c r="AA20" s="111">
        <f t="shared" si="11"/>
        <v>0.11320741997148631</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-0.8069438060613487</v>
      </c>
      <c r="L21" s="111">
        <f t="shared" si="12"/>
        <v>-0.8188496400485537</v>
      </c>
      <c r="M21" s="111">
        <f t="shared" si="12"/>
        <v>-0.8318629823308811</v>
      </c>
      <c r="N21" s="113">
        <f t="shared" si="12"/>
        <v>-0.8786578379598561</v>
      </c>
      <c r="O21" s="111">
        <f t="shared" si="12"/>
        <v>-0.020672353336074423</v>
      </c>
      <c r="P21" s="111">
        <f t="shared" si="12"/>
        <v>0.09097395577177325</v>
      </c>
      <c r="Q21" s="111">
        <f t="shared" si="12"/>
        <v>0.2177634638274375</v>
      </c>
      <c r="R21" s="111">
        <f t="shared" si="12"/>
        <v>0.35400747091432194</v>
      </c>
      <c r="S21" s="8"/>
      <c r="T21" s="111"/>
      <c r="U21" s="111">
        <f t="shared" ref="U21:AA21" si="13">U19/T19-1</f>
        <v>0.26094659979534374</v>
      </c>
      <c r="V21" s="112">
        <f t="shared" si="13"/>
        <v>0.0906228913640792</v>
      </c>
      <c r="W21" s="111">
        <f t="shared" si="13"/>
        <v>-0.8343411700426989</v>
      </c>
      <c r="X21" s="111">
        <f t="shared" si="13"/>
        <v>0.1452953061647877</v>
      </c>
      <c r="Y21" s="111">
        <f t="shared" si="13"/>
        <v>-0.027163225471110053</v>
      </c>
      <c r="Z21" s="111">
        <f t="shared" si="13"/>
        <v>0.05075138179805827</v>
      </c>
      <c r="AA21" s="111">
        <f t="shared" si="13"/>
        <v>-0.02351691687209312</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11.010417221482472</v>
      </c>
      <c r="H23" s="117">
        <f>Model!Q57</f>
        <v>11.549681556833262</v>
      </c>
      <c r="I23" s="117">
        <f>Model!R57</f>
        <v>14.410983310780338</v>
      </c>
      <c r="J23" s="118">
        <f>Model!S57</f>
        <v>205.45225806451603</v>
      </c>
      <c r="K23" s="117">
        <f>Model!U57</f>
        <v>1.9526663048162356</v>
      </c>
      <c r="L23" s="117">
        <f>Model!V57</f>
        <v>1.9416172794695226</v>
      </c>
      <c r="M23" s="117">
        <f>Model!W57</f>
        <v>2.3105401859691903</v>
      </c>
      <c r="N23" s="119">
        <f>Model!X57</f>
        <v>1.3142231859902265</v>
      </c>
      <c r="O23" s="117">
        <f>Model!Z57</f>
        <v>2.283850342965466</v>
      </c>
      <c r="P23" s="117">
        <f>Model!AA57</f>
        <v>2.287643310894405</v>
      </c>
      <c r="Q23" s="117">
        <f>Model!AB57</f>
        <v>3.529700716099963</v>
      </c>
      <c r="R23" s="117">
        <f>Model!AC57</f>
        <v>2.413217904159201</v>
      </c>
      <c r="S23" s="117"/>
      <c r="T23" s="117">
        <f>Model!J57</f>
        <v>33.60095076400679</v>
      </c>
      <c r="U23" s="117">
        <f>Model!O57</f>
        <v>44.42644613321413</v>
      </c>
      <c r="V23" s="118">
        <f>Model!T57</f>
        <v>63.22131582786288</v>
      </c>
      <c r="W23" s="117">
        <f>Model!Y57</f>
        <v>7.553356919260727</v>
      </c>
      <c r="X23" s="117">
        <f>Model!AD57</f>
        <v>10.424382524293941</v>
      </c>
      <c r="Y23" s="117">
        <f>Model!AE57</f>
        <v>11.346122501726237</v>
      </c>
      <c r="Z23" s="117">
        <f>Model!AF57</f>
        <v>12.237875954961728</v>
      </c>
      <c r="AA23" s="117">
        <f>Model!AG57</f>
        <v>12.228130360664792</v>
      </c>
      <c r="AB23" s="8"/>
      <c r="AC23" s="109">
        <f>IFERROR((V23/T23)^(1/(V$4-T$4))-1,"N/A")</f>
        <v>0.37169003046875515</v>
      </c>
      <c r="AD23" s="74"/>
      <c r="AE23" s="109">
        <f>IFERROR((AA23/V23)^(1/(AA$4-V$4))-1,"N/A")</f>
        <v>-0.2800550232322303</v>
      </c>
    </row>
    <row r="24" ht="15.75" customHeight="1" spans="1:31" x14ac:dyDescent="0.25">
      <c r="A24" s="9"/>
      <c r="B24" s="8"/>
      <c r="C24" s="110" t="s">
        <v>104</v>
      </c>
      <c r="D24" s="8"/>
      <c r="E24" s="8"/>
      <c r="F24" s="8"/>
      <c r="G24" s="8"/>
      <c r="H24" s="111"/>
      <c r="I24" s="111"/>
      <c r="J24" s="112"/>
      <c r="K24" s="111">
        <f t="shared" ref="K24:R24" si="14">K23/G23-1</f>
        <v>-0.8226528327186021</v>
      </c>
      <c r="L24" s="111">
        <f t="shared" si="14"/>
        <v>-0.8318899729039904</v>
      </c>
      <c r="M24" s="111">
        <f t="shared" si="14"/>
        <v>-0.8396681103474211</v>
      </c>
      <c r="N24" s="113">
        <f t="shared" si="14"/>
        <v>-0.9936032672584327</v>
      </c>
      <c r="O24" s="111">
        <f t="shared" si="14"/>
        <v>0.16960605984359312</v>
      </c>
      <c r="P24" s="111">
        <f t="shared" si="14"/>
        <v>0.17821536462604093</v>
      </c>
      <c r="Q24" s="111">
        <f t="shared" si="14"/>
        <v>0.5276517316314833</v>
      </c>
      <c r="R24" s="111">
        <f t="shared" si="14"/>
        <v>0.8362314178325168</v>
      </c>
      <c r="S24" s="8"/>
      <c r="T24" s="111"/>
      <c r="U24" s="111">
        <f t="shared" ref="U24:AA24" si="15">IF(ISERROR(U23/T23-1),"NA",(U23/T23-1))</f>
        <v>0.32217824564665487</v>
      </c>
      <c r="V24" s="112">
        <f t="shared" si="15"/>
        <v>0.42305588968993235</v>
      </c>
      <c r="W24" s="111">
        <f t="shared" si="15"/>
        <v>-0.8805251548413389</v>
      </c>
      <c r="X24" s="111">
        <f t="shared" si="15"/>
        <v>0.3800992903846798</v>
      </c>
      <c r="Y24" s="111">
        <f t="shared" si="15"/>
        <v>0.08842154202267505</v>
      </c>
      <c r="Z24" s="111">
        <f t="shared" si="15"/>
        <v>0.0785954367317836</v>
      </c>
      <c r="AA24" s="111">
        <f t="shared" si="15"/>
        <v>-0.0007963468769255355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2579.8470000000007</v>
      </c>
      <c r="H27" s="106">
        <f>Model!Q61</f>
        <v>2734.3830000000003</v>
      </c>
      <c r="I27" s="106">
        <f>Model!R61</f>
        <v>3318.915000000001</v>
      </c>
      <c r="J27" s="107">
        <f>Model!S61</f>
        <v>2551.9779999999987</v>
      </c>
      <c r="K27" s="106">
        <f>Model!U61</f>
        <v>552.2335132250004</v>
      </c>
      <c r="L27" s="106">
        <f>Model!V61</f>
        <v>580.0411759999997</v>
      </c>
      <c r="M27" s="106">
        <f>Model!W61</f>
        <v>667.9974912499998</v>
      </c>
      <c r="N27" s="108">
        <f>Model!X61</f>
        <v>358.87632922499984</v>
      </c>
      <c r="O27" s="106">
        <f>Model!Z61</f>
        <v>582.6471854772503</v>
      </c>
      <c r="P27" s="106">
        <f>Model!AA61</f>
        <v>644.1536188040005</v>
      </c>
      <c r="Q27" s="106">
        <f>Model!AB61</f>
        <v>826.9290540900002</v>
      </c>
      <c r="R27" s="106">
        <f>Model!AC61</f>
        <v>530.65399025</v>
      </c>
      <c r="S27" s="8"/>
      <c r="T27" s="106">
        <f>Model!J61</f>
        <v>9097.364000000001</v>
      </c>
      <c r="U27" s="106">
        <f>Model!O61</f>
        <v>11514.990000000002</v>
      </c>
      <c r="V27" s="107">
        <f>Model!T61</f>
        <v>11185.123000000001</v>
      </c>
      <c r="W27" s="106">
        <f>Model!Y61</f>
        <v>2159.1485096999995</v>
      </c>
      <c r="X27" s="106">
        <f>Model!AD61</f>
        <v>2584.3838486212508</v>
      </c>
      <c r="Y27" s="106">
        <f>Model!AE61</f>
        <v>2491.510857821428</v>
      </c>
      <c r="Z27" s="106">
        <f>Model!AF61</f>
        <v>2579.583375534431</v>
      </c>
      <c r="AA27" s="106">
        <f>Model!AG61</f>
        <v>2459.0656210763254</v>
      </c>
      <c r="AB27" s="8"/>
      <c r="AC27" s="109">
        <f>IFERROR((V27/T27)^(1/(V$4-T$4))-1,"N/A")</f>
        <v>0.10882394568983678</v>
      </c>
      <c r="AD27" s="74"/>
      <c r="AE27" s="109">
        <f>IFERROR((AA27/V27)^(1/(AA$4-V$4))-1,"N/A")</f>
        <v>-0.26137182334589126</v>
      </c>
    </row>
    <row r="28" ht="15.75" customHeight="1" spans="1:31" x14ac:dyDescent="0.25">
      <c r="A28" s="9"/>
      <c r="B28" s="8"/>
      <c r="C28" s="110" t="s">
        <v>106</v>
      </c>
      <c r="D28" s="8"/>
      <c r="E28" s="8"/>
      <c r="F28" s="8"/>
      <c r="G28" s="111">
        <f t="shared" ref="G28:R28" si="16">G27/G$8</f>
        <v>0.7354886328907216</v>
      </c>
      <c r="H28" s="111">
        <f t="shared" si="16"/>
        <v>0.7619393013933957</v>
      </c>
      <c r="I28" s="111">
        <f t="shared" si="16"/>
        <v>0.7918063715444367</v>
      </c>
      <c r="J28" s="112">
        <f t="shared" si="16"/>
        <v>0.9215831432611901</v>
      </c>
      <c r="K28" s="111">
        <f t="shared" si="16"/>
        <v>0.14618430672571317</v>
      </c>
      <c r="L28" s="111">
        <f t="shared" si="16"/>
        <v>0.14877217396999656</v>
      </c>
      <c r="M28" s="111">
        <f t="shared" si="16"/>
        <v>0.14814421588640886</v>
      </c>
      <c r="N28" s="113">
        <f t="shared" si="16"/>
        <v>0.11807791510047234</v>
      </c>
      <c r="O28" s="111">
        <f t="shared" si="16"/>
        <v>0.14626472086313685</v>
      </c>
      <c r="P28" s="111">
        <f t="shared" si="16"/>
        <v>0.1540531935164459</v>
      </c>
      <c r="Q28" s="111">
        <f t="shared" si="16"/>
        <v>0.17244508958635618</v>
      </c>
      <c r="R28" s="111">
        <f t="shared" si="16"/>
        <v>0.161095725587406</v>
      </c>
      <c r="S28" s="8"/>
      <c r="T28" s="111">
        <f t="shared" ref="T28:AA28" si="17">T27/T$8</f>
        <v>0.6697521493494161</v>
      </c>
      <c r="U28" s="111">
        <f t="shared" si="17"/>
        <v>0.7546869442453318</v>
      </c>
      <c r="V28" s="112">
        <f t="shared" si="17"/>
        <v>0.7956933721000462</v>
      </c>
      <c r="W28" s="111">
        <f t="shared" si="17"/>
        <v>0.14181665997852355</v>
      </c>
      <c r="X28" s="111">
        <f t="shared" si="17"/>
        <v>0.15899761888704528</v>
      </c>
      <c r="Y28" s="111">
        <f t="shared" si="17"/>
        <v>0.1454608834224419</v>
      </c>
      <c r="Z28" s="111">
        <f t="shared" si="17"/>
        <v>0.14504821514569718</v>
      </c>
      <c r="AA28" s="111">
        <f t="shared" si="17"/>
        <v>0.13503540071989792</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-0.7859433085663606</v>
      </c>
      <c r="L29" s="111">
        <f t="shared" si="18"/>
        <v>-0.7878712762623232</v>
      </c>
      <c r="M29" s="111">
        <f t="shared" si="18"/>
        <v>-0.7987301599317851</v>
      </c>
      <c r="N29" s="113">
        <f t="shared" si="18"/>
        <v>-0.859373266844385</v>
      </c>
      <c r="O29" s="111">
        <f t="shared" si="18"/>
        <v>0.05507393434823715</v>
      </c>
      <c r="P29" s="111">
        <f t="shared" si="18"/>
        <v>0.11053084756176146</v>
      </c>
      <c r="Q29" s="111">
        <f t="shared" si="18"/>
        <v>0.23792239480210853</v>
      </c>
      <c r="R29" s="111">
        <f t="shared" si="18"/>
        <v>0.47865419654719843</v>
      </c>
      <c r="S29" s="8"/>
      <c r="T29" s="111"/>
      <c r="U29" s="111">
        <f t="shared" ref="U29:AA29" si="19">U27/T27-1</f>
        <v>0.26575016675159957</v>
      </c>
      <c r="V29" s="112">
        <f t="shared" si="19"/>
        <v>-0.028646746545155533</v>
      </c>
      <c r="W29" s="111">
        <f t="shared" si="19"/>
        <v>-0.8069624706228086</v>
      </c>
      <c r="X29" s="111">
        <f t="shared" si="19"/>
        <v>0.19694585018625466</v>
      </c>
      <c r="Y29" s="111">
        <f t="shared" si="19"/>
        <v>-0.03593622164500432</v>
      </c>
      <c r="Z29" s="111">
        <f t="shared" si="19"/>
        <v>0.03534904029678332</v>
      </c>
      <c r="AA29" s="111">
        <f t="shared" si="19"/>
        <v>-0.04671985236109577</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v>
      </c>
      <c r="H34" s="106">
        <f>Model!Q120</f>
        <v>11260.4</v>
      </c>
      <c r="I34" s="106">
        <f>Model!R120</f>
        <v>11458.5</v>
      </c>
      <c r="J34" s="107">
        <f>Model!S120</f>
        <v>12153.4</v>
      </c>
      <c r="K34" s="106">
        <f>Model!U120</f>
        <v>47353.80495603409</v>
      </c>
      <c r="L34" s="106">
        <f>Model!V120</f>
        <v>5735.333174152962</v>
      </c>
      <c r="M34" s="106">
        <f>Model!W120</f>
        <v>2743.1906515573983</v>
      </c>
      <c r="N34" s="108">
        <f>Model!X120</f>
        <v>0</v>
      </c>
      <c r="O34" s="106">
        <f>Model!Z120</f>
        <v>4876.231731871641</v>
      </c>
      <c r="P34" s="106">
        <f>Model!AA120</f>
        <v>2869.530160759268</v>
      </c>
      <c r="Q34" s="106">
        <f>Model!AB120</f>
        <v>0</v>
      </c>
      <c r="R34" s="106">
        <f>Model!AC120</f>
        <v>0</v>
      </c>
      <c r="S34" s="8"/>
      <c r="T34" s="106">
        <f>Model!J120</f>
        <v>9703.1</v>
      </c>
      <c r="U34" s="106">
        <f>Model!O120</f>
        <v>8526.4</v>
      </c>
      <c r="V34" s="107">
        <f>Model!T120</f>
        <v>12153.4</v>
      </c>
      <c r="W34" s="106">
        <f>Model!Y120</f>
        <v>0</v>
      </c>
      <c r="X34" s="106">
        <f>Model!AD120</f>
        <v>0</v>
      </c>
      <c r="Y34" s="106">
        <f>Model!AE120</f>
        <v>1.3642420526593924e-12</v>
      </c>
      <c r="Z34" s="106">
        <f>Model!AF120</f>
        <v>-4.547473508864641e-13</v>
      </c>
      <c r="AA34" s="106">
        <f>Model!AG120</f>
        <v>-4.547473508864641e-13</v>
      </c>
      <c r="AB34" s="8"/>
      <c r="AC34" s="8"/>
      <c r="AD34" s="8"/>
      <c r="AE34" s="126"/>
    </row>
    <row r="35" ht="15.75" customHeight="1" spans="1:31" x14ac:dyDescent="0.25">
      <c r="A35" s="9"/>
      <c r="B35" s="8"/>
      <c r="C35" s="8" t="str">
        <f>Model!C121</f>
        <v>Accounts Receivable</v>
      </c>
      <c r="D35" s="8"/>
      <c r="E35" s="8"/>
      <c r="F35" s="8"/>
      <c r="G35" s="127">
        <f>Model!P121</f>
        <v>0</v>
      </c>
      <c r="H35" s="127">
        <f>Model!Q121</f>
        <v>0</v>
      </c>
      <c r="I35" s="127">
        <f>Model!R121</f>
        <v>0</v>
      </c>
      <c r="J35" s="128">
        <f>Model!S121</f>
        <v>0</v>
      </c>
      <c r="K35" s="127">
        <f>Model!U121</f>
        <v>9519.684325200002</v>
      </c>
      <c r="L35" s="127">
        <f>Model!V121</f>
        <v>9669.1610944</v>
      </c>
      <c r="M35" s="127">
        <f>Model!W121</f>
        <v>11002.21071</v>
      </c>
      <c r="N35" s="129">
        <f>Model!X121</f>
        <v>7294.363127999998</v>
      </c>
      <c r="O35" s="127">
        <f>Model!Z121</f>
        <v>10038.448771092002</v>
      </c>
      <c r="P35" s="127">
        <f>Model!AA121</f>
        <v>10369.801093824002</v>
      </c>
      <c r="Q35" s="127">
        <f>Model!AB121</f>
        <v>11700.576089580001</v>
      </c>
      <c r="R35" s="127">
        <f>Model!AC121</f>
        <v>7905.669575999997</v>
      </c>
      <c r="S35" s="8"/>
      <c r="T35" s="127">
        <f>Model!J121</f>
        <v>0</v>
      </c>
      <c r="U35" s="127">
        <f>Model!O121</f>
        <v>0</v>
      </c>
      <c r="V35" s="128">
        <f>Model!T121</f>
        <v>0</v>
      </c>
      <c r="W35" s="127">
        <f>Model!Y121</f>
        <v>7294.363127999998</v>
      </c>
      <c r="X35" s="127">
        <f>Model!AD121</f>
        <v>7905.669575999997</v>
      </c>
      <c r="Y35" s="127">
        <f>Model!AE121</f>
        <v>11304.737930035442</v>
      </c>
      <c r="Z35" s="127">
        <f>Model!AF121</f>
        <v>11559.805768124408</v>
      </c>
      <c r="AA35" s="127">
        <f>Model!AG121</f>
        <v>11836.841636921088</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0</v>
      </c>
      <c r="H37" s="127">
        <f>Model!Q123</f>
        <v>0</v>
      </c>
      <c r="I37" s="127">
        <f>Model!R123</f>
        <v>0</v>
      </c>
      <c r="J37" s="128">
        <f>Model!S123</f>
        <v>0</v>
      </c>
      <c r="K37" s="127">
        <f>Model!U123</f>
        <v>11669.427000000001</v>
      </c>
      <c r="L37" s="127">
        <f>Model!V123</f>
        <v>55125.362848325</v>
      </c>
      <c r="M37" s="127">
        <f>Model!W123</f>
        <v>57251.35960273307</v>
      </c>
      <c r="N37" s="129">
        <f>Model!X123</f>
        <v>58921.12243767631</v>
      </c>
      <c r="O37" s="127">
        <f>Model!Z123</f>
        <v>55259.95253235569</v>
      </c>
      <c r="P37" s="127">
        <f>Model!AA123</f>
        <v>59047.24876249105</v>
      </c>
      <c r="Q37" s="127">
        <f>Model!AB123</f>
        <v>61301.314026242486</v>
      </c>
      <c r="R37" s="127">
        <f>Model!AC123</f>
        <v>63159.15135261411</v>
      </c>
      <c r="S37" s="8"/>
      <c r="T37" s="127">
        <f>Model!J123</f>
        <v>0</v>
      </c>
      <c r="U37" s="127">
        <f>Model!O123</f>
        <v>0</v>
      </c>
      <c r="V37" s="128">
        <f>Model!T123</f>
        <v>0</v>
      </c>
      <c r="W37" s="127">
        <f>Model!Y123</f>
        <v>58921.12243767631</v>
      </c>
      <c r="X37" s="127">
        <f>Model!AD123</f>
        <v>63159.15135261411</v>
      </c>
      <c r="Y37" s="127">
        <f>Model!AE123</f>
        <v>66731.35283236187</v>
      </c>
      <c r="Z37" s="127">
        <f>Model!AF123</f>
        <v>74238.78704039834</v>
      </c>
      <c r="AA37" s="127">
        <f>Model!AG123</f>
        <v>84315.9707032736</v>
      </c>
      <c r="AB37" s="8"/>
      <c r="AC37" s="8"/>
      <c r="AD37" s="8"/>
      <c r="AE37" s="126"/>
    </row>
    <row r="38" ht="15.75" customHeight="1" spans="1:31" x14ac:dyDescent="0.25">
      <c r="A38" s="9"/>
      <c r="B38" s="8"/>
      <c r="C38" s="130" t="str">
        <f>Model!C124</f>
        <v>Total Current Assets</v>
      </c>
      <c r="D38" s="8"/>
      <c r="E38" s="8"/>
      <c r="F38" s="8"/>
      <c r="G38" s="131">
        <f t="shared" ref="G38:R38" si="22">SUM(G34:G37)</f>
        <v>11176.3</v>
      </c>
      <c r="H38" s="131">
        <f t="shared" si="22"/>
        <v>11260.4</v>
      </c>
      <c r="I38" s="131">
        <f t="shared" si="22"/>
        <v>11458.5</v>
      </c>
      <c r="J38" s="132">
        <f t="shared" si="22"/>
        <v>12153.4</v>
      </c>
      <c r="K38" s="131">
        <f t="shared" si="22"/>
        <v>68542.9162812341</v>
      </c>
      <c r="L38" s="131">
        <f t="shared" si="22"/>
        <v>70529.85711687796</v>
      </c>
      <c r="M38" s="131">
        <f t="shared" si="22"/>
        <v>70996.76096429047</v>
      </c>
      <c r="N38" s="133">
        <f t="shared" si="22"/>
        <v>66215.48556567631</v>
      </c>
      <c r="O38" s="131">
        <f t="shared" si="22"/>
        <v>70174.63303531933</v>
      </c>
      <c r="P38" s="131">
        <f t="shared" si="22"/>
        <v>72286.58001707432</v>
      </c>
      <c r="Q38" s="131">
        <f t="shared" si="22"/>
        <v>73001.89011582249</v>
      </c>
      <c r="R38" s="131">
        <f t="shared" si="22"/>
        <v>71064.8209286141</v>
      </c>
      <c r="S38" s="8"/>
      <c r="T38" s="131">
        <f t="shared" ref="T38:AA38" si="23">SUM(T34:T37)</f>
        <v>9703.1</v>
      </c>
      <c r="U38" s="131">
        <f t="shared" si="23"/>
        <v>8526.4</v>
      </c>
      <c r="V38" s="132">
        <f t="shared" si="23"/>
        <v>12153.4</v>
      </c>
      <c r="W38" s="131">
        <f t="shared" si="23"/>
        <v>66215.48556567631</v>
      </c>
      <c r="X38" s="131">
        <f t="shared" si="23"/>
        <v>71064.8209286141</v>
      </c>
      <c r="Y38" s="131">
        <f t="shared" si="23"/>
        <v>78036.0907623973</v>
      </c>
      <c r="Z38" s="131">
        <f t="shared" si="23"/>
        <v>85798.59280852275</v>
      </c>
      <c r="AA38" s="131">
        <f t="shared" si="23"/>
        <v>96152.8123401947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0</v>
      </c>
      <c r="H40" s="106">
        <f>Model!Q126</f>
        <v>0</v>
      </c>
      <c r="I40" s="106">
        <f>Model!R126</f>
        <v>0</v>
      </c>
      <c r="J40" s="107">
        <f>Model!S126</f>
        <v>0</v>
      </c>
      <c r="K40" s="106">
        <f>Model!U126</f>
        <v>-56.66478765000001</v>
      </c>
      <c r="L40" s="106">
        <f>Model!V126</f>
        <v>-117.23004779613751</v>
      </c>
      <c r="M40" s="106">
        <f>Model!W126</f>
        <v>-189.17479330264555</v>
      </c>
      <c r="N40" s="108">
        <f>Model!X126</f>
        <v>-241.85861760149476</v>
      </c>
      <c r="O40" s="106">
        <f>Model!Z126</f>
        <v>-310.3786637460489</v>
      </c>
      <c r="P40" s="106">
        <f>Model!AA126</f>
        <v>-384.5056507707162</v>
      </c>
      <c r="Q40" s="106">
        <f>Model!AB126</f>
        <v>-470.56600447904003</v>
      </c>
      <c r="R40" s="106">
        <f>Model!AC126</f>
        <v>-537.2697399936447</v>
      </c>
      <c r="S40" s="8"/>
      <c r="T40" s="106">
        <f>Model!J126</f>
        <v>0</v>
      </c>
      <c r="U40" s="106">
        <f>Model!O126</f>
        <v>0</v>
      </c>
      <c r="V40" s="107">
        <f>Model!T126</f>
        <v>0</v>
      </c>
      <c r="W40" s="106">
        <f>Model!Y126</f>
        <v>-241.85861760149476</v>
      </c>
      <c r="X40" s="106">
        <f>Model!AD126</f>
        <v>-537.2697399936447</v>
      </c>
      <c r="Y40" s="106">
        <f>Model!AE126</f>
        <v>-873.1742538189706</v>
      </c>
      <c r="Z40" s="106">
        <f>Model!AF126</f>
        <v>-1268.2956176255377</v>
      </c>
      <c r="AA40" s="106">
        <f>Model!AG126</f>
        <v>-1725.356366110189</v>
      </c>
      <c r="AB40" s="8"/>
      <c r="AC40" s="8"/>
      <c r="AD40" s="8"/>
      <c r="AE40" s="8"/>
    </row>
    <row r="41" ht="15.75" customHeight="1" hidden="1" spans="1:31" x14ac:dyDescent="0.25">
      <c r="A41" s="9"/>
      <c r="B41" s="8"/>
      <c r="C41" s="8" t="str">
        <f>Model!C127</f>
        <v>Intangible Assets, Net</v>
      </c>
      <c r="D41" s="8"/>
      <c r="E41" s="8"/>
      <c r="F41" s="8"/>
      <c r="G41" s="127">
        <f>Model!P127</f>
        <v>213.3</v>
      </c>
      <c r="H41" s="127">
        <f>Model!Q127</f>
        <v>217.9</v>
      </c>
      <c r="I41" s="127">
        <f>Model!R127</f>
        <v>212.3</v>
      </c>
      <c r="J41" s="128">
        <f>Model!S127</f>
        <v>226.4</v>
      </c>
      <c r="K41" s="127">
        <f>Model!U127</f>
        <v>186.78</v>
      </c>
      <c r="L41" s="127">
        <f>Model!V127</f>
        <v>154.0935</v>
      </c>
      <c r="M41" s="127">
        <f>Model!W127</f>
        <v>127.1271375</v>
      </c>
      <c r="N41" s="129">
        <f>Model!X127</f>
        <v>104.8798884375</v>
      </c>
      <c r="O41" s="127">
        <f>Model!Z127</f>
        <v>86.5259079609375</v>
      </c>
      <c r="P41" s="127">
        <f>Model!AA127</f>
        <v>71.38387406777343</v>
      </c>
      <c r="Q41" s="127">
        <f>Model!AB127</f>
        <v>58.891696105913084</v>
      </c>
      <c r="R41" s="127">
        <f>Model!AC127</f>
        <v>48.585649287378295</v>
      </c>
      <c r="S41" s="8"/>
      <c r="T41" s="127">
        <f>Model!J127</f>
        <v>139.5</v>
      </c>
      <c r="U41" s="127">
        <f>Model!O127</f>
        <v>196.9</v>
      </c>
      <c r="V41" s="128">
        <f>Model!T127</f>
        <v>226.4</v>
      </c>
      <c r="W41" s="127">
        <f>Model!Y127</f>
        <v>104.8798884375</v>
      </c>
      <c r="X41" s="127">
        <f>Model!AD127</f>
        <v>48.585649287378295</v>
      </c>
      <c r="Y41" s="127">
        <f>Model!AE127</f>
        <v>40.083160662087096</v>
      </c>
      <c r="Z41" s="127">
        <f>Model!AF127</f>
        <v>33.068607546221855</v>
      </c>
      <c r="AA41" s="127">
        <f>Model!AG127</f>
        <v>27.281601225633032</v>
      </c>
      <c r="AB41" s="8"/>
      <c r="AC41" s="8"/>
      <c r="AD41" s="8"/>
      <c r="AE41" s="8"/>
    </row>
    <row r="42" ht="15.75" customHeight="1" spans="1:31" x14ac:dyDescent="0.25">
      <c r="A42" s="9"/>
      <c r="B42" s="8"/>
      <c r="C42" s="8" t="str">
        <f>Model!C128</f>
        <v>Goodwill</v>
      </c>
      <c r="D42" s="8"/>
      <c r="E42" s="8"/>
      <c r="F42" s="8"/>
      <c r="G42" s="127">
        <f>Model!P128</f>
        <v>1824</v>
      </c>
      <c r="H42" s="127">
        <f>Model!Q128</f>
        <v>1822.8</v>
      </c>
      <c r="I42" s="127">
        <f>Model!R128</f>
        <v>1833</v>
      </c>
      <c r="J42" s="128">
        <f>Model!S128</f>
        <v>1847.9</v>
      </c>
      <c r="K42" s="127">
        <f>Model!U128</f>
        <v>1847.9</v>
      </c>
      <c r="L42" s="127">
        <f>Model!V128</f>
        <v>1847.9</v>
      </c>
      <c r="M42" s="127">
        <f>Model!W128</f>
        <v>1847.9</v>
      </c>
      <c r="N42" s="129">
        <f>Model!X128</f>
        <v>1847.9</v>
      </c>
      <c r="O42" s="127">
        <f>Model!Z128</f>
        <v>1847.9</v>
      </c>
      <c r="P42" s="127">
        <f>Model!AA128</f>
        <v>1847.9</v>
      </c>
      <c r="Q42" s="127">
        <f>Model!AB128</f>
        <v>1847.9</v>
      </c>
      <c r="R42" s="127">
        <f>Model!AC128</f>
        <v>1847.9</v>
      </c>
      <c r="S42" s="8"/>
      <c r="T42" s="127">
        <f>Model!J128</f>
        <v>1745.1</v>
      </c>
      <c r="U42" s="127">
        <f>Model!O128</f>
        <v>1736.1</v>
      </c>
      <c r="V42" s="128">
        <f>Model!T128</f>
        <v>1847.9</v>
      </c>
      <c r="W42" s="127">
        <f>Model!Y128</f>
        <v>1847.9</v>
      </c>
      <c r="X42" s="127">
        <f>Model!AD128</f>
        <v>1847.9</v>
      </c>
      <c r="Y42" s="127">
        <f>Model!AE128</f>
        <v>1847.9</v>
      </c>
      <c r="Z42" s="127">
        <f>Model!AF128</f>
        <v>1847.9</v>
      </c>
      <c r="AA42" s="127">
        <f>Model!AG128</f>
        <v>1847.9</v>
      </c>
      <c r="AB42" s="8"/>
      <c r="AC42" s="8"/>
      <c r="AD42" s="8"/>
      <c r="AE42" s="8"/>
    </row>
    <row r="43" ht="15.75" customHeight="1" spans="1:31" x14ac:dyDescent="0.25">
      <c r="A43" s="9"/>
      <c r="B43" s="8"/>
      <c r="C43" s="8" t="str">
        <f>Model!C129</f>
        <v>Other Non-Current Assets</v>
      </c>
      <c r="D43" s="8"/>
      <c r="E43" s="8"/>
      <c r="F43" s="8"/>
      <c r="G43" s="127">
        <f>Model!P129</f>
        <v>66798.3</v>
      </c>
      <c r="H43" s="127">
        <f>Model!Q129</f>
        <v>63808</v>
      </c>
      <c r="I43" s="127">
        <f>Model!R129</f>
        <v>65816.2</v>
      </c>
      <c r="J43" s="128">
        <f>Model!S129</f>
        <v>60900.4</v>
      </c>
      <c r="K43" s="127">
        <f>Model!U129</f>
        <v>62118.408</v>
      </c>
      <c r="L43" s="127">
        <f>Model!V129</f>
        <v>63360.77616</v>
      </c>
      <c r="M43" s="127">
        <f>Model!W129</f>
        <v>64627.9916832</v>
      </c>
      <c r="N43" s="129">
        <f>Model!X129</f>
        <v>65920.551516864</v>
      </c>
      <c r="O43" s="127">
        <f>Model!Z129</f>
        <v>67238.96254720128</v>
      </c>
      <c r="P43" s="127">
        <f>Model!AA129</f>
        <v>68583.74179814532</v>
      </c>
      <c r="Q43" s="127">
        <f>Model!AB129</f>
        <v>69955.41663410823</v>
      </c>
      <c r="R43" s="127">
        <f>Model!AC129</f>
        <v>71354.5249667904</v>
      </c>
      <c r="S43" s="8"/>
      <c r="T43" s="127">
        <f>Model!J129</f>
        <v>47746.3</v>
      </c>
      <c r="U43" s="127">
        <f>Model!O129</f>
        <v>54732.8</v>
      </c>
      <c r="V43" s="128">
        <f>Model!T129</f>
        <v>60900.4</v>
      </c>
      <c r="W43" s="127">
        <f>Model!Y129</f>
        <v>65920.551516864</v>
      </c>
      <c r="X43" s="127">
        <f>Model!AD129</f>
        <v>71354.5249667904</v>
      </c>
      <c r="Y43" s="127">
        <f>Model!AE129</f>
        <v>76706.11433929967</v>
      </c>
      <c r="Z43" s="127">
        <f>Model!AF129</f>
        <v>84376.72577322964</v>
      </c>
      <c r="AA43" s="127">
        <f>Model!AG129</f>
        <v>91548.74746395416</v>
      </c>
      <c r="AB43" s="8"/>
      <c r="AC43" s="8"/>
      <c r="AD43" s="8"/>
      <c r="AE43" s="8"/>
    </row>
    <row r="44" ht="15.75" customHeight="1" spans="1:31" x14ac:dyDescent="0.25">
      <c r="A44" s="9"/>
      <c r="B44" s="8"/>
      <c r="C44" s="130" t="str">
        <f>Model!C130</f>
        <v>Total Non-Current Assets</v>
      </c>
      <c r="D44" s="8"/>
      <c r="E44" s="8"/>
      <c r="F44" s="8"/>
      <c r="G44" s="131">
        <f t="shared" ref="G44:R44" si="24">SUM(G40:G43)</f>
        <v>68835.6</v>
      </c>
      <c r="H44" s="131">
        <f t="shared" si="24"/>
        <v>65848.7</v>
      </c>
      <c r="I44" s="131">
        <f t="shared" si="24"/>
        <v>67861.5</v>
      </c>
      <c r="J44" s="132">
        <f t="shared" si="24"/>
        <v>62974.700000000004</v>
      </c>
      <c r="K44" s="131">
        <f t="shared" si="24"/>
        <v>64096.423212350004</v>
      </c>
      <c r="L44" s="131">
        <f t="shared" si="24"/>
        <v>65245.539612203866</v>
      </c>
      <c r="M44" s="131">
        <f t="shared" si="24"/>
        <v>66413.84402739735</v>
      </c>
      <c r="N44" s="133">
        <f t="shared" si="24"/>
        <v>67631.4727877</v>
      </c>
      <c r="O44" s="131">
        <f t="shared" si="24"/>
        <v>68863.00979141617</v>
      </c>
      <c r="P44" s="131">
        <f t="shared" si="24"/>
        <v>70118.52002144238</v>
      </c>
      <c r="Q44" s="131">
        <f t="shared" si="24"/>
        <v>71391.6423257351</v>
      </c>
      <c r="R44" s="131">
        <f t="shared" si="24"/>
        <v>72713.74087608414</v>
      </c>
      <c r="S44" s="8"/>
      <c r="T44" s="131">
        <f t="shared" ref="T44:AA44" si="25">SUM(T40:T43)</f>
        <v>49630.9</v>
      </c>
      <c r="U44" s="131">
        <f t="shared" si="25"/>
        <v>56665.8</v>
      </c>
      <c r="V44" s="132">
        <f t="shared" si="25"/>
        <v>62974.700000000004</v>
      </c>
      <c r="W44" s="131">
        <f t="shared" si="25"/>
        <v>67631.4727877</v>
      </c>
      <c r="X44" s="131">
        <f t="shared" si="25"/>
        <v>72713.74087608414</v>
      </c>
      <c r="Y44" s="131">
        <f t="shared" si="25"/>
        <v>77720.92324614279</v>
      </c>
      <c r="Z44" s="131">
        <f t="shared" si="25"/>
        <v>84989.39876315033</v>
      </c>
      <c r="AA44" s="131">
        <f t="shared" si="25"/>
        <v>91698.5726990696</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80011.90000000001</v>
      </c>
      <c r="H46" s="137">
        <f t="shared" si="26"/>
        <v>77109.09999999999</v>
      </c>
      <c r="I46" s="137">
        <f t="shared" si="26"/>
        <v>79320</v>
      </c>
      <c r="J46" s="138">
        <f t="shared" si="26"/>
        <v>75128.1</v>
      </c>
      <c r="K46" s="137">
        <f t="shared" si="26"/>
        <v>132639.3394935841</v>
      </c>
      <c r="L46" s="137">
        <f t="shared" si="26"/>
        <v>135775.3967290818</v>
      </c>
      <c r="M46" s="137">
        <f t="shared" si="26"/>
        <v>137410.6049916878</v>
      </c>
      <c r="N46" s="139">
        <f t="shared" si="26"/>
        <v>133846.9583533763</v>
      </c>
      <c r="O46" s="137">
        <f t="shared" si="26"/>
        <v>139037.6428267355</v>
      </c>
      <c r="P46" s="137">
        <f t="shared" si="26"/>
        <v>142405.10003851668</v>
      </c>
      <c r="Q46" s="137">
        <f t="shared" si="26"/>
        <v>144393.5324415576</v>
      </c>
      <c r="R46" s="137">
        <f t="shared" si="26"/>
        <v>143778.56180469826</v>
      </c>
      <c r="S46" s="140"/>
      <c r="T46" s="137">
        <f t="shared" ref="T46:AA46" si="27">SUM(T38,T44)</f>
        <v>59334</v>
      </c>
      <c r="U46" s="137">
        <f t="shared" si="27"/>
        <v>65192.200000000004</v>
      </c>
      <c r="V46" s="138">
        <f t="shared" si="27"/>
        <v>75128.1</v>
      </c>
      <c r="W46" s="137">
        <f t="shared" si="27"/>
        <v>133846.9583533763</v>
      </c>
      <c r="X46" s="137">
        <f t="shared" si="27"/>
        <v>143778.56180469826</v>
      </c>
      <c r="Y46" s="137">
        <f t="shared" si="27"/>
        <v>155757.01400854008</v>
      </c>
      <c r="Z46" s="137">
        <f t="shared" si="27"/>
        <v>170787.99157167308</v>
      </c>
      <c r="AA46" s="137">
        <f t="shared" si="27"/>
        <v>187851.38503926428</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528.4</v>
      </c>
      <c r="U48" s="143">
        <f>Model!O134</f>
        <v>989.7</v>
      </c>
      <c r="V48" s="128">
        <f>Model!T134</f>
        <v>443.2</v>
      </c>
      <c r="W48" s="143">
        <f>Model!Y134</f>
        <v>2473.3908898503805</v>
      </c>
      <c r="X48" s="143">
        <f>Model!AD134</f>
        <v>2599.0835839480364</v>
      </c>
      <c r="Y48" s="143">
        <f>Model!AE134</f>
        <v>2588.0141124845686</v>
      </c>
      <c r="Z48" s="143">
        <f>Model!AF134</f>
        <v>2803.626252153721</v>
      </c>
      <c r="AA48" s="143">
        <f>Model!AG134</f>
        <v>3074.1838482901153</v>
      </c>
      <c r="AB48" s="8"/>
      <c r="AC48" s="8"/>
      <c r="AD48" s="8"/>
      <c r="AE48" s="144"/>
    </row>
    <row r="49" ht="15.75" customHeight="1" spans="1:31" x14ac:dyDescent="0.25">
      <c r="A49" s="9"/>
      <c r="B49" s="8"/>
      <c r="C49" s="8" t="str">
        <f>Model!C135</f>
        <v>Accounts Payable</v>
      </c>
      <c r="D49" s="8"/>
      <c r="E49" s="8"/>
      <c r="F49" s="8"/>
      <c r="G49" s="127">
        <f>Model!P135</f>
        <v>0</v>
      </c>
      <c r="H49" s="127">
        <f>Model!Q135</f>
        <v>0</v>
      </c>
      <c r="I49" s="127">
        <f>Model!R135</f>
        <v>0</v>
      </c>
      <c r="J49" s="128">
        <f>Model!S135</f>
        <v>0</v>
      </c>
      <c r="K49" s="127">
        <f>Model!U135</f>
        <v>10577.427028000002</v>
      </c>
      <c r="L49" s="127">
        <f>Model!V135</f>
        <v>10721.85202</v>
      </c>
      <c r="M49" s="127">
        <f>Model!W135</f>
        <v>11272.756875</v>
      </c>
      <c r="N49" s="129">
        <f>Model!X135</f>
        <v>8054.192620499997</v>
      </c>
      <c r="O49" s="127">
        <f>Model!Z135</f>
        <v>11153.83196788</v>
      </c>
      <c r="P49" s="127">
        <f>Model!AA135</f>
        <v>11498.771374200001</v>
      </c>
      <c r="Q49" s="127">
        <f>Model!AB135</f>
        <v>11988.295173750003</v>
      </c>
      <c r="R49" s="127">
        <f>Model!AC135</f>
        <v>8729.176823499996</v>
      </c>
      <c r="S49" s="8"/>
      <c r="T49" s="127">
        <f>Model!J135</f>
        <v>0</v>
      </c>
      <c r="U49" s="127">
        <f>Model!O135</f>
        <v>0</v>
      </c>
      <c r="V49" s="128">
        <f>Model!T135</f>
        <v>0</v>
      </c>
      <c r="W49" s="127">
        <f>Model!Y135</f>
        <v>8054.192620499997</v>
      </c>
      <c r="X49" s="127">
        <f>Model!AD135</f>
        <v>8729.176823499996</v>
      </c>
      <c r="Y49" s="127">
        <f>Model!AE135</f>
        <v>12503.725286251321</v>
      </c>
      <c r="Z49" s="127">
        <f>Model!AF135</f>
        <v>13160.39425909548</v>
      </c>
      <c r="AA49" s="127">
        <f>Model!AG135</f>
        <v>13566.841568471093</v>
      </c>
      <c r="AB49" s="8"/>
      <c r="AC49" s="8"/>
      <c r="AD49" s="8"/>
      <c r="AE49" s="8"/>
    </row>
    <row r="50" ht="15.75" customHeight="1" spans="1:31" x14ac:dyDescent="0.25">
      <c r="A50" s="9"/>
      <c r="B50" s="8"/>
      <c r="C50" s="8" t="str">
        <f>Model!C136</f>
        <v>Securities Loaned</v>
      </c>
      <c r="D50" s="8"/>
      <c r="E50" s="8"/>
      <c r="F50" s="8"/>
      <c r="G50" s="127">
        <f>Model!P136</f>
        <v>0</v>
      </c>
      <c r="H50" s="127">
        <f>Model!Q136</f>
        <v>0</v>
      </c>
      <c r="I50" s="127">
        <f>Model!R136</f>
        <v>0</v>
      </c>
      <c r="J50" s="128">
        <f>Model!S136</f>
        <v>0</v>
      </c>
      <c r="K50" s="127">
        <f>Model!U136</f>
        <v>3588.7698845000004</v>
      </c>
      <c r="L50" s="127">
        <f>Model!V136</f>
        <v>3586.9468576000004</v>
      </c>
      <c r="M50" s="127">
        <f>Model!W136</f>
        <v>3968.01042</v>
      </c>
      <c r="N50" s="129">
        <f>Model!X136</f>
        <v>2674.5998135999994</v>
      </c>
      <c r="O50" s="127">
        <f>Model!Z136</f>
        <v>3784.335846245</v>
      </c>
      <c r="P50" s="127">
        <f>Model!AA136</f>
        <v>3846.8616960960007</v>
      </c>
      <c r="Q50" s="127">
        <f>Model!AB136</f>
        <v>4219.879901160001</v>
      </c>
      <c r="R50" s="127">
        <f>Model!AC136</f>
        <v>2898.745511199999</v>
      </c>
      <c r="S50" s="8"/>
      <c r="T50" s="127">
        <f>Model!J136</f>
        <v>0</v>
      </c>
      <c r="U50" s="127">
        <f>Model!O136</f>
        <v>0</v>
      </c>
      <c r="V50" s="128">
        <f>Model!T136</f>
        <v>0</v>
      </c>
      <c r="W50" s="127">
        <f>Model!Y136</f>
        <v>2674.5998135999994</v>
      </c>
      <c r="X50" s="127">
        <f>Model!AD136</f>
        <v>2898.745511199999</v>
      </c>
      <c r="Y50" s="127">
        <f>Model!AE136</f>
        <v>4367.739654786421</v>
      </c>
      <c r="Z50" s="127">
        <f>Model!AF136</f>
        <v>4623.922307249763</v>
      </c>
      <c r="AA50" s="127">
        <f>Model!AG136</f>
        <v>4734.736654768435</v>
      </c>
      <c r="AB50" s="8"/>
      <c r="AC50" s="8"/>
      <c r="AD50" s="8"/>
      <c r="AE50" s="8"/>
    </row>
    <row r="51" ht="15.75" customHeight="1" spans="1:31" x14ac:dyDescent="0.25">
      <c r="A51" s="9"/>
      <c r="B51" s="8"/>
      <c r="C51" s="8" t="str">
        <f>Model!C137</f>
        <v>Other Current Liabilities</v>
      </c>
      <c r="D51" s="8"/>
      <c r="E51" s="8"/>
      <c r="F51" s="8"/>
      <c r="G51" s="127">
        <f>Model!P137</f>
        <v>0</v>
      </c>
      <c r="H51" s="127">
        <f>Model!Q137</f>
        <v>0</v>
      </c>
      <c r="I51" s="127">
        <f>Model!R137</f>
        <v>0</v>
      </c>
      <c r="J51" s="128">
        <f>Model!S137</f>
        <v>0</v>
      </c>
      <c r="K51" s="127">
        <f>Model!U137</f>
        <v>41554.177610000006</v>
      </c>
      <c r="L51" s="127">
        <f>Model!V137</f>
        <v>42887.40808</v>
      </c>
      <c r="M51" s="127">
        <f>Model!W137</f>
        <v>42836.476125</v>
      </c>
      <c r="N51" s="129">
        <f>Model!X137</f>
        <v>27353.861729999993</v>
      </c>
      <c r="O51" s="127">
        <f>Model!Z137</f>
        <v>43818.6255881</v>
      </c>
      <c r="P51" s="127">
        <f>Model!AA137</f>
        <v>45995.085496800006</v>
      </c>
      <c r="Q51" s="127">
        <f>Model!AB137</f>
        <v>45555.52166025001</v>
      </c>
      <c r="R51" s="127">
        <f>Model!AC137</f>
        <v>29646.26090999999</v>
      </c>
      <c r="S51" s="8"/>
      <c r="T51" s="127">
        <f>Model!J137</f>
        <v>0</v>
      </c>
      <c r="U51" s="127">
        <f>Model!O137</f>
        <v>0</v>
      </c>
      <c r="V51" s="128">
        <f>Model!T137</f>
        <v>0</v>
      </c>
      <c r="W51" s="127">
        <f>Model!Y137</f>
        <v>27353.861729999993</v>
      </c>
      <c r="X51" s="127">
        <f>Model!AD137</f>
        <v>29646.26090999999</v>
      </c>
      <c r="Y51" s="127">
        <f>Model!AE137</f>
        <v>43334.828731802525</v>
      </c>
      <c r="Z51" s="127">
        <f>Model!AF137</f>
        <v>44816.47774719001</v>
      </c>
      <c r="AA51" s="127">
        <f>Model!AG137</f>
        <v>46618.94552387382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0</v>
      </c>
      <c r="H52" s="131">
        <f t="shared" si="28"/>
        <v>0</v>
      </c>
      <c r="I52" s="131">
        <f t="shared" si="28"/>
        <v>0</v>
      </c>
      <c r="J52" s="132">
        <f t="shared" si="28"/>
        <v>0</v>
      </c>
      <c r="K52" s="131">
        <f t="shared" si="28"/>
        <v>55720.37452250001</v>
      </c>
      <c r="L52" s="131">
        <f t="shared" si="28"/>
        <v>57196.2069576</v>
      </c>
      <c r="M52" s="131">
        <f t="shared" si="28"/>
        <v>58077.24342</v>
      </c>
      <c r="N52" s="133">
        <f t="shared" si="28"/>
        <v>38082.65416409999</v>
      </c>
      <c r="O52" s="131">
        <f t="shared" si="28"/>
        <v>58756.793402225005</v>
      </c>
      <c r="P52" s="131">
        <f t="shared" si="28"/>
        <v>61340.71856709601</v>
      </c>
      <c r="Q52" s="131">
        <f t="shared" si="28"/>
        <v>61763.69673516001</v>
      </c>
      <c r="R52" s="131">
        <f t="shared" si="28"/>
        <v>41274.18324469998</v>
      </c>
      <c r="S52" s="8"/>
      <c r="T52" s="131">
        <f t="shared" ref="T52:AA52" si="29">SUM(T48:T51)</f>
        <v>528.4</v>
      </c>
      <c r="U52" s="131">
        <f t="shared" si="29"/>
        <v>989.7</v>
      </c>
      <c r="V52" s="132">
        <f t="shared" si="29"/>
        <v>443.2</v>
      </c>
      <c r="W52" s="131">
        <f t="shared" si="29"/>
        <v>40556.04505395037</v>
      </c>
      <c r="X52" s="131">
        <f t="shared" si="29"/>
        <v>43873.26682864802</v>
      </c>
      <c r="Y52" s="131">
        <f t="shared" si="29"/>
        <v>62794.30778532484</v>
      </c>
      <c r="Z52" s="131">
        <f t="shared" si="29"/>
        <v>65404.42056568897</v>
      </c>
      <c r="AA52" s="131">
        <f t="shared" si="29"/>
        <v>67994.70759540347</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1172.8</v>
      </c>
      <c r="H54" s="106">
        <f>Model!Q140</f>
        <v>1315.1</v>
      </c>
      <c r="I54" s="106">
        <f>Model!R140</f>
        <v>1231.3</v>
      </c>
      <c r="J54" s="107">
        <f>Model!S140</f>
        <v>443.2</v>
      </c>
      <c r="K54" s="106">
        <f>Model!U140</f>
        <v>0</v>
      </c>
      <c r="L54" s="106">
        <f>Model!V140</f>
        <v>0</v>
      </c>
      <c r="M54" s="106">
        <f>Model!W140</f>
        <v>0</v>
      </c>
      <c r="N54" s="108">
        <f>Model!X140</f>
        <v>15941.427065992077</v>
      </c>
      <c r="O54" s="106">
        <f>Model!Z140</f>
        <v>0</v>
      </c>
      <c r="P54" s="106">
        <f>Model!AA140</f>
        <v>0</v>
      </c>
      <c r="Q54" s="106">
        <f>Model!AB140</f>
        <v>627.5824290365777</v>
      </c>
      <c r="R54" s="106">
        <f>Model!AC140</f>
        <v>19871.64568017916</v>
      </c>
      <c r="S54" s="8"/>
      <c r="T54" s="106">
        <f>Model!J140</f>
        <v>528.4</v>
      </c>
      <c r="U54" s="106">
        <f>Model!O140</f>
        <v>989.7</v>
      </c>
      <c r="V54" s="107">
        <f>Model!T140</f>
        <v>443.2</v>
      </c>
      <c r="W54" s="106">
        <f>Model!Y140</f>
        <v>15941.427065992077</v>
      </c>
      <c r="X54" s="106">
        <f>Model!AD140</f>
        <v>19871.64568017916</v>
      </c>
      <c r="Y54" s="106">
        <f>Model!AE140</f>
        <v>9972.098361502412</v>
      </c>
      <c r="Z54" s="106">
        <f>Model!AF140</f>
        <v>19420.670426006844</v>
      </c>
      <c r="AA54" s="106">
        <f>Model!AG140</f>
        <v>31038.66946028697</v>
      </c>
      <c r="AB54" s="8"/>
      <c r="AC54" s="8"/>
      <c r="AD54" s="8"/>
      <c r="AE54" s="8"/>
    </row>
    <row r="55" ht="15.75" customHeight="1" spans="1:31" x14ac:dyDescent="0.25">
      <c r="A55" s="9"/>
      <c r="B55" s="8"/>
      <c r="C55" s="8" t="str">
        <f>Model!C141</f>
        <v>LT Debt (Incl. Current Portion)</v>
      </c>
      <c r="D55" s="8"/>
      <c r="E55" s="8"/>
      <c r="F55" s="8"/>
      <c r="G55" s="127">
        <f>Model!P141</f>
        <v>14785.6</v>
      </c>
      <c r="H55" s="127">
        <f>Model!Q141</f>
        <v>15352</v>
      </c>
      <c r="I55" s="127">
        <f>Model!R141</f>
        <v>16013.6</v>
      </c>
      <c r="J55" s="128">
        <f>Model!S141</f>
        <v>13530.6</v>
      </c>
      <c r="K55" s="127">
        <f>Model!U141</f>
        <v>13780.6</v>
      </c>
      <c r="L55" s="127">
        <f>Model!V141</f>
        <v>14030.6</v>
      </c>
      <c r="M55" s="127">
        <f>Model!W141</f>
        <v>14280.6</v>
      </c>
      <c r="N55" s="129">
        <f>Model!X141</f>
        <v>14530.6</v>
      </c>
      <c r="O55" s="127">
        <f>Model!Z141</f>
        <v>14780.6</v>
      </c>
      <c r="P55" s="127">
        <f>Model!AA141</f>
        <v>15030.6</v>
      </c>
      <c r="Q55" s="127">
        <f>Model!AB141</f>
        <v>15280.6</v>
      </c>
      <c r="R55" s="127">
        <f>Model!AC141</f>
        <v>15530.6</v>
      </c>
      <c r="S55" s="8"/>
      <c r="T55" s="127">
        <f>Model!J141</f>
        <v>8774.1</v>
      </c>
      <c r="U55" s="127">
        <f>Model!O141</f>
        <v>9698.8</v>
      </c>
      <c r="V55" s="128">
        <f>Model!T141</f>
        <v>13530.6</v>
      </c>
      <c r="W55" s="127">
        <f>Model!Y141</f>
        <v>14530.6</v>
      </c>
      <c r="X55" s="127">
        <f>Model!AD141</f>
        <v>15530.6</v>
      </c>
      <c r="Y55" s="127">
        <f>Model!AE141</f>
        <v>17030.6</v>
      </c>
      <c r="Z55" s="127">
        <f>Model!AF141</f>
        <v>18530.6</v>
      </c>
      <c r="AA55" s="127">
        <f>Model!AG141</f>
        <v>20030.6</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738.1</v>
      </c>
      <c r="K56" s="127">
        <f>Model!U142</f>
        <v>738.1</v>
      </c>
      <c r="L56" s="127">
        <f>Model!V142</f>
        <v>738.1</v>
      </c>
      <c r="M56" s="127">
        <f>Model!W142</f>
        <v>738.1</v>
      </c>
      <c r="N56" s="129">
        <f>Model!X142</f>
        <v>738.1</v>
      </c>
      <c r="O56" s="127">
        <f>Model!Z142</f>
        <v>738.1</v>
      </c>
      <c r="P56" s="127">
        <f>Model!AA142</f>
        <v>738.1</v>
      </c>
      <c r="Q56" s="127">
        <f>Model!AB142</f>
        <v>738.1</v>
      </c>
      <c r="R56" s="127">
        <f>Model!AC142</f>
        <v>738.1</v>
      </c>
      <c r="S56" s="8"/>
      <c r="T56" s="127">
        <f>Model!J142</f>
        <v>603.1</v>
      </c>
      <c r="U56" s="127">
        <f>Model!O142</f>
        <v>687.1</v>
      </c>
      <c r="V56" s="128">
        <f>Model!T142</f>
        <v>738.1</v>
      </c>
      <c r="W56" s="127">
        <f>Model!Y142</f>
        <v>738.1</v>
      </c>
      <c r="X56" s="127">
        <f>Model!AD142</f>
        <v>738.1</v>
      </c>
      <c r="Y56" s="127">
        <f>Model!AE142</f>
        <v>738.1</v>
      </c>
      <c r="Z56" s="127">
        <f>Model!AF142</f>
        <v>738.1</v>
      </c>
      <c r="AA56" s="127">
        <f>Model!AG142</f>
        <v>738.1</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15958.4</v>
      </c>
      <c r="H58" s="131">
        <f t="array" ref="H58">INDEX(Data,MATCH($C58,Line_Items,0),MATCH(H$32,Fiscal_Periods,0))</f>
        <v>16667.1</v>
      </c>
      <c r="I58" s="131">
        <f t="array" ref="I58">INDEX(Data,MATCH($C58,Line_Items,0),MATCH(I$32,Fiscal_Periods,0))</f>
        <v>17244.9</v>
      </c>
      <c r="J58" s="132">
        <f t="array" ref="J58">INDEX(Data,MATCH($C58,Line_Items,0),MATCH(J$32,Fiscal_Periods,0))</f>
        <v>14711.900000000001</v>
      </c>
      <c r="K58" s="131">
        <f t="array" ref="K58">INDEX(Data,MATCH($C58,Line_Items,0),MATCH(K$32,Fiscal_Periods,0))</f>
        <v>14518.7</v>
      </c>
      <c r="L58" s="131">
        <f t="array" ref="L58">INDEX(Data,MATCH($C58,Line_Items,0),MATCH(L$32,Fiscal_Periods,0))</f>
        <v>14768.7</v>
      </c>
      <c r="M58" s="131">
        <f t="array" ref="M58">INDEX(Data,MATCH($C58,Line_Items,0),MATCH(M$32,Fiscal_Periods,0))</f>
        <v>15018.7</v>
      </c>
      <c r="N58" s="133">
        <f t="array" ref="N58">INDEX(Data,MATCH($C58,Line_Items,0),MATCH(N$32,Fiscal_Periods,0))</f>
        <v>31210.127065992077</v>
      </c>
      <c r="O58" s="131">
        <f t="array" ref="O58">INDEX(Data,MATCH($C58,Line_Items,0),MATCH(O$32,Fiscal_Periods,0))</f>
        <v>15518.7</v>
      </c>
      <c r="P58" s="131">
        <f t="array" ref="P58">INDEX(Data,MATCH($C58,Line_Items,0),MATCH(P$32,Fiscal_Periods,0))</f>
        <v>15768.7</v>
      </c>
      <c r="Q58" s="131">
        <f t="array" ref="Q58">INDEX(Data,MATCH($C58,Line_Items,0),MATCH(Q$32,Fiscal_Periods,0))</f>
        <v>16646.28242903658</v>
      </c>
      <c r="R58" s="131">
        <f t="array" ref="R58">INDEX(Data,MATCH($C58,Line_Items,0),MATCH(R$32,Fiscal_Periods,0))</f>
        <v>36140.34568017916</v>
      </c>
      <c r="S58" s="8"/>
      <c r="T58" s="131">
        <f t="array" ref="T58">INDEX(Data,MATCH($C58,Line_Items,0),MATCH(T$32,Fiscal_Periods,0))</f>
        <v>9905.6</v>
      </c>
      <c r="U58" s="131">
        <f t="array" ref="U58">INDEX(Data,MATCH($C58,Line_Items,0),MATCH(U$32,Fiscal_Periods,0))</f>
        <v>11375.6</v>
      </c>
      <c r="V58" s="132">
        <f t="array" ref="V58">INDEX(Data,MATCH($C58,Line_Items,0),MATCH(V$32,Fiscal_Periods,0))</f>
        <v>14711.900000000001</v>
      </c>
      <c r="W58" s="131">
        <f t="array" ref="W58">INDEX(Data,MATCH($C58,Line_Items,0),MATCH(W$32,Fiscal_Periods,0))</f>
        <v>31210.127065992077</v>
      </c>
      <c r="X58" s="131">
        <f t="array" ref="X58">INDEX(Data,MATCH($C58,Line_Items,0),MATCH(X$32,Fiscal_Periods,0))</f>
        <v>36140.34568017916</v>
      </c>
      <c r="Y58" s="131">
        <f t="array" ref="Y58">INDEX(Data,MATCH($C58,Line_Items,0),MATCH(Y$32,Fiscal_Periods,0))</f>
        <v>27740.79836150241</v>
      </c>
      <c r="Z58" s="131">
        <f t="array" ref="Z58">INDEX(Data,MATCH($C58,Line_Items,0),MATCH(Z$32,Fiscal_Periods,0))</f>
        <v>38689.37042600684</v>
      </c>
      <c r="AA58" s="131">
        <f t="array" ref="AA58">INDEX(Data,MATCH($C58,Line_Items,0),MATCH(AA$32,Fiscal_Periods,0))</f>
        <v>51807.369460286965</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15958.4</v>
      </c>
      <c r="H60" s="131">
        <f t="shared" si="30"/>
        <v>16667.1</v>
      </c>
      <c r="I60" s="131">
        <f t="shared" si="30"/>
        <v>17244.9</v>
      </c>
      <c r="J60" s="132">
        <f t="shared" si="30"/>
        <v>14711.900000000001</v>
      </c>
      <c r="K60" s="131">
        <f t="shared" si="30"/>
        <v>70239.07452250001</v>
      </c>
      <c r="L60" s="131">
        <f t="shared" si="30"/>
        <v>71964.9069576</v>
      </c>
      <c r="M60" s="131">
        <f t="shared" si="30"/>
        <v>73095.94342</v>
      </c>
      <c r="N60" s="133">
        <f t="shared" si="30"/>
        <v>69292.78123009208</v>
      </c>
      <c r="O60" s="131">
        <f t="shared" si="30"/>
        <v>74275.49340222501</v>
      </c>
      <c r="P60" s="131">
        <f t="shared" si="30"/>
        <v>77109.41856709601</v>
      </c>
      <c r="Q60" s="131">
        <f t="shared" si="30"/>
        <v>78409.97916419659</v>
      </c>
      <c r="R60" s="131">
        <f t="shared" si="30"/>
        <v>77414.52892487915</v>
      </c>
      <c r="S60" s="8"/>
      <c r="T60" s="131">
        <f t="shared" ref="T60:AA60" si="31">SUM(T52,T58)</f>
        <v>10434</v>
      </c>
      <c r="U60" s="131">
        <f t="shared" si="31"/>
        <v>12365.300000000001</v>
      </c>
      <c r="V60" s="132">
        <f t="shared" si="31"/>
        <v>15155.100000000002</v>
      </c>
      <c r="W60" s="131">
        <f t="shared" si="31"/>
        <v>71766.17211994245</v>
      </c>
      <c r="X60" s="131">
        <f t="shared" si="31"/>
        <v>80013.61250882718</v>
      </c>
      <c r="Y60" s="131">
        <f t="shared" si="31"/>
        <v>90535.10614682725</v>
      </c>
      <c r="Z60" s="131">
        <f t="shared" si="31"/>
        <v>104093.7909916958</v>
      </c>
      <c r="AA60" s="131">
        <f t="shared" si="31"/>
        <v>119802.07705569043</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v>
      </c>
      <c r="H62" s="106">
        <f>Model!Q148</f>
        <v>2335.7</v>
      </c>
      <c r="I62" s="106">
        <f>Model!R148</f>
        <v>2351.7</v>
      </c>
      <c r="J62" s="107">
        <f>Model!S148</f>
        <v>2309.8</v>
      </c>
      <c r="K62" s="106">
        <f>Model!U148</f>
        <v>3056.9178702289137</v>
      </c>
      <c r="L62" s="106">
        <f>Model!V148</f>
        <v>3113.5564502811467</v>
      </c>
      <c r="M62" s="106">
        <f>Model!W148</f>
        <v>3179.060081149338</v>
      </c>
      <c r="N62" s="108">
        <f>Model!X148</f>
        <v>3223.212182672849</v>
      </c>
      <c r="O62" s="106">
        <f>Model!Z148</f>
        <v>3199.640560461522</v>
      </c>
      <c r="P62" s="106">
        <f>Model!AA148</f>
        <v>3301.103245751815</v>
      </c>
      <c r="Q62" s="106">
        <f>Model!AB148</f>
        <v>3452.204719915405</v>
      </c>
      <c r="R62" s="106">
        <f>Model!AC148</f>
        <v>3540.777002507564</v>
      </c>
      <c r="S62" s="8"/>
      <c r="T62" s="106">
        <f>Model!J148</f>
        <v>2193.9</v>
      </c>
      <c r="U62" s="106">
        <f>Model!O148</f>
        <v>2255.5</v>
      </c>
      <c r="V62" s="107">
        <f>Model!T148</f>
        <v>2309.8</v>
      </c>
      <c r="W62" s="106">
        <f>Model!Y148</f>
        <v>3223.212182672849</v>
      </c>
      <c r="X62" s="106">
        <f>Model!AD148</f>
        <v>3540.777002507564</v>
      </c>
      <c r="Y62" s="106">
        <f>Model!AE148</f>
        <v>3789.600737680009</v>
      </c>
      <c r="Z62" s="106">
        <f>Model!AF148</f>
        <v>4047.953091173161</v>
      </c>
      <c r="AA62" s="106">
        <f>Model!AG148</f>
        <v>4312.496973325297</v>
      </c>
      <c r="AB62" s="8"/>
      <c r="AC62" s="8"/>
      <c r="AD62" s="8"/>
      <c r="AE62" s="8"/>
    </row>
    <row r="63" ht="15.75" customHeight="1" spans="1:31" x14ac:dyDescent="0.25">
      <c r="A63" s="9"/>
      <c r="B63" s="8"/>
      <c r="C63" s="8" t="str">
        <f>Model!C149</f>
        <v>Retained Earnings</v>
      </c>
      <c r="D63" s="8"/>
      <c r="E63" s="8"/>
      <c r="F63" s="8"/>
      <c r="G63" s="127">
        <f>Model!P149</f>
        <v>8311.9</v>
      </c>
      <c r="H63" s="127">
        <f>Model!Q149</f>
        <v>8309</v>
      </c>
      <c r="I63" s="127">
        <f>Model!R149</f>
        <v>8461.9</v>
      </c>
      <c r="J63" s="128">
        <f>Model!S149</f>
        <v>8270.1</v>
      </c>
      <c r="K63" s="127">
        <f>Model!U149</f>
        <v>8637.941300855176</v>
      </c>
      <c r="L63" s="127">
        <f>Model!V149</f>
        <v>8996.325210316156</v>
      </c>
      <c r="M63" s="127">
        <f>Model!W149</f>
        <v>9418.544349414991</v>
      </c>
      <c r="N63" s="129">
        <f>Model!X149</f>
        <v>9624.474050760999</v>
      </c>
      <c r="O63" s="127">
        <f>Model!Z149</f>
        <v>9960.16361368819</v>
      </c>
      <c r="P63" s="127">
        <f>Model!AA149</f>
        <v>10338.800654787616</v>
      </c>
      <c r="Q63" s="127">
        <f>Model!AB149</f>
        <v>10854.956756752292</v>
      </c>
      <c r="R63" s="127">
        <f>Model!AC149</f>
        <v>11151.07229336348</v>
      </c>
      <c r="S63" s="8"/>
      <c r="T63" s="127">
        <f>Model!J149</f>
        <v>8418.4</v>
      </c>
      <c r="U63" s="127">
        <f>Model!O149</f>
        <v>7849.8</v>
      </c>
      <c r="V63" s="128">
        <f>Model!T149</f>
        <v>8270.1</v>
      </c>
      <c r="W63" s="127">
        <f>Model!Y149</f>
        <v>9624.474050760999</v>
      </c>
      <c r="X63" s="127">
        <f>Model!AD149</f>
        <v>11151.07229336348</v>
      </c>
      <c r="Y63" s="127">
        <f>Model!AE149</f>
        <v>12519.207124032819</v>
      </c>
      <c r="Z63" s="127">
        <f>Model!AF149</f>
        <v>13893.147488804083</v>
      </c>
      <c r="AA63" s="127">
        <f>Model!AG149</f>
        <v>15143.711010248546</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-408.1</v>
      </c>
      <c r="H65" s="127">
        <f>Model!Q151</f>
        <v>-339.7</v>
      </c>
      <c r="I65" s="127">
        <f>Model!R151</f>
        <v>-374.9</v>
      </c>
      <c r="J65" s="128">
        <f>Model!S151</f>
        <v>-423.1</v>
      </c>
      <c r="K65" s="127">
        <f>Model!U151</f>
        <v>-423.1</v>
      </c>
      <c r="L65" s="127">
        <f>Model!V151</f>
        <v>-423.1</v>
      </c>
      <c r="M65" s="127">
        <f>Model!W151</f>
        <v>-423.1</v>
      </c>
      <c r="N65" s="129">
        <f>Model!X151</f>
        <v>-423.1</v>
      </c>
      <c r="O65" s="127">
        <f>Model!Z151</f>
        <v>-423.1</v>
      </c>
      <c r="P65" s="127">
        <f>Model!AA151</f>
        <v>-423.1</v>
      </c>
      <c r="Q65" s="127">
        <f>Model!AB151</f>
        <v>-423.1</v>
      </c>
      <c r="R65" s="127">
        <f>Model!AC151</f>
        <v>-423.1</v>
      </c>
      <c r="S65" s="8"/>
      <c r="T65" s="127">
        <f>Model!J151</f>
        <v>-379.4</v>
      </c>
      <c r="U65" s="127">
        <f>Model!O151</f>
        <v>-395.5</v>
      </c>
      <c r="V65" s="128">
        <f>Model!T151</f>
        <v>-423.1</v>
      </c>
      <c r="W65" s="127">
        <f>Model!Y151</f>
        <v>-423.1</v>
      </c>
      <c r="X65" s="127">
        <f>Model!AD151</f>
        <v>-423.1</v>
      </c>
      <c r="Y65" s="127">
        <f>Model!AE151</f>
        <v>-423.1</v>
      </c>
      <c r="Z65" s="127">
        <f>Model!AF151</f>
        <v>-423.1</v>
      </c>
      <c r="AA65" s="127">
        <f>Model!AG151</f>
        <v>-423.1</v>
      </c>
      <c r="AB65" s="8"/>
      <c r="AC65" s="8"/>
      <c r="AD65" s="8"/>
      <c r="AE65" s="8"/>
    </row>
    <row r="66" ht="15.75" customHeight="1" spans="1:31" x14ac:dyDescent="0.25">
      <c r="A66" s="9"/>
      <c r="B66" s="8"/>
      <c r="C66" s="130" t="str">
        <f>Model!C152</f>
        <v>Total Shareholder's Equity</v>
      </c>
      <c r="D66" s="8"/>
      <c r="E66" s="8"/>
      <c r="F66" s="8"/>
      <c r="G66" s="131">
        <f t="shared" ref="G66:R66" si="32">SUM(G62:G65)</f>
        <v>10204.199999999999</v>
      </c>
      <c r="H66" s="131">
        <f t="shared" si="32"/>
        <v>10305</v>
      </c>
      <c r="I66" s="131">
        <f t="shared" si="32"/>
        <v>10438.699999999999</v>
      </c>
      <c r="J66" s="132">
        <f t="shared" si="32"/>
        <v>10156.800000000001</v>
      </c>
      <c r="K66" s="131">
        <f t="shared" si="32"/>
        <v>11231.75917108409</v>
      </c>
      <c r="L66" s="131">
        <f t="shared" si="32"/>
        <v>11606.781660597302</v>
      </c>
      <c r="M66" s="131">
        <f t="shared" si="32"/>
        <v>12054.50443056433</v>
      </c>
      <c r="N66" s="133">
        <f t="shared" si="32"/>
        <v>12264.586233433847</v>
      </c>
      <c r="O66" s="131">
        <f t="shared" si="32"/>
        <v>12536.70417414971</v>
      </c>
      <c r="P66" s="131">
        <f t="shared" si="32"/>
        <v>12976.80390053943</v>
      </c>
      <c r="Q66" s="131">
        <f t="shared" si="32"/>
        <v>13604.061476667697</v>
      </c>
      <c r="R66" s="131">
        <f t="shared" si="32"/>
        <v>13948.749295871045</v>
      </c>
      <c r="S66" s="8"/>
      <c r="T66" s="131">
        <f t="shared" ref="T66:AA66" si="33">SUM(T62:T65)</f>
        <v>10232.9</v>
      </c>
      <c r="U66" s="131">
        <f t="shared" si="33"/>
        <v>9709.8</v>
      </c>
      <c r="V66" s="132">
        <f t="shared" si="33"/>
        <v>10156.800000000001</v>
      </c>
      <c r="W66" s="131">
        <f t="shared" si="33"/>
        <v>12264.586233433847</v>
      </c>
      <c r="X66" s="131">
        <f t="shared" si="33"/>
        <v>13948.749295871045</v>
      </c>
      <c r="Y66" s="131">
        <f t="shared" si="33"/>
        <v>15405.707861712826</v>
      </c>
      <c r="Z66" s="131">
        <f t="shared" si="33"/>
        <v>16878.000579977244</v>
      </c>
      <c r="AA66" s="131">
        <f t="shared" si="33"/>
        <v>18233.107983573846</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v>
      </c>
      <c r="H68" s="127">
        <f>Model!Q154</f>
        <v>77.1</v>
      </c>
      <c r="I68" s="127">
        <f>Model!R154</f>
        <v>62.2</v>
      </c>
      <c r="J68" s="128">
        <f>Model!S154</f>
        <v>68.2</v>
      </c>
      <c r="K68" s="127">
        <f>Model!U154</f>
        <v>68.2</v>
      </c>
      <c r="L68" s="127">
        <f>Model!V154</f>
        <v>68.2</v>
      </c>
      <c r="M68" s="127">
        <f>Model!W154</f>
        <v>68.2</v>
      </c>
      <c r="N68" s="129">
        <f>Model!X154</f>
        <v>68.2</v>
      </c>
      <c r="O68" s="127">
        <f>Model!Z154</f>
        <v>68.2</v>
      </c>
      <c r="P68" s="127">
        <f>Model!AA154</f>
        <v>68.2</v>
      </c>
      <c r="Q68" s="127">
        <f>Model!AB154</f>
        <v>68.2</v>
      </c>
      <c r="R68" s="127">
        <f>Model!AC154</f>
        <v>68.2</v>
      </c>
      <c r="S68" s="8"/>
      <c r="T68" s="127">
        <f>Model!J154</f>
        <v>62.6</v>
      </c>
      <c r="U68" s="127">
        <f>Model!O154</f>
        <v>92.3</v>
      </c>
      <c r="V68" s="128">
        <f>Model!T154</f>
        <v>68.2</v>
      </c>
      <c r="W68" s="127">
        <f>Model!Y154</f>
        <v>68.2</v>
      </c>
      <c r="X68" s="127">
        <f>Model!AD154</f>
        <v>68.2</v>
      </c>
      <c r="Y68" s="127">
        <f>Model!AE154</f>
        <v>68.2</v>
      </c>
      <c r="Z68" s="127">
        <f>Model!AF154</f>
        <v>68.2</v>
      </c>
      <c r="AA68" s="127">
        <f>Model!AG154</f>
        <v>68.2</v>
      </c>
      <c r="AB68" s="8"/>
      <c r="AC68" s="8"/>
      <c r="AD68" s="8"/>
      <c r="AE68" s="8"/>
    </row>
    <row r="69" ht="15.75" customHeight="1" spans="1:31" x14ac:dyDescent="0.25">
      <c r="A69" s="9"/>
      <c r="B69" s="8"/>
      <c r="C69" s="130" t="str">
        <f>Model!C155</f>
        <v>Total Equity</v>
      </c>
      <c r="D69" s="8"/>
      <c r="E69" s="8"/>
      <c r="F69" s="8"/>
      <c r="G69" s="131">
        <f t="shared" ref="G69:R69" si="34">SUM(G66,G68)</f>
        <v>10268.4</v>
      </c>
      <c r="H69" s="131">
        <f t="shared" si="34"/>
        <v>10382.1</v>
      </c>
      <c r="I69" s="131">
        <f t="shared" si="34"/>
        <v>10500.9</v>
      </c>
      <c r="J69" s="132">
        <f t="shared" si="34"/>
        <v>10225.000000000002</v>
      </c>
      <c r="K69" s="131">
        <f t="shared" si="34"/>
        <v>11299.95917108409</v>
      </c>
      <c r="L69" s="131">
        <f t="shared" si="34"/>
        <v>11674.981660597303</v>
      </c>
      <c r="M69" s="131">
        <f t="shared" si="34"/>
        <v>12122.70443056433</v>
      </c>
      <c r="N69" s="133">
        <f t="shared" si="34"/>
        <v>12332.786233433848</v>
      </c>
      <c r="O69" s="131">
        <f t="shared" si="34"/>
        <v>12604.904174149711</v>
      </c>
      <c r="P69" s="131">
        <f t="shared" si="34"/>
        <v>13045.00390053943</v>
      </c>
      <c r="Q69" s="131">
        <f t="shared" si="34"/>
        <v>13672.261476667698</v>
      </c>
      <c r="R69" s="131">
        <f t="shared" si="34"/>
        <v>14016.949295871045</v>
      </c>
      <c r="S69" s="8"/>
      <c r="T69" s="131">
        <f t="shared" ref="T69:AA69" si="35">SUM(T66,T68)</f>
        <v>10295.5</v>
      </c>
      <c r="U69" s="131">
        <f t="shared" si="35"/>
        <v>9802.099999999999</v>
      </c>
      <c r="V69" s="132">
        <f t="shared" si="35"/>
        <v>10225.000000000002</v>
      </c>
      <c r="W69" s="131">
        <f t="shared" si="35"/>
        <v>12332.786233433848</v>
      </c>
      <c r="X69" s="131">
        <f t="shared" si="35"/>
        <v>14016.949295871045</v>
      </c>
      <c r="Y69" s="131">
        <f t="shared" si="35"/>
        <v>15473.907861712827</v>
      </c>
      <c r="Z69" s="131">
        <f t="shared" si="35"/>
        <v>16946.200579977245</v>
      </c>
      <c r="AA69" s="131">
        <f t="shared" si="35"/>
        <v>18301.307983573846</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26226.8</v>
      </c>
      <c r="H71" s="137">
        <f t="shared" si="36"/>
        <v>27049.199999999997</v>
      </c>
      <c r="I71" s="137">
        <f t="shared" si="36"/>
        <v>27745.800000000003</v>
      </c>
      <c r="J71" s="138">
        <f t="shared" si="36"/>
        <v>24936.9</v>
      </c>
      <c r="K71" s="137">
        <f t="shared" si="36"/>
        <v>81539.0336935841</v>
      </c>
      <c r="L71" s="137">
        <f t="shared" si="36"/>
        <v>83639.8886181973</v>
      </c>
      <c r="M71" s="137">
        <f t="shared" si="36"/>
        <v>85218.64785056433</v>
      </c>
      <c r="N71" s="139">
        <f t="shared" si="36"/>
        <v>81625.56746352592</v>
      </c>
      <c r="O71" s="137">
        <f t="shared" si="36"/>
        <v>86880.39757637471</v>
      </c>
      <c r="P71" s="137">
        <f t="shared" si="36"/>
        <v>90154.42246763545</v>
      </c>
      <c r="Q71" s="137">
        <f t="shared" si="36"/>
        <v>92082.24064086429</v>
      </c>
      <c r="R71" s="137">
        <f t="shared" si="36"/>
        <v>91431.4782207502</v>
      </c>
      <c r="S71" s="140"/>
      <c r="T71" s="137">
        <f t="shared" ref="T71:AA71" si="37">SUM(T60,T69)</f>
        <v>20729.5</v>
      </c>
      <c r="U71" s="137">
        <f t="shared" si="37"/>
        <v>22167.4</v>
      </c>
      <c r="V71" s="138">
        <f t="shared" si="37"/>
        <v>25380.100000000006</v>
      </c>
      <c r="W71" s="137">
        <f t="shared" si="37"/>
        <v>84098.95835337629</v>
      </c>
      <c r="X71" s="137">
        <f t="shared" si="37"/>
        <v>94030.56180469823</v>
      </c>
      <c r="Y71" s="137">
        <f t="shared" si="37"/>
        <v>106009.01400854008</v>
      </c>
      <c r="Z71" s="137">
        <f t="shared" si="37"/>
        <v>121039.99157167305</v>
      </c>
      <c r="AA71" s="137">
        <f t="shared" si="37"/>
        <v>138103.38503926428</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0.8102210306262394</v>
      </c>
      <c r="L77" s="148">
        <f t="shared" si="40"/>
        <v>0.8038378074910234</v>
      </c>
      <c r="M77" s="148">
        <f t="shared" si="40"/>
        <v>0.819488034509748</v>
      </c>
      <c r="N77" s="150">
        <f t="shared" si="40"/>
        <v>0.7393138829761862</v>
      </c>
      <c r="O77" s="148">
        <f t="shared" si="40"/>
        <v>0.8094243996035364</v>
      </c>
      <c r="P77" s="148">
        <f t="shared" si="40"/>
        <v>0.8153452529055328</v>
      </c>
      <c r="Q77" s="148">
        <f t="shared" si="40"/>
        <v>0.8362861297995491</v>
      </c>
      <c r="R77" s="148">
        <f t="shared" si="40"/>
        <v>0.7577404198862256</v>
      </c>
      <c r="S77" s="8"/>
      <c r="T77" s="148">
        <f t="shared" ref="T77:AA77" si="41">T12</f>
        <v>0.9314078146649019</v>
      </c>
      <c r="U77" s="148">
        <f t="shared" si="41"/>
        <v>0.927205252547046</v>
      </c>
      <c r="V77" s="149">
        <f t="shared" si="41"/>
        <v>1</v>
      </c>
      <c r="W77" s="148">
        <f t="shared" si="41"/>
        <v>0.7971759277574433</v>
      </c>
      <c r="X77" s="148">
        <f t="shared" si="41"/>
        <v>0.8083981620810355</v>
      </c>
      <c r="Y77" s="148">
        <f t="shared" si="41"/>
        <v>0.8003942086968021</v>
      </c>
      <c r="Z77" s="148">
        <f t="shared" si="41"/>
        <v>0.7900438857984556</v>
      </c>
      <c r="AA77" s="148">
        <f t="shared" si="41"/>
        <v>0.7776601241507727</v>
      </c>
      <c r="AB77" s="8"/>
      <c r="AC77" s="8"/>
      <c r="AD77" s="8"/>
      <c r="AE77" s="8"/>
    </row>
    <row r="78" ht="15.75" customHeight="1" spans="1:31" x14ac:dyDescent="0.25">
      <c r="A78" s="9"/>
      <c r="B78" s="8"/>
      <c r="C78" s="130" t="s">
        <v>110</v>
      </c>
      <c r="D78" s="8"/>
      <c r="E78" s="8"/>
      <c r="F78" s="8"/>
      <c r="G78" s="148">
        <f t="shared" ref="G78:R78" si="42">G28</f>
        <v>0.7354886328907216</v>
      </c>
      <c r="H78" s="148">
        <f t="shared" si="42"/>
        <v>0.7619393013933957</v>
      </c>
      <c r="I78" s="148">
        <f t="shared" si="42"/>
        <v>0.7918063715444367</v>
      </c>
      <c r="J78" s="149">
        <f t="shared" si="42"/>
        <v>0.9215831432611901</v>
      </c>
      <c r="K78" s="148">
        <f t="shared" si="42"/>
        <v>0.14618430672571317</v>
      </c>
      <c r="L78" s="148">
        <f t="shared" si="42"/>
        <v>0.14877217396999656</v>
      </c>
      <c r="M78" s="148">
        <f t="shared" si="42"/>
        <v>0.14814421588640886</v>
      </c>
      <c r="N78" s="150">
        <f t="shared" si="42"/>
        <v>0.11807791510047234</v>
      </c>
      <c r="O78" s="148">
        <f t="shared" si="42"/>
        <v>0.14626472086313685</v>
      </c>
      <c r="P78" s="148">
        <f t="shared" si="42"/>
        <v>0.1540531935164459</v>
      </c>
      <c r="Q78" s="148">
        <f t="shared" si="42"/>
        <v>0.17244508958635618</v>
      </c>
      <c r="R78" s="148">
        <f t="shared" si="42"/>
        <v>0.161095725587406</v>
      </c>
      <c r="S78" s="8"/>
      <c r="T78" s="148">
        <f t="shared" ref="T78:AA78" si="43">T28</f>
        <v>0.6697521493494161</v>
      </c>
      <c r="U78" s="148">
        <f t="shared" si="43"/>
        <v>0.7546869442453318</v>
      </c>
      <c r="V78" s="149">
        <f t="shared" si="43"/>
        <v>0.7956933721000462</v>
      </c>
      <c r="W78" s="148">
        <f t="shared" si="43"/>
        <v>0.14181665997852355</v>
      </c>
      <c r="X78" s="148">
        <f t="shared" si="43"/>
        <v>0.15899761888704528</v>
      </c>
      <c r="Y78" s="148">
        <f t="shared" si="43"/>
        <v>0.1454608834224419</v>
      </c>
      <c r="Z78" s="148">
        <f t="shared" si="43"/>
        <v>0.14504821514569718</v>
      </c>
      <c r="AA78" s="148">
        <f t="shared" si="43"/>
        <v>0.13503540071989792</v>
      </c>
      <c r="AB78" s="8"/>
      <c r="AC78" s="8"/>
      <c r="AD78" s="8"/>
      <c r="AE78" s="8"/>
    </row>
    <row r="79" ht="15.75" customHeight="1" spans="1:31" x14ac:dyDescent="0.25">
      <c r="A79" s="9"/>
      <c r="B79" s="8"/>
      <c r="C79" s="130" t="s">
        <v>111</v>
      </c>
      <c r="D79" s="8"/>
      <c r="E79" s="8"/>
      <c r="F79" s="8"/>
      <c r="G79" s="148">
        <f t="shared" ref="G79:R79" si="44">G16</f>
        <v>0.7234341715740162</v>
      </c>
      <c r="H79" s="148">
        <f t="shared" si="44"/>
        <v>0.7458979049604106</v>
      </c>
      <c r="I79" s="148">
        <f t="shared" si="44"/>
        <v>0.776909580983182</v>
      </c>
      <c r="J79" s="149">
        <f t="shared" si="44"/>
        <v>0.9387531941509301</v>
      </c>
      <c r="K79" s="148">
        <f t="shared" si="44"/>
        <v>0.16196659475834113</v>
      </c>
      <c r="L79" s="148">
        <f t="shared" si="44"/>
        <v>0.1628196127726334</v>
      </c>
      <c r="M79" s="148">
        <f t="shared" si="44"/>
        <v>0.15951556171713052</v>
      </c>
      <c r="N79" s="150">
        <f t="shared" si="44"/>
        <v>0.14089267304807507</v>
      </c>
      <c r="O79" s="148">
        <f t="shared" si="44"/>
        <v>0.15809382097876326</v>
      </c>
      <c r="P79" s="148">
        <f t="shared" si="44"/>
        <v>0.165185533898328</v>
      </c>
      <c r="Q79" s="148">
        <f t="shared" si="44"/>
        <v>0.18216764812198746</v>
      </c>
      <c r="R79" s="148">
        <f t="shared" si="44"/>
        <v>0.17554591641075376</v>
      </c>
      <c r="S79" s="8"/>
      <c r="T79" s="148">
        <f t="shared" ref="T79:AA79" si="45">T16</f>
        <v>0.6581139320836505</v>
      </c>
      <c r="U79" s="148">
        <f t="shared" si="45"/>
        <v>0.7461785379168093</v>
      </c>
      <c r="V79" s="149">
        <f t="shared" si="45"/>
        <v>0.7875305086541107</v>
      </c>
      <c r="W79" s="148">
        <f t="shared" si="45"/>
        <v>0.15725218740051702</v>
      </c>
      <c r="X79" s="148">
        <f t="shared" si="45"/>
        <v>0.17055718920111113</v>
      </c>
      <c r="Y79" s="148">
        <f t="shared" si="45"/>
        <v>0.15640651997170843</v>
      </c>
      <c r="Z79" s="148">
        <f t="shared" si="45"/>
        <v>0.15828297553410967</v>
      </c>
      <c r="AA79" s="148">
        <f t="shared" si="45"/>
        <v>0.15094322662864842</v>
      </c>
      <c r="AB79" s="8"/>
      <c r="AC79" s="8"/>
      <c r="AD79" s="8"/>
      <c r="AE79" s="8"/>
    </row>
    <row r="80" ht="15.75" customHeight="1" spans="1:31" x14ac:dyDescent="0.25">
      <c r="A80" s="9"/>
      <c r="B80" s="8"/>
      <c r="C80" s="130" t="s">
        <v>112</v>
      </c>
      <c r="D80" s="8"/>
      <c r="E80" s="8"/>
      <c r="F80" s="8"/>
      <c r="G80" s="148">
        <f t="shared" ref="G80:R80" si="46">G20</f>
        <v>0.7074691304526318</v>
      </c>
      <c r="H80" s="148">
        <f t="shared" si="46"/>
        <v>0.7255284969689708</v>
      </c>
      <c r="I80" s="148">
        <f t="shared" si="46"/>
        <v>0.7583008196920775</v>
      </c>
      <c r="J80" s="149">
        <f t="shared" si="46"/>
        <v>0.9468893411779322</v>
      </c>
      <c r="K80" s="148">
        <f t="shared" si="46"/>
        <v>0.12681984369578111</v>
      </c>
      <c r="L80" s="148">
        <f t="shared" si="46"/>
        <v>0.12097497229006662</v>
      </c>
      <c r="M80" s="148">
        <f t="shared" si="46"/>
        <v>0.11852006235582796</v>
      </c>
      <c r="N80" s="150">
        <f t="shared" si="46"/>
        <v>0.10468325607471977</v>
      </c>
      <c r="O80" s="148">
        <f t="shared" si="46"/>
        <v>0.11777989662917863</v>
      </c>
      <c r="P80" s="148">
        <f t="shared" si="46"/>
        <v>0.12306322275425435</v>
      </c>
      <c r="Q80" s="148">
        <f t="shared" si="46"/>
        <v>0.13571489785088067</v>
      </c>
      <c r="R80" s="148">
        <f t="shared" si="46"/>
        <v>0.13078170772601155</v>
      </c>
      <c r="S80" s="8"/>
      <c r="T80" s="148">
        <f t="shared" ref="T80:AA80" si="47">T20</f>
        <v>0.5827574986122542</v>
      </c>
      <c r="U80" s="148">
        <f t="shared" si="47"/>
        <v>0.6541679957535633</v>
      </c>
      <c r="V80" s="149">
        <f t="shared" si="47"/>
        <v>0.7744004674656046</v>
      </c>
      <c r="W80" s="148">
        <f t="shared" si="47"/>
        <v>0.11844587970160511</v>
      </c>
      <c r="X80" s="148">
        <f t="shared" si="47"/>
        <v>0.1270651059548278</v>
      </c>
      <c r="Y80" s="148">
        <f t="shared" si="47"/>
        <v>0.11730488997878133</v>
      </c>
      <c r="Z80" s="148">
        <f t="shared" si="47"/>
        <v>0.11871223165058224</v>
      </c>
      <c r="AA80" s="148">
        <f t="shared" si="47"/>
        <v>0.11320741997148631</v>
      </c>
      <c r="AB80" s="8"/>
      <c r="AC80" s="8"/>
      <c r="AD80" s="8"/>
      <c r="AE80" s="8"/>
    </row>
    <row r="81" ht="15.75" customHeight="1" spans="1:31" x14ac:dyDescent="0.25">
      <c r="A81" s="9"/>
      <c r="B81" s="8"/>
      <c r="C81" s="130" t="s">
        <v>113</v>
      </c>
      <c r="D81" s="8"/>
      <c r="E81" s="8"/>
      <c r="F81" s="8"/>
      <c r="G81" s="148">
        <f t="shared" ref="G81:R81" si="48">G19/G46</f>
        <v>0.03101493652819144</v>
      </c>
      <c r="H81" s="148">
        <f t="shared" si="48"/>
        <v>0.033766637141400956</v>
      </c>
      <c r="I81" s="148">
        <f t="shared" si="48"/>
        <v>0.04007153303076148</v>
      </c>
      <c r="J81" s="149">
        <f t="shared" si="48"/>
        <v>0.034901108905988555</v>
      </c>
      <c r="K81" s="148">
        <f t="shared" si="48"/>
        <v>0.0036119095788949476</v>
      </c>
      <c r="L81" s="148">
        <f t="shared" si="48"/>
        <v>0.0034738540326426756</v>
      </c>
      <c r="M81" s="148">
        <f t="shared" si="48"/>
        <v>0.0038892132025120127</v>
      </c>
      <c r="N81" s="150">
        <f t="shared" si="48"/>
        <v>0.0023770857796110807</v>
      </c>
      <c r="O81" s="148">
        <f t="shared" si="48"/>
        <v>0.0033744643061294254</v>
      </c>
      <c r="P81" s="148">
        <f t="shared" si="48"/>
        <v>0.003613445311721609</v>
      </c>
      <c r="Q81" s="148">
        <f t="shared" si="48"/>
        <v>0.0045071000823951775</v>
      </c>
      <c r="R81" s="148">
        <f t="shared" si="48"/>
        <v>0.002996265446001364</v>
      </c>
      <c r="S81" s="8"/>
      <c r="T81" s="148">
        <f t="shared" ref="T81:AA81" si="49">T19/T46</f>
        <v>0.13340917517780698</v>
      </c>
      <c r="U81" s="148">
        <f t="shared" si="49"/>
        <v>0.15310535616224027</v>
      </c>
      <c r="V81" s="149">
        <f t="shared" si="49"/>
        <v>0.14489660992358386</v>
      </c>
      <c r="W81" s="148">
        <f t="shared" si="49"/>
        <v>0.013473074569239988</v>
      </c>
      <c r="X81" s="148">
        <f t="shared" si="49"/>
        <v>0.014364766323145891</v>
      </c>
      <c r="Y81" s="148">
        <f t="shared" si="49"/>
        <v>0.012899862079785204</v>
      </c>
      <c r="Z81" s="148">
        <f t="shared" si="49"/>
        <v>0.012361617983459151</v>
      </c>
      <c r="AA81" s="148">
        <f t="shared" si="49"/>
        <v>0.010974455251067534</v>
      </c>
      <c r="AB81" s="8"/>
      <c r="AC81" s="8"/>
      <c r="AD81" s="8"/>
      <c r="AE81" s="8"/>
    </row>
    <row r="82" ht="15.75" customHeight="1" spans="1:31" x14ac:dyDescent="0.25">
      <c r="A82" s="9"/>
      <c r="B82" s="8"/>
      <c r="C82" s="130" t="s">
        <v>114</v>
      </c>
      <c r="D82" s="8"/>
      <c r="E82" s="8"/>
      <c r="F82" s="8"/>
      <c r="G82" s="148">
        <f t="shared" ref="G82:R82" si="50">G19*4/G69</f>
        <v>0.9666799111838265</v>
      </c>
      <c r="H82" s="148">
        <f t="shared" si="50"/>
        <v>1.0031554309821713</v>
      </c>
      <c r="I82" s="148">
        <f t="shared" si="50"/>
        <v>1.210743460084374</v>
      </c>
      <c r="J82" s="149">
        <f t="shared" si="50"/>
        <v>1.025742396088019</v>
      </c>
      <c r="K82" s="148">
        <f t="shared" si="50"/>
        <v>0.16958691393544686</v>
      </c>
      <c r="L82" s="148">
        <f t="shared" si="50"/>
        <v>0.1615981671484182</v>
      </c>
      <c r="M82" s="148">
        <f t="shared" si="50"/>
        <v>0.1763366061293824</v>
      </c>
      <c r="N82" s="150">
        <f t="shared" si="50"/>
        <v>0.10319345371720424</v>
      </c>
      <c r="O82" s="148">
        <f t="shared" si="50"/>
        <v>0.1488873081286523</v>
      </c>
      <c r="P82" s="148">
        <f t="shared" si="50"/>
        <v>0.15778394395977036</v>
      </c>
      <c r="Q82" s="148">
        <f t="shared" si="50"/>
        <v>0.19039896306116919</v>
      </c>
      <c r="R82" s="148">
        <f t="shared" si="50"/>
        <v>0.12293651850137997</v>
      </c>
      <c r="S82" s="8"/>
      <c r="T82" s="148">
        <f t="shared" ref="T82:AA82" si="51">T19/T69</f>
        <v>0.7688504686513525</v>
      </c>
      <c r="U82" s="148">
        <f t="shared" si="51"/>
        <v>1.0182792462839598</v>
      </c>
      <c r="V82" s="149">
        <f t="shared" si="51"/>
        <v>1.0646266014669925</v>
      </c>
      <c r="W82" s="148">
        <f t="shared" si="51"/>
        <v>0.1462224364087508</v>
      </c>
      <c r="X82" s="148">
        <f t="shared" si="51"/>
        <v>0.14734628762699925</v>
      </c>
      <c r="Y82" s="148">
        <f t="shared" si="51"/>
        <v>0.12984722518872055</v>
      </c>
      <c r="Z82" s="148">
        <f t="shared" si="51"/>
        <v>0.12458343674190706</v>
      </c>
      <c r="AA82" s="148">
        <f t="shared" si="51"/>
        <v>0.11264586229655286</v>
      </c>
      <c r="AB82" s="8"/>
      <c r="AC82" s="8"/>
      <c r="AD82" s="8"/>
      <c r="AE82" s="8"/>
    </row>
    <row r="83" ht="15.75" customHeight="1" spans="1:31" x14ac:dyDescent="0.25">
      <c r="A83" s="9"/>
      <c r="B83" s="8"/>
      <c r="C83" s="130" t="s">
        <v>115</v>
      </c>
      <c r="D83" s="8"/>
      <c r="E83" s="8"/>
      <c r="F83" s="8"/>
      <c r="G83" s="148">
        <f t="shared" ref="G83:S83" si="52">G19*4/(G54+G55+G69)</f>
        <v>0.3784775878109416</v>
      </c>
      <c r="H83" s="148">
        <f t="shared" si="52"/>
        <v>0.38503393815713594</v>
      </c>
      <c r="I83" s="148">
        <f t="shared" si="52"/>
        <v>0.45822776780629865</v>
      </c>
      <c r="J83" s="149">
        <f t="shared" si="52"/>
        <v>0.43341884721556423</v>
      </c>
      <c r="K83" s="148">
        <f t="shared" si="52"/>
        <v>0.07640679740625853</v>
      </c>
      <c r="L83" s="148">
        <f t="shared" si="52"/>
        <v>0.07339478494415369</v>
      </c>
      <c r="M83" s="148">
        <f t="shared" si="52"/>
        <v>0.08096246293781235</v>
      </c>
      <c r="N83" s="150">
        <f t="shared" si="52"/>
        <v>0.02973176863269014</v>
      </c>
      <c r="O83" s="148">
        <f t="shared" si="52"/>
        <v>0.06852932996136937</v>
      </c>
      <c r="P83" s="148">
        <f t="shared" si="52"/>
        <v>0.0733124805325435</v>
      </c>
      <c r="Q83" s="148">
        <f t="shared" si="52"/>
        <v>0.08800356127707411</v>
      </c>
      <c r="R83" s="148">
        <f t="shared" si="52"/>
        <v>0.034868940039995786</v>
      </c>
      <c r="S83" s="148" t="e">
        <f t="shared" si="52"/>
        <v>#DIV/0!</v>
      </c>
      <c r="T83" s="148">
        <f t="shared" ref="T83:AA83" si="53">T19/(T54+T55+T69)</f>
        <v>0.4039034595366874</v>
      </c>
      <c r="U83" s="148">
        <f t="shared" si="53"/>
        <v>0.4871148233824291</v>
      </c>
      <c r="V83" s="149">
        <f t="shared" si="53"/>
        <v>0.4498490421012612</v>
      </c>
      <c r="W83" s="148">
        <f t="shared" si="53"/>
        <v>0.0421291418361398</v>
      </c>
      <c r="X83" s="148">
        <f t="shared" si="53"/>
        <v>0.0417923732590828</v>
      </c>
      <c r="Y83" s="148">
        <f t="shared" si="53"/>
        <v>0.04730236658057684</v>
      </c>
      <c r="Z83" s="148">
        <f t="shared" si="53"/>
        <v>0.038457434728480136</v>
      </c>
      <c r="AA83" s="148">
        <f t="shared" si="53"/>
        <v>0.029718170079135017</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931.7</v>
      </c>
      <c r="U86" s="106">
        <f>-Model!O39</f>
        <v>1110.7</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96.2</v>
      </c>
      <c r="H87" s="127">
        <f>Model!Q196</f>
        <v>-195.2</v>
      </c>
      <c r="I87" s="127">
        <f>Model!R196</f>
        <v>-56.000000000000014</v>
      </c>
      <c r="J87" s="128">
        <f>Model!S196</f>
        <v>-18</v>
      </c>
      <c r="K87" s="127">
        <f>Model!U196</f>
        <v>-56.66478765000001</v>
      </c>
      <c r="L87" s="127">
        <f>Model!V196</f>
        <v>-58.4828292</v>
      </c>
      <c r="M87" s="127">
        <f>Model!W196</f>
        <v>-67.63654125</v>
      </c>
      <c r="N87" s="129">
        <f>Model!X196</f>
        <v>-45.589769549999986</v>
      </c>
      <c r="O87" s="127">
        <f>Model!Z196</f>
        <v>-59.75267125650001</v>
      </c>
      <c r="P87" s="127">
        <f>Model!AA196</f>
        <v>-62.720571132</v>
      </c>
      <c r="Q87" s="127">
        <f>Model!AB196</f>
        <v>-71.92977104250001</v>
      </c>
      <c r="R87" s="127">
        <f>Model!AC196</f>
        <v>-49.41043484999998</v>
      </c>
      <c r="S87" s="8"/>
      <c r="T87" s="127">
        <f>Model!J196</f>
        <v>-91</v>
      </c>
      <c r="U87" s="127">
        <f>Model!O196</f>
        <v>-173</v>
      </c>
      <c r="V87" s="128">
        <f>Model!T196</f>
        <v>-173</v>
      </c>
      <c r="W87" s="127">
        <f>Model!Y196</f>
        <v>-228.37392764999998</v>
      </c>
      <c r="X87" s="127">
        <f>Model!AD196</f>
        <v>-243.813448281</v>
      </c>
      <c r="Y87" s="127">
        <f>Model!AE196</f>
        <v>-256.92586204626</v>
      </c>
      <c r="Z87" s="127">
        <f>Model!AF196</f>
        <v>-266.7647484951786</v>
      </c>
      <c r="AA87" s="127">
        <f>Model!AG196</f>
        <v>-273.15788392894814</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9.594590533433509</v>
      </c>
      <c r="U88" s="151">
        <f t="shared" si="55"/>
        <v>10.25044476456289</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9.764263174841687</v>
      </c>
      <c r="U89" s="151">
        <f t="shared" si="57"/>
        <v>10.367326910957056</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9.861934098958894</v>
      </c>
      <c r="U90" s="151">
        <f t="shared" si="59"/>
        <v>10.523084541280275</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6.1857931885107895</v>
      </c>
      <c r="H93" s="151">
        <f t="shared" si="60"/>
        <v>6.095378738091919</v>
      </c>
      <c r="I93" s="151">
        <f t="shared" si="60"/>
        <v>5.19594506035858</v>
      </c>
      <c r="J93" s="152">
        <f t="shared" si="60"/>
        <v>5.475674163335267</v>
      </c>
      <c r="K93" s="151">
        <f t="shared" si="60"/>
        <v>24.95429862545353</v>
      </c>
      <c r="L93" s="151">
        <f t="shared" si="60"/>
        <v>24.188972404952175</v>
      </c>
      <c r="M93" s="151">
        <f t="shared" si="60"/>
        <v>21.378224000927347</v>
      </c>
      <c r="N93" s="154">
        <f t="shared" si="60"/>
        <v>84.9095484558622</v>
      </c>
      <c r="O93" s="151">
        <f t="shared" si="60"/>
        <v>25.368010639050986</v>
      </c>
      <c r="P93" s="151">
        <f t="shared" si="60"/>
        <v>23.33387496589292</v>
      </c>
      <c r="Q93" s="151">
        <f t="shared" si="60"/>
        <v>19.237662953495867</v>
      </c>
      <c r="R93" s="151">
        <f t="shared" si="60"/>
        <v>66.71436817708762</v>
      </c>
      <c r="S93" s="151"/>
      <c r="T93" s="151">
        <f t="shared" ref="T93:AA93" si="61">IF(ISERROR((T54+T55)/T27),"NA",((T54+T55)/T27))</f>
        <v>1.0225489493440076</v>
      </c>
      <c r="U93" s="151">
        <f t="shared" si="61"/>
        <v>0.9282248616802966</v>
      </c>
      <c r="V93" s="152">
        <f t="shared" si="61"/>
        <v>1.2493201907569544</v>
      </c>
      <c r="W93" s="151">
        <f t="shared" si="61"/>
        <v>14.11298339558217</v>
      </c>
      <c r="X93" s="151">
        <f t="shared" si="61"/>
        <v>13.698524582200122</v>
      </c>
      <c r="Y93" s="151">
        <f t="shared" si="61"/>
        <v>10.837881069927793</v>
      </c>
      <c r="Z93" s="151">
        <f t="shared" si="61"/>
        <v>14.712170494642066</v>
      </c>
      <c r="AA93" s="151">
        <f t="shared" si="61"/>
        <v>20.767753825916245</v>
      </c>
      <c r="AB93" s="8"/>
      <c r="AC93" s="8"/>
      <c r="AD93" s="8"/>
      <c r="AE93" s="8"/>
    </row>
    <row r="94" ht="15.75" customHeight="1" spans="1:31" x14ac:dyDescent="0.25">
      <c r="A94" s="9"/>
      <c r="B94" s="8"/>
      <c r="C94" s="130" t="s">
        <v>124</v>
      </c>
      <c r="D94" s="8"/>
      <c r="E94" s="8"/>
      <c r="F94" s="8"/>
      <c r="G94" s="151">
        <f t="shared" ref="G94:R94" si="62">IF(ISERROR((G54+G55)/G69),"NA",((G54+G55)/G69))</f>
        <v>1.554127225273655</v>
      </c>
      <c r="H94" s="151">
        <f t="shared" si="62"/>
        <v>1.6053688560117894</v>
      </c>
      <c r="I94" s="151">
        <f t="shared" si="62"/>
        <v>1.6422306659429193</v>
      </c>
      <c r="J94" s="152">
        <f t="shared" si="62"/>
        <v>1.3666308068459656</v>
      </c>
      <c r="K94" s="151">
        <f t="shared" si="62"/>
        <v>1.2195265302607217</v>
      </c>
      <c r="L94" s="151">
        <f t="shared" si="62"/>
        <v>1.2017663417282132</v>
      </c>
      <c r="M94" s="151">
        <f t="shared" si="62"/>
        <v>1.1780044693653573</v>
      </c>
      <c r="N94" s="154">
        <f t="shared" si="62"/>
        <v>2.470814501218163</v>
      </c>
      <c r="O94" s="151">
        <f t="shared" si="62"/>
        <v>1.1726070897319658</v>
      </c>
      <c r="P94" s="151">
        <f t="shared" si="62"/>
        <v>1.1522112307975978</v>
      </c>
      <c r="Q94" s="151">
        <f t="shared" si="62"/>
        <v>1.1635370239359872</v>
      </c>
      <c r="R94" s="151">
        <f t="shared" si="62"/>
        <v>2.5256740916233147</v>
      </c>
      <c r="S94" s="151"/>
      <c r="T94" s="151">
        <f t="shared" ref="T94:AA94" si="63">IF(ISERROR((T54+T55)/T69),"NA",((T54+T55)/T69))</f>
        <v>0.9035500947015687</v>
      </c>
      <c r="U94" s="151">
        <f t="shared" si="63"/>
        <v>1.0904296018200184</v>
      </c>
      <c r="V94" s="152">
        <f t="shared" si="63"/>
        <v>1.3666308068459656</v>
      </c>
      <c r="W94" s="151">
        <f t="shared" si="63"/>
        <v>2.470814501218163</v>
      </c>
      <c r="X94" s="151">
        <f t="shared" si="63"/>
        <v>2.5256740916233147</v>
      </c>
      <c r="Y94" s="151">
        <f t="shared" si="63"/>
        <v>1.7450471207932763</v>
      </c>
      <c r="Z94" s="151">
        <f t="shared" si="63"/>
        <v>2.2395150020145578</v>
      </c>
      <c r="AA94" s="151">
        <f t="shared" si="63"/>
        <v>2.790471014756086</v>
      </c>
      <c r="AB94" s="8"/>
      <c r="AC94" s="8"/>
      <c r="AD94" s="8"/>
      <c r="AE94" s="8"/>
    </row>
    <row r="95" ht="15.75" customHeight="1" spans="1:31" x14ac:dyDescent="0.25">
      <c r="A95" s="9"/>
      <c r="B95" s="8"/>
      <c r="C95" s="130" t="s">
        <v>125</v>
      </c>
      <c r="D95" s="8"/>
      <c r="E95" s="8"/>
      <c r="F95" s="8"/>
      <c r="G95" s="151">
        <f t="shared" ref="G95:R95" si="64">IF(ISERROR((G54+G55)/G46),"NA",((G54+G55)/G46))</f>
        <v>0.19945033176315022</v>
      </c>
      <c r="H95" s="151">
        <f t="shared" si="64"/>
        <v>0.21614958545748816</v>
      </c>
      <c r="I95" s="151">
        <f t="shared" si="64"/>
        <v>0.21740922844175495</v>
      </c>
      <c r="J95" s="152">
        <f t="shared" si="64"/>
        <v>0.1859996459380711</v>
      </c>
      <c r="K95" s="151">
        <f t="shared" si="64"/>
        <v>0.10389527008061272</v>
      </c>
      <c r="L95" s="151">
        <f t="shared" si="64"/>
        <v>0.10333683670242429</v>
      </c>
      <c r="M95" s="151">
        <f t="shared" si="64"/>
        <v>0.10392647642344531</v>
      </c>
      <c r="N95" s="154">
        <f t="shared" si="64"/>
        <v>0.22766320162122247</v>
      </c>
      <c r="O95" s="151">
        <f t="shared" si="64"/>
        <v>0.10630646276432588</v>
      </c>
      <c r="P95" s="151">
        <f t="shared" si="64"/>
        <v>0.10554818609680858</v>
      </c>
      <c r="Q95" s="151">
        <f t="shared" si="64"/>
        <v>0.110172402877361</v>
      </c>
      <c r="R95" s="151">
        <f t="shared" si="64"/>
        <v>0.24622756853186387</v>
      </c>
      <c r="S95" s="151"/>
      <c r="T95" s="151">
        <f t="shared" ref="T95:AA95" si="65">IF(ISERROR((T54+T55)/T46),"NA",((T54+T55)/T46))</f>
        <v>0.15678194627026662</v>
      </c>
      <c r="U95" s="151">
        <f t="shared" si="65"/>
        <v>0.16395366316829313</v>
      </c>
      <c r="V95" s="152">
        <f t="shared" si="65"/>
        <v>0.1859996459380711</v>
      </c>
      <c r="W95" s="151">
        <f t="shared" si="65"/>
        <v>0.22766320162122247</v>
      </c>
      <c r="X95" s="151">
        <f t="shared" si="65"/>
        <v>0.24622756853186387</v>
      </c>
      <c r="Y95" s="151">
        <f t="shared" si="65"/>
        <v>0.17336425286133098</v>
      </c>
      <c r="Z95" s="151">
        <f t="shared" si="65"/>
        <v>0.22221275674455232</v>
      </c>
      <c r="AA95" s="151">
        <f t="shared" si="65"/>
        <v>0.27185995700597354</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0.043839278907262545</v>
      </c>
      <c r="H98" s="151">
        <f t="shared" si="66"/>
        <v>0.04654074551512079</v>
      </c>
      <c r="I98" s="151">
        <f t="shared" si="66"/>
        <v>0.05284384770549673</v>
      </c>
      <c r="J98" s="152">
        <f t="shared" si="66"/>
        <v>0.036858698675994714</v>
      </c>
      <c r="K98" s="151">
        <f t="shared" si="66"/>
        <v>0.02848063421020526</v>
      </c>
      <c r="L98" s="151">
        <f t="shared" si="66"/>
        <v>0.028715476985712994</v>
      </c>
      <c r="M98" s="151">
        <f t="shared" si="66"/>
        <v>0.0328148089463165</v>
      </c>
      <c r="N98" s="153">
        <f t="shared" si="66"/>
        <v>0.022707411564600054</v>
      </c>
      <c r="O98" s="155">
        <f t="shared" si="66"/>
        <v>0.028650596601843513</v>
      </c>
      <c r="P98" s="155">
        <f t="shared" si="66"/>
        <v>0.029362511649295243</v>
      </c>
      <c r="Q98" s="155">
        <f t="shared" si="66"/>
        <v>0.03321006134011492</v>
      </c>
      <c r="R98" s="155">
        <f t="shared" si="66"/>
        <v>0.022910432185811166</v>
      </c>
      <c r="S98" s="8"/>
      <c r="T98" s="155">
        <f t="shared" ref="T98:AA98" si="67">T8/T46</f>
        <v>0.22892742778171032</v>
      </c>
      <c r="U98" s="155">
        <f t="shared" si="67"/>
        <v>0.23404592880743402</v>
      </c>
      <c r="V98" s="156">
        <f t="shared" si="67"/>
        <v>0.1871081126768812</v>
      </c>
      <c r="W98" s="155">
        <f t="shared" si="67"/>
        <v>0.11374878217108136</v>
      </c>
      <c r="X98" s="155">
        <f t="shared" si="67"/>
        <v>0.11305044146622463</v>
      </c>
      <c r="Y98" s="155">
        <f t="shared" si="67"/>
        <v>0.10996866441048274</v>
      </c>
      <c r="Z98" s="155">
        <f t="shared" si="67"/>
        <v>0.10413095442299793</v>
      </c>
      <c r="AA98" s="155">
        <f t="shared" si="67"/>
        <v>0.09694113030604957</v>
      </c>
      <c r="AB98" s="8"/>
      <c r="AC98" s="8"/>
      <c r="AD98" s="8"/>
      <c r="AE98" s="8"/>
    </row>
    <row r="99" ht="15.75" customHeight="1" spans="1:31" x14ac:dyDescent="0.25">
      <c r="A99" s="9"/>
      <c r="B99" s="8"/>
      <c r="C99" s="130" t="str">
        <f>Model!C184</f>
        <v>Accounts Receivables as a % of Sales</v>
      </c>
      <c r="D99" s="8"/>
      <c r="E99" s="8"/>
      <c r="F99" s="8"/>
      <c r="G99" s="157">
        <f>Model!P184</f>
        <v>0</v>
      </c>
      <c r="H99" s="157">
        <f>Model!Q184</f>
        <v>0</v>
      </c>
      <c r="I99" s="157">
        <f>Model!R184</f>
        <v>0</v>
      </c>
      <c r="J99" s="158">
        <f>Model!S184</f>
        <v>0</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v>
      </c>
      <c r="U99" s="144">
        <f>Model!O184</f>
        <v>0</v>
      </c>
      <c r="V99" s="160">
        <f>Model!T184</f>
        <v>0</v>
      </c>
      <c r="W99" s="144">
        <f>Model!Y184</f>
        <v>0.479106560218587</v>
      </c>
      <c r="X99" s="144">
        <f>Model!AD184</f>
        <v>0.4863761391181681</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v>
      </c>
      <c r="H100" s="157">
        <f>Model!Q185</f>
        <v>0</v>
      </c>
      <c r="I100" s="157">
        <f>Model!R185</f>
        <v>0</v>
      </c>
      <c r="J100" s="158">
        <f>Model!S185</f>
        <v>0</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v>
      </c>
      <c r="U100" s="144">
        <f>Model!O185</f>
        <v>0</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v>
      </c>
      <c r="H101" s="157">
        <f>Model!Q186</f>
        <v>0</v>
      </c>
      <c r="I101" s="157">
        <f>Model!R186</f>
        <v>0</v>
      </c>
      <c r="J101" s="158">
        <f>Model!S186</f>
        <v>0</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v>
      </c>
      <c r="U101" s="144">
        <f>Model!O186</f>
        <v>0</v>
      </c>
      <c r="V101" s="160">
        <f>Model!T186</f>
        <v>0</v>
      </c>
      <c r="W101" s="144">
        <f>Model!Y186</f>
        <v>0.8210152596574571</v>
      </c>
      <c r="X101" s="144">
        <f>Model!AD186</f>
        <v>0.7893550781205677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v>
      </c>
      <c r="H102" s="157">
        <f t="shared" si="68"/>
        <v>0</v>
      </c>
      <c r="I102" s="157">
        <f t="shared" si="68"/>
        <v>0</v>
      </c>
      <c r="J102" s="158">
        <f t="shared" si="68"/>
        <v>0</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v>
      </c>
      <c r="U102" s="157">
        <f t="shared" si="69"/>
        <v>0</v>
      </c>
      <c r="V102" s="158">
        <f t="shared" si="69"/>
        <v>0</v>
      </c>
      <c r="W102" s="157">
        <f t="shared" si="69"/>
        <v>-0.34190869943887015</v>
      </c>
      <c r="X102" s="157">
        <f t="shared" si="69"/>
        <v>-0.3029789390023996</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t="str">
        <f t="shared" ref="G105:R105" si="70">IF(ISERROR(G38/G52),"NA",(G38/G52))</f>
        <v>NA</v>
      </c>
      <c r="H105" s="151" t="str">
        <f t="shared" si="70"/>
        <v>NA</v>
      </c>
      <c r="I105" s="151" t="str">
        <f t="shared" si="70"/>
        <v>NA</v>
      </c>
      <c r="J105" s="152" t="str">
        <f t="shared" si="70"/>
        <v>NA</v>
      </c>
      <c r="K105" s="151">
        <f t="shared" si="70"/>
        <v>1.2301230361177187</v>
      </c>
      <c r="L105" s="151">
        <f t="shared" si="70"/>
        <v>1.2331212307340993</v>
      </c>
      <c r="M105" s="151">
        <f t="shared" si="70"/>
        <v>1.2224540419533996</v>
      </c>
      <c r="N105" s="153">
        <f t="shared" si="70"/>
        <v>1.7387308479170225</v>
      </c>
      <c r="O105" s="155">
        <f t="shared" si="70"/>
        <v>1.1943237364049544</v>
      </c>
      <c r="P105" s="155">
        <f t="shared" si="70"/>
        <v>1.1784436456838283</v>
      </c>
      <c r="Q105" s="155">
        <f t="shared" si="70"/>
        <v>1.1819546752334362</v>
      </c>
      <c r="R105" s="155">
        <f t="shared" si="70"/>
        <v>1.7217741295399114</v>
      </c>
      <c r="S105" s="8"/>
      <c r="T105" s="155">
        <f t="shared" ref="T105:AA105" si="71">IF(ISERROR(T38/T52),"NA",(T38/T52))</f>
        <v>18.36317183951552</v>
      </c>
      <c r="U105" s="155">
        <f t="shared" si="71"/>
        <v>8.615135899767605</v>
      </c>
      <c r="V105" s="156">
        <f t="shared" si="71"/>
        <v>27.42193140794224</v>
      </c>
      <c r="W105" s="155">
        <f t="shared" si="71"/>
        <v>1.6326908966984337</v>
      </c>
      <c r="X105" s="155">
        <f t="shared" si="71"/>
        <v>1.6197750034472191</v>
      </c>
      <c r="Y105" s="155">
        <f t="shared" si="71"/>
        <v>1.2427255513219384</v>
      </c>
      <c r="Z105" s="155">
        <f t="shared" si="71"/>
        <v>1.3118164195392708</v>
      </c>
      <c r="AA105" s="155">
        <f t="shared" si="71"/>
        <v>1.414122006558857</v>
      </c>
      <c r="AB105" s="8"/>
      <c r="AC105" s="8"/>
      <c r="AD105" s="8"/>
      <c r="AE105" s="8"/>
    </row>
    <row r="106" ht="15.75" customHeight="1" spans="1:31" x14ac:dyDescent="0.25">
      <c r="A106" s="9"/>
      <c r="B106" s="8"/>
      <c r="C106" s="130" t="s">
        <v>131</v>
      </c>
      <c r="D106" s="8"/>
      <c r="E106" s="8"/>
      <c r="F106" s="8"/>
      <c r="G106" s="151" t="str">
        <f t="shared" ref="G106:R106" si="72">IF(ISERROR((G34+G35)/G52),"NA",((G34+G35)/G52))</f>
        <v>NA</v>
      </c>
      <c r="H106" s="151" t="str">
        <f t="shared" si="72"/>
        <v>NA</v>
      </c>
      <c r="I106" s="151" t="str">
        <f t="shared" si="72"/>
        <v>NA</v>
      </c>
      <c r="J106" s="152" t="str">
        <f t="shared" si="72"/>
        <v>NA</v>
      </c>
      <c r="K106" s="151">
        <f t="shared" si="72"/>
        <v>1.0206946699230899</v>
      </c>
      <c r="L106" s="151">
        <f t="shared" si="72"/>
        <v>0.2693271999657676</v>
      </c>
      <c r="M106" s="151">
        <f t="shared" si="72"/>
        <v>0.23667447957462642</v>
      </c>
      <c r="N106" s="153">
        <f t="shared" si="72"/>
        <v>0.19154030327214683</v>
      </c>
      <c r="O106" s="155">
        <f t="shared" si="72"/>
        <v>0.2538375503384576</v>
      </c>
      <c r="P106" s="155">
        <f t="shared" si="72"/>
        <v>0.21583267304085718</v>
      </c>
      <c r="Q106" s="155">
        <f t="shared" si="72"/>
        <v>0.18944099378881987</v>
      </c>
      <c r="R106" s="155">
        <f t="shared" si="72"/>
        <v>0.19154030327214686</v>
      </c>
      <c r="S106" s="8"/>
      <c r="T106" s="155">
        <f t="shared" ref="T106:AA106" si="73">IF(ISERROR((T34+T35)/T52),"NA",((T34+T35)/T52))</f>
        <v>18.36317183951552</v>
      </c>
      <c r="U106" s="155">
        <f t="shared" si="73"/>
        <v>8.615135899767605</v>
      </c>
      <c r="V106" s="156">
        <f t="shared" si="73"/>
        <v>27.42193140794224</v>
      </c>
      <c r="W106" s="155">
        <f t="shared" si="73"/>
        <v>0.17985883777120149</v>
      </c>
      <c r="X106" s="155">
        <f t="shared" si="73"/>
        <v>0.18019331924555512</v>
      </c>
      <c r="Y106" s="155">
        <f t="shared" si="73"/>
        <v>0.1800280682873836</v>
      </c>
      <c r="Z106" s="155">
        <f t="shared" si="73"/>
        <v>0.17674349330125647</v>
      </c>
      <c r="AA106" s="155">
        <f t="shared" si="73"/>
        <v>0.17408474946837296</v>
      </c>
      <c r="AB106" s="8"/>
      <c r="AC106" s="8"/>
      <c r="AD106" s="8"/>
      <c r="AE106" s="8"/>
    </row>
    <row r="107" ht="15.75" customHeight="1" spans="1:31" x14ac:dyDescent="0.25">
      <c r="A107" s="9"/>
      <c r="B107" s="8"/>
      <c r="C107" s="130" t="s">
        <v>132</v>
      </c>
      <c r="D107" s="8"/>
      <c r="E107" s="8"/>
      <c r="F107" s="8"/>
      <c r="G107" s="151" t="str">
        <f t="shared" ref="G107:R107" si="74">IF(ISERROR(G34/G52),"NA",(G34/G52))</f>
        <v>NA</v>
      </c>
      <c r="H107" s="151" t="str">
        <f t="shared" si="74"/>
        <v>NA</v>
      </c>
      <c r="I107" s="151" t="str">
        <f t="shared" si="74"/>
        <v>NA</v>
      </c>
      <c r="J107" s="152" t="str">
        <f t="shared" si="74"/>
        <v>NA</v>
      </c>
      <c r="K107" s="151">
        <f t="shared" si="74"/>
        <v>0.8498472122959712</v>
      </c>
      <c r="L107" s="151">
        <f t="shared" si="74"/>
        <v>0.1002747118948746</v>
      </c>
      <c r="M107" s="151">
        <f t="shared" si="74"/>
        <v>0.04723348578580657</v>
      </c>
      <c r="N107" s="153">
        <f t="shared" si="74"/>
        <v>0</v>
      </c>
      <c r="O107" s="155">
        <f t="shared" si="74"/>
        <v>0.08299009271133895</v>
      </c>
      <c r="P107" s="155">
        <f t="shared" si="74"/>
        <v>0.04678018496996419</v>
      </c>
      <c r="Q107" s="155">
        <f t="shared" si="74"/>
        <v>0</v>
      </c>
      <c r="R107" s="155">
        <f t="shared" si="74"/>
        <v>0</v>
      </c>
      <c r="S107" s="8"/>
      <c r="T107" s="155">
        <f t="shared" ref="T107:AA107" si="75">IF(ISERROR(T34/T52),"NA",(T34/T52))</f>
        <v>18.36317183951552</v>
      </c>
      <c r="U107" s="155">
        <f t="shared" si="75"/>
        <v>8.615135899767605</v>
      </c>
      <c r="V107" s="156">
        <f t="shared" si="75"/>
        <v>27.42193140794224</v>
      </c>
      <c r="W107" s="155">
        <f t="shared" si="75"/>
        <v>0</v>
      </c>
      <c r="X107" s="155">
        <f t="shared" si="75"/>
        <v>0</v>
      </c>
      <c r="Y107" s="155">
        <f t="shared" si="75"/>
        <v>2.1725568778038487e-17</v>
      </c>
      <c r="Z107" s="155">
        <f t="shared" si="75"/>
        <v>-6.952853445582296e-18</v>
      </c>
      <c r="AA107" s="155">
        <f t="shared" si="75"/>
        <v>-6.687981564571147e-18</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14560.624124511742</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14560.624124511742</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1174.2438810090114</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29.876778359427067</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24179.849008052126</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24179.849008052126</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1949.98782323001</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50.27498877807021</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13583.18</v>
      </c>
      <c r="E21" s="106">
        <f>Summary!U8</f>
        <v>15257.969000000001</v>
      </c>
      <c r="F21" s="107">
        <f>Summary!V8</f>
        <v>14057.077000000001</v>
      </c>
      <c r="G21" s="106">
        <f>Summary!W8</f>
        <v>15224.928510000002</v>
      </c>
      <c r="H21" s="106">
        <f>Summary!X8</f>
        <v>16254.2298854</v>
      </c>
      <c r="I21" s="106">
        <f>Summary!Y8</f>
        <v>17128.390803084003</v>
      </c>
      <c r="J21" s="106">
        <f>Summary!Z8</f>
        <v>17784.316566345242</v>
      </c>
      <c r="K21" s="107">
        <f>Summary!AA8</f>
        <v>18210.52559526321</v>
      </c>
      <c r="L21" s="106"/>
      <c r="M21" s="203">
        <f>Summary!AC8</f>
        <v>0.01729470485840401</v>
      </c>
      <c r="N21" s="204"/>
      <c r="O21" s="203">
        <f>Summary!AE8</f>
        <v>0.053138503992367525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0.12329874153180631</v>
      </c>
      <c r="F22" s="112">
        <f>Summary!V9</f>
        <v>-0.0787058880510243</v>
      </c>
      <c r="G22" s="111">
        <f>Summary!W9</f>
        <v>0.08307925680424177</v>
      </c>
      <c r="H22" s="111">
        <f>Summary!X9</f>
        <v>0.06760631911827608</v>
      </c>
      <c r="I22" s="111">
        <f>Summary!Y9</f>
        <v>0.053780518907831976</v>
      </c>
      <c r="J22" s="111">
        <f>Summary!Z9</f>
        <v>0.03829465189124126</v>
      </c>
      <c r="K22" s="112">
        <f>Summary!AA9</f>
        <v>0.02396544322228955</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12651.480000000001</v>
      </c>
      <c r="E24" s="106">
        <f>Summary!U11</f>
        <v>14147.269</v>
      </c>
      <c r="F24" s="107">
        <f>Summary!V11</f>
        <v>14057.077000000001</v>
      </c>
      <c r="G24" s="106">
        <f>Summary!W11</f>
        <v>12136.94651</v>
      </c>
      <c r="H24" s="106">
        <f>Summary!X11</f>
        <v>13139.8895654</v>
      </c>
      <c r="I24" s="106">
        <f>Summary!Y11</f>
        <v>13709.464803084004</v>
      </c>
      <c r="J24" s="106">
        <f>Summary!Z11</f>
        <v>14050.390566345242</v>
      </c>
      <c r="K24" s="107">
        <f>Summary!AA11</f>
        <v>14161.599595263211</v>
      </c>
      <c r="L24" s="106"/>
      <c r="M24" s="109">
        <f>Summary!AC11</f>
        <v>0.0540879417431972</v>
      </c>
      <c r="N24" s="204"/>
      <c r="O24" s="109">
        <f>Summary!AE11</f>
        <v>0.001482713658556678</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0.927205252547046</v>
      </c>
      <c r="F25" s="112">
        <f>Summary!V12</f>
        <v>1</v>
      </c>
      <c r="G25" s="111">
        <f>Summary!W12</f>
        <v>0.7971759277574433</v>
      </c>
      <c r="H25" s="111">
        <f>Summary!X12</f>
        <v>0.8083981620810355</v>
      </c>
      <c r="I25" s="111">
        <f>Summary!Y12</f>
        <v>0.8003942086968021</v>
      </c>
      <c r="J25" s="111">
        <f>Summary!Z12</f>
        <v>0.7900438857984556</v>
      </c>
      <c r="K25" s="112">
        <f>Summary!AA12</f>
        <v>0.7776601241507727</v>
      </c>
      <c r="L25" s="111"/>
      <c r="M25" s="109"/>
      <c r="N25" s="204"/>
      <c r="O25" s="109"/>
      <c r="P25" s="4"/>
      <c r="Q25" s="4"/>
      <c r="R25" s="74" t="str">
        <f>Model!Y25</f>
        <v>2026e</v>
      </c>
      <c r="S25" s="209">
        <f>('MM Banking Comparables'!$H$10*S30)/(Model!Y61)</f>
        <v>7.787792235901523</v>
      </c>
      <c r="T25" s="209">
        <f>('MM Banking Comparables'!$G$10*S30)/Summary!W19</f>
        <v>6.393175633675492</v>
      </c>
      <c r="U25" s="209">
        <f t="shared" si="0"/>
        <v>6.393175633675492</v>
      </c>
      <c r="W25" s="8"/>
      <c r="X25" s="8"/>
      <c r="Y25" s="8"/>
      <c r="Z25" s="8"/>
      <c r="AA25" s="8"/>
      <c r="AB25" s="8"/>
      <c r="AC25" s="8"/>
      <c r="AD25" s="8"/>
    </row>
    <row r="26" ht="15.75" customHeight="1" spans="1:30" x14ac:dyDescent="0.25">
      <c r="A26" s="4"/>
      <c r="B26" s="110" t="str">
        <f>Summary!C13</f>
        <v>YoY % Growth</v>
      </c>
      <c r="C26" s="8"/>
      <c r="D26" s="202"/>
      <c r="E26" s="111">
        <f>Summary!U13</f>
        <v>0.11823035723883679</v>
      </c>
      <c r="F26" s="112">
        <f>Summary!V13</f>
        <v>-0.006375223373500494</v>
      </c>
      <c r="G26" s="111">
        <f>Summary!W13</f>
        <v>-0.13659528862223647</v>
      </c>
      <c r="H26" s="111">
        <f>Summary!X13</f>
        <v>0.08263553395194134</v>
      </c>
      <c r="I26" s="111">
        <f>Summary!Y13</f>
        <v>0.04334703384294869</v>
      </c>
      <c r="J26" s="111">
        <f>Summary!Z13</f>
        <v>0.024867911924945973</v>
      </c>
      <c r="K26" s="112">
        <f>Summary!AA13</f>
        <v>0.007915013350898947</v>
      </c>
      <c r="L26" s="111"/>
      <c r="M26" s="109"/>
      <c r="N26" s="204"/>
      <c r="O26" s="109"/>
      <c r="P26" s="4"/>
      <c r="Q26" s="4"/>
      <c r="R26" s="74" t="str">
        <f>Summary!AA6</f>
        <v>2030e</v>
      </c>
      <c r="S26" s="209">
        <f>('MM Banking Comparables'!$H$10*S30)/(Model!AG61)</f>
        <v>6.837963109191095</v>
      </c>
      <c r="T26" s="209">
        <f>('MM Banking Comparables'!$G$10*S30)/Summary!AA19</f>
        <v>5.592351774589311</v>
      </c>
      <c r="U26" s="209">
        <f t="shared" si="0"/>
        <v>5.592351774589311</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7.062892845939477</v>
      </c>
      <c r="U27" s="209">
        <f t="shared" si="0"/>
        <v>7.062892845939477</v>
      </c>
      <c r="W27" s="8"/>
      <c r="X27" s="8"/>
      <c r="Y27" s="8"/>
      <c r="Z27" s="8"/>
      <c r="AA27" s="8"/>
      <c r="AB27" s="8"/>
      <c r="AC27" s="8"/>
      <c r="AD27" s="8"/>
    </row>
    <row r="28" ht="15.75" customHeight="1" spans="1:30" x14ac:dyDescent="0.25">
      <c r="A28" s="4"/>
      <c r="B28" s="8" t="str">
        <f>Summary!C27</f>
        <v>EBITDA</v>
      </c>
      <c r="C28" s="8"/>
      <c r="D28" s="202">
        <f>Summary!T27</f>
        <v>9097.364000000001</v>
      </c>
      <c r="E28" s="106">
        <f>Summary!U27</f>
        <v>11514.990000000002</v>
      </c>
      <c r="F28" s="107">
        <f>Summary!V27</f>
        <v>11185.123000000001</v>
      </c>
      <c r="G28" s="106">
        <f>Summary!W27</f>
        <v>2159.1485096999995</v>
      </c>
      <c r="H28" s="106">
        <f>Summary!X27</f>
        <v>2584.3838486212508</v>
      </c>
      <c r="I28" s="106">
        <f>Summary!Y27</f>
        <v>2491.510857821428</v>
      </c>
      <c r="J28" s="106">
        <f>Summary!Z27</f>
        <v>2579.583375534431</v>
      </c>
      <c r="K28" s="107">
        <f>Summary!AA27</f>
        <v>2459.0656210763254</v>
      </c>
      <c r="L28" s="106"/>
      <c r="M28" s="109">
        <f>Summary!AC15</f>
        <v>0.1128328447011917</v>
      </c>
      <c r="N28" s="204"/>
      <c r="O28" s="109">
        <f>Summary!AE15</f>
        <v>-0.24317627168653222</v>
      </c>
      <c r="P28" s="4"/>
      <c r="Q28" s="4"/>
      <c r="R28" s="74" t="s">
        <v>146</v>
      </c>
      <c r="S28" s="209">
        <f>Valuation!K83</f>
        <v>14.5460925603302</v>
      </c>
      <c r="T28" s="209">
        <f>Valuation!R76/Summary!AA19</f>
        <v>11.728871037016406</v>
      </c>
      <c r="U28" s="209">
        <f t="shared" si="0"/>
        <v>11.728871037016406</v>
      </c>
      <c r="W28" s="8"/>
      <c r="X28" s="8"/>
      <c r="Y28" s="8"/>
      <c r="Z28" s="8"/>
      <c r="AA28" s="8"/>
      <c r="AB28" s="8"/>
      <c r="AC28" s="8"/>
      <c r="AD28" s="8"/>
    </row>
    <row r="29" ht="15.75" customHeight="1" spans="1:30" x14ac:dyDescent="0.25">
      <c r="A29" s="4"/>
      <c r="B29" s="110" t="str">
        <f>Summary!C28</f>
        <v>Margin</v>
      </c>
      <c r="C29" s="8"/>
      <c r="D29" s="202"/>
      <c r="E29" s="111">
        <f>Summary!U28</f>
        <v>0.7546869442453318</v>
      </c>
      <c r="F29" s="112">
        <f>Summary!V28</f>
        <v>0.7956933721000462</v>
      </c>
      <c r="G29" s="111">
        <f>Summary!W28</f>
        <v>0.14181665997852355</v>
      </c>
      <c r="H29" s="111">
        <f>Summary!X28</f>
        <v>0.15899761888704528</v>
      </c>
      <c r="I29" s="111">
        <f>Summary!Y28</f>
        <v>0.1454608834224419</v>
      </c>
      <c r="J29" s="111">
        <f>Summary!Z28</f>
        <v>0.14504821514569718</v>
      </c>
      <c r="K29" s="112">
        <f>Summary!AA28</f>
        <v>0.13503540071989792</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0.2736114094199982</v>
      </c>
      <c r="F30" s="112">
        <f>Summary!V17</f>
        <v>-0.027649304107826733</v>
      </c>
      <c r="G30" s="111">
        <f>Summary!W17</f>
        <v>-0.7837333533253661</v>
      </c>
      <c r="H30" s="111">
        <f>Summary!X17</f>
        <v>0.15793577165565686</v>
      </c>
      <c r="I30" s="111">
        <f>Summary!Y17</f>
        <v>-0.03364880396796921</v>
      </c>
      <c r="J30" s="111">
        <f>Summary!Z17</f>
        <v>0.05075138179805827</v>
      </c>
      <c r="K30" s="112">
        <f>Summary!AA17</f>
        <v>-0.02351691687209312</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7915.7</v>
      </c>
      <c r="E32" s="106">
        <f>Summary!U19</f>
        <v>9981.275000000001</v>
      </c>
      <c r="F32" s="107">
        <f>Summary!V19</f>
        <v>10885.807</v>
      </c>
      <c r="G32" s="106">
        <f>Summary!W19</f>
        <v>1803.3300507609981</v>
      </c>
      <c r="H32" s="106">
        <f>Summary!X19</f>
        <v>2065.3454426024796</v>
      </c>
      <c r="I32" s="106">
        <f>Summary!Y19</f>
        <v>2009.243998669339</v>
      </c>
      <c r="J32" s="106">
        <f>Summary!Z19</f>
        <v>2111.2159079712637</v>
      </c>
      <c r="K32" s="107">
        <f>Summary!AA19</f>
        <v>2061.566618964463</v>
      </c>
      <c r="L32" s="106"/>
      <c r="M32" s="109">
        <f>Summary!AC19</f>
        <v>0.172696561999097</v>
      </c>
      <c r="N32" s="204"/>
      <c r="O32" s="109">
        <f>Summary!AE19</f>
        <v>-0.28308552587658486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0.6541679957535633</v>
      </c>
      <c r="F33" s="112">
        <f>Summary!V20</f>
        <v>0.7744004674656046</v>
      </c>
      <c r="G33" s="111">
        <f>Summary!W20</f>
        <v>0.11844587970160511</v>
      </c>
      <c r="H33" s="111">
        <f>Summary!X20</f>
        <v>0.1270651059548278</v>
      </c>
      <c r="I33" s="111">
        <f>Summary!Y20</f>
        <v>0.11730488997878133</v>
      </c>
      <c r="J33" s="111">
        <f>Summary!Z20</f>
        <v>0.11871223165058224</v>
      </c>
      <c r="K33" s="112">
        <f>Summary!AA20</f>
        <v>0.11320741997148631</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0.26094659979534374</v>
      </c>
      <c r="F34" s="112">
        <f>Summary!V21</f>
        <v>0.0906228913640792</v>
      </c>
      <c r="G34" s="111">
        <f>Summary!W21</f>
        <v>-0.8343411700426989</v>
      </c>
      <c r="H34" s="111">
        <f>Summary!X21</f>
        <v>0.1452953061647877</v>
      </c>
      <c r="I34" s="111">
        <f>Summary!Y21</f>
        <v>-0.027163225471110053</v>
      </c>
      <c r="J34" s="111">
        <f>Summary!Z21</f>
        <v>0.05075138179805827</v>
      </c>
      <c r="K34" s="112">
        <f>Summary!AA21</f>
        <v>-0.02351691687209312</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33.60095076400679</v>
      </c>
      <c r="E36" s="106">
        <f>Summary!U23</f>
        <v>44.42644613321413</v>
      </c>
      <c r="F36" s="107">
        <f>Summary!V23</f>
        <v>63.22131582786288</v>
      </c>
      <c r="G36" s="106">
        <f>Summary!W23</f>
        <v>7.553356919260727</v>
      </c>
      <c r="H36" s="106">
        <f>Summary!X23</f>
        <v>10.424382524293941</v>
      </c>
      <c r="I36" s="106">
        <f>Summary!Y23</f>
        <v>11.346122501726237</v>
      </c>
      <c r="J36" s="106">
        <f>Summary!Z23</f>
        <v>12.237875954961728</v>
      </c>
      <c r="K36" s="107">
        <f>Summary!AA23</f>
        <v>12.228130360664792</v>
      </c>
      <c r="L36" s="106"/>
      <c r="M36" s="109">
        <f>Summary!AC23</f>
        <v>0.37169003046875515</v>
      </c>
      <c r="N36" s="204"/>
      <c r="O36" s="109">
        <f>Summary!AE23</f>
        <v>-0.2800550232322303</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0.32217824564665487</v>
      </c>
      <c r="F37" s="112">
        <f>Summary!V24</f>
        <v>0.42305588968993235</v>
      </c>
      <c r="G37" s="111">
        <f>Summary!W24</f>
        <v>-0.8805251548413389</v>
      </c>
      <c r="H37" s="111">
        <f>Summary!X24</f>
        <v>0.3800992903846798</v>
      </c>
      <c r="I37" s="111">
        <f>Summary!Y24</f>
        <v>0.08842154202267505</v>
      </c>
      <c r="J37" s="111">
        <f>Summary!Z24</f>
        <v>0.0785954367317836</v>
      </c>
      <c r="K37" s="112">
        <f>Summary!AA24</f>
        <v>-0.0007963468769255355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7982.099999999999</v>
      </c>
      <c r="E39" s="106">
        <f>Model!O112</f>
        <v>9981.175000000001</v>
      </c>
      <c r="F39" s="107">
        <f>Model!T112</f>
        <v>10878.807</v>
      </c>
      <c r="G39" s="106">
        <f>Model!Y112</f>
        <v>2469.790417124992</v>
      </c>
      <c r="H39" s="106">
        <f>Model!AD112</f>
        <v>1993.101662582752</v>
      </c>
      <c r="I39" s="106">
        <f>Model!AE112</f>
        <v>2215.2793857433153</v>
      </c>
      <c r="J39" s="106">
        <f>Model!AF112</f>
        <v>2381.423462658531</v>
      </c>
      <c r="K39" s="107">
        <f>Model!AG112</f>
        <v>2107.51004649074</v>
      </c>
      <c r="L39" s="4"/>
      <c r="M39" s="109">
        <f>IFERROR((F39/D39)^(1/2)-1,"N/A")</f>
        <v>0.16743323773383967</v>
      </c>
      <c r="N39" s="4"/>
      <c r="O39" s="109">
        <f>IFERROR((K39/G39)^(1/4)-1,"N/A")</f>
        <v>-0.03888050128440512</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0.25044474511720005</v>
      </c>
      <c r="F40" s="112">
        <f t="shared" si="1"/>
        <v>0.08993249792734814</v>
      </c>
      <c r="G40" s="111">
        <f t="shared" si="1"/>
        <v>-0.772972310555285</v>
      </c>
      <c r="H40" s="111">
        <f t="shared" si="1"/>
        <v>-0.1930077755735804</v>
      </c>
      <c r="I40" s="111">
        <f t="shared" si="1"/>
        <v>0.11147335197776886</v>
      </c>
      <c r="J40" s="111">
        <f t="shared" si="1"/>
        <v>0.07499915269579782</v>
      </c>
      <c r="K40" s="112">
        <f t="shared" si="1"/>
        <v>-0.11502087741337885</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1.0225489493440076</v>
      </c>
      <c r="E45" s="151">
        <f>Summary!U93</f>
        <v>0.9282248616802966</v>
      </c>
      <c r="F45" s="152">
        <f>Summary!V93</f>
        <v>1.2493201907569544</v>
      </c>
      <c r="G45" s="151">
        <f>Summary!W93</f>
        <v>14.11298339558217</v>
      </c>
      <c r="H45" s="151">
        <f>Summary!X93</f>
        <v>13.698524582200122</v>
      </c>
      <c r="I45" s="151">
        <f>Summary!Y93</f>
        <v>10.837881069927793</v>
      </c>
      <c r="J45" s="151">
        <f>Summary!Z93</f>
        <v>14.712170494642066</v>
      </c>
      <c r="K45" s="152">
        <f>Summary!AA93</f>
        <v>20.767753825916245</v>
      </c>
      <c r="L45" s="4"/>
      <c r="M45" s="214">
        <f t="shared" ref="M45:M47" si="3">AVERAGE(D45:F45)</f>
        <v>1.066698000593753</v>
      </c>
      <c r="N45" s="204"/>
      <c r="O45" s="214">
        <f t="shared" ref="O45:O47" si="4">AVERAGE(G45:K45)</f>
        <v>14.82586267365368</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0.9035500947015687</v>
      </c>
      <c r="E46" s="151">
        <f>Summary!U94</f>
        <v>1.0904296018200184</v>
      </c>
      <c r="F46" s="152">
        <f>Summary!V94</f>
        <v>1.3666308068459656</v>
      </c>
      <c r="G46" s="151">
        <f>Summary!W94</f>
        <v>2.470814501218163</v>
      </c>
      <c r="H46" s="151">
        <f>Summary!X94</f>
        <v>2.5256740916233147</v>
      </c>
      <c r="I46" s="151">
        <f>Summary!Y94</f>
        <v>1.7450471207932763</v>
      </c>
      <c r="J46" s="151">
        <f>Summary!Z94</f>
        <v>2.2395150020145578</v>
      </c>
      <c r="K46" s="152">
        <f>Summary!AA94</f>
        <v>2.790471014756086</v>
      </c>
      <c r="L46" s="4"/>
      <c r="M46" s="215">
        <f t="shared" si="3"/>
        <v>1.1202035011225175</v>
      </c>
      <c r="N46" s="204"/>
      <c r="O46" s="215">
        <f t="shared" si="4"/>
        <v>2.3543043460810797</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0.15678194627026662</v>
      </c>
      <c r="E47" s="151">
        <f>Summary!U95</f>
        <v>0.16395366316829313</v>
      </c>
      <c r="F47" s="152">
        <f>Summary!V95</f>
        <v>0.1859996459380711</v>
      </c>
      <c r="G47" s="151">
        <f>Summary!W95</f>
        <v>0.22766320162122247</v>
      </c>
      <c r="H47" s="151">
        <f>Summary!X95</f>
        <v>0.24622756853186387</v>
      </c>
      <c r="I47" s="151">
        <f>Summary!Y95</f>
        <v>0.17336425286133098</v>
      </c>
      <c r="J47" s="151">
        <f>Summary!Z95</f>
        <v>0.22221275674455232</v>
      </c>
      <c r="K47" s="152">
        <f>Summary!AA95</f>
        <v>0.27185995700597354</v>
      </c>
      <c r="L47" s="4"/>
      <c r="M47" s="215">
        <f t="shared" si="3"/>
        <v>0.1689117517922103</v>
      </c>
      <c r="N47" s="204"/>
      <c r="O47" s="215">
        <f t="shared" si="4"/>
        <v>0.22826554735298865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18.36317183951552</v>
      </c>
      <c r="E50" s="151">
        <f>Summary!U105</f>
        <v>8.615135899767605</v>
      </c>
      <c r="F50" s="152">
        <f>Summary!V105</f>
        <v>27.42193140794224</v>
      </c>
      <c r="G50" s="151">
        <f>Summary!W105</f>
        <v>1.6326908966984337</v>
      </c>
      <c r="H50" s="151">
        <f>Summary!X105</f>
        <v>1.6197750034472191</v>
      </c>
      <c r="I50" s="151">
        <f>Summary!Y105</f>
        <v>1.2427255513219384</v>
      </c>
      <c r="J50" s="151">
        <f>Summary!Z105</f>
        <v>1.3118164195392708</v>
      </c>
      <c r="K50" s="152">
        <f>Summary!AA105</f>
        <v>1.414122006558857</v>
      </c>
      <c r="L50" s="4"/>
      <c r="M50" s="215">
        <f t="shared" ref="M50:M52" si="5">AVERAGE(D50:F50)</f>
        <v>18.13341304907512</v>
      </c>
      <c r="N50" s="204"/>
      <c r="O50" s="215">
        <f t="shared" ref="O50:O52" si="6">AVERAGE(G50:K50)</f>
        <v>1.444225975513144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18.36317183951552</v>
      </c>
      <c r="E51" s="151">
        <f>Summary!U106</f>
        <v>8.615135899767605</v>
      </c>
      <c r="F51" s="152">
        <f>Summary!V106</f>
        <v>27.42193140794224</v>
      </c>
      <c r="G51" s="151">
        <f>Summary!W106</f>
        <v>0.17985883777120149</v>
      </c>
      <c r="H51" s="151">
        <f>Summary!X106</f>
        <v>0.18019331924555512</v>
      </c>
      <c r="I51" s="151">
        <f>Summary!Y106</f>
        <v>0.1800280682873836</v>
      </c>
      <c r="J51" s="151">
        <f>Summary!Z106</f>
        <v>0.17674349330125647</v>
      </c>
      <c r="K51" s="152">
        <f>Summary!AA106</f>
        <v>0.17408474946837296</v>
      </c>
      <c r="L51" s="4"/>
      <c r="M51" s="215">
        <f t="shared" si="5"/>
        <v>18.13341304907512</v>
      </c>
      <c r="N51" s="204"/>
      <c r="O51" s="215">
        <f t="shared" si="6"/>
        <v>0.17818169361475394</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18.36317183951552</v>
      </c>
      <c r="E52" s="151">
        <f>Summary!U107</f>
        <v>8.615135899767605</v>
      </c>
      <c r="F52" s="152">
        <f>Summary!V107</f>
        <v>27.42193140794224</v>
      </c>
      <c r="G52" s="151">
        <f>Summary!W107</f>
        <v>0</v>
      </c>
      <c r="H52" s="151">
        <f>Summary!X107</f>
        <v>0</v>
      </c>
      <c r="I52" s="151">
        <f>Summary!Y107</f>
        <v>2.1725568778038487e-17</v>
      </c>
      <c r="J52" s="151">
        <f>Summary!Z107</f>
        <v>-6.952853445582296e-18</v>
      </c>
      <c r="K52" s="152">
        <f>Summary!AA107</f>
        <v>-6.687981564571147e-18</v>
      </c>
      <c r="L52" s="4"/>
      <c r="M52" s="215">
        <f t="shared" si="5"/>
        <v>18.13341304907512</v>
      </c>
      <c r="N52" s="204"/>
      <c r="O52" s="215">
        <f t="shared" si="6"/>
        <v>1.616946753577009e-18</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0.13340917517780698</v>
      </c>
      <c r="E55" s="148">
        <f>Summary!U81</f>
        <v>0.15310535616224027</v>
      </c>
      <c r="F55" s="149">
        <f>Summary!V81</f>
        <v>0.14489660992358386</v>
      </c>
      <c r="G55" s="148">
        <f>Summary!W81</f>
        <v>0.013473074569239988</v>
      </c>
      <c r="H55" s="148">
        <f>Summary!X81</f>
        <v>0.014364766323145891</v>
      </c>
      <c r="I55" s="148">
        <f>Summary!Y81</f>
        <v>0.012899862079785204</v>
      </c>
      <c r="J55" s="148">
        <f>Summary!Z81</f>
        <v>0.012361617983459151</v>
      </c>
      <c r="K55" s="149">
        <f>Summary!AA81</f>
        <v>0.010974455251067534</v>
      </c>
      <c r="L55" s="4"/>
      <c r="M55" s="109">
        <f t="shared" ref="M55:M57" si="7">AVERAGE(D55:F55)</f>
        <v>0.1438037137545437</v>
      </c>
      <c r="N55" s="204"/>
      <c r="O55" s="109">
        <f t="shared" ref="O55:O57" si="8">AVERAGE(G55:K55)</f>
        <v>0.012814755241339553</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0.7688504686513525</v>
      </c>
      <c r="E56" s="148">
        <f>Summary!U82</f>
        <v>1.0182792462839598</v>
      </c>
      <c r="F56" s="149">
        <f>Summary!V82</f>
        <v>1.0646266014669925</v>
      </c>
      <c r="G56" s="148">
        <f>Summary!W82</f>
        <v>0.1462224364087508</v>
      </c>
      <c r="H56" s="148">
        <f>Summary!X82</f>
        <v>0.14734628762699925</v>
      </c>
      <c r="I56" s="148">
        <f>Summary!Y82</f>
        <v>0.12984722518872055</v>
      </c>
      <c r="J56" s="148">
        <f>Summary!Z82</f>
        <v>0.12458343674190706</v>
      </c>
      <c r="K56" s="149">
        <f>Summary!AA82</f>
        <v>0.11264586229655286</v>
      </c>
      <c r="L56" s="4"/>
      <c r="M56" s="109">
        <f t="shared" si="7"/>
        <v>0.9505854388007684</v>
      </c>
      <c r="N56" s="204"/>
      <c r="O56" s="109">
        <f t="shared" si="8"/>
        <v>0.1321290496525861</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0.4039034595366874</v>
      </c>
      <c r="E57" s="148">
        <f>Summary!U83</f>
        <v>0.4871148233824291</v>
      </c>
      <c r="F57" s="149">
        <f>Summary!V83</f>
        <v>0.4498490421012612</v>
      </c>
      <c r="G57" s="148">
        <f>Summary!W83</f>
        <v>0.0421291418361398</v>
      </c>
      <c r="H57" s="148">
        <f>Summary!X83</f>
        <v>0.0417923732590828</v>
      </c>
      <c r="I57" s="148">
        <f>Summary!Y83</f>
        <v>0.04730236658057684</v>
      </c>
      <c r="J57" s="148">
        <f>Summary!Z83</f>
        <v>0.038457434728480136</v>
      </c>
      <c r="K57" s="149">
        <f>Summary!AA83</f>
        <v>0.029718170079135017</v>
      </c>
      <c r="L57" s="4"/>
      <c r="M57" s="109">
        <f t="shared" si="7"/>
        <v>0.4469557750067925</v>
      </c>
      <c r="N57" s="204"/>
      <c r="O57" s="109">
        <f t="shared" si="8"/>
        <v>0.03987989729668292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931.7</v>
      </c>
      <c r="E60" s="106">
        <f>Summary!U86</f>
        <v>1110.7</v>
      </c>
      <c r="F60" s="107">
        <f>Summary!V86</f>
        <v>0</v>
      </c>
      <c r="G60" s="106">
        <f>Summary!W86</f>
        <v>0</v>
      </c>
      <c r="H60" s="106">
        <f>Summary!X86</f>
        <v>0</v>
      </c>
      <c r="I60" s="106">
        <f>Summary!Y86</f>
        <v>0</v>
      </c>
      <c r="J60" s="106">
        <f>Summary!Z86</f>
        <v>0</v>
      </c>
      <c r="K60" s="107">
        <f>Summary!AA86</f>
        <v>0</v>
      </c>
      <c r="L60" s="4"/>
      <c r="M60" s="216">
        <f t="shared" ref="M60:M64" si="9">AVERAGE(D60:F60)</f>
        <v>680.8000000000001</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-228.37392764999998</v>
      </c>
      <c r="H61" s="127">
        <f>Summary!X87</f>
        <v>-243.813448281</v>
      </c>
      <c r="I61" s="127">
        <f>Summary!Y87</f>
        <v>-256.92586204626</v>
      </c>
      <c r="J61" s="127">
        <f>Summary!Z87</f>
        <v>-266.7647484951786</v>
      </c>
      <c r="K61" s="128">
        <f>Summary!AA87</f>
        <v>-273.15788392894814</v>
      </c>
      <c r="L61" s="4"/>
      <c r="M61" s="217">
        <f t="shared" si="9"/>
        <v>-145.66666666666666</v>
      </c>
      <c r="N61" s="127"/>
      <c r="O61" s="217">
        <f t="shared" si="10"/>
        <v>-253.80717408027735</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9.594590533433509</v>
      </c>
      <c r="E62" s="151">
        <f>Summary!U88</f>
        <v>10.25044476456289</v>
      </c>
      <c r="F62" s="152" t="str">
        <f>Summary!V88</f>
        <v>N/A</v>
      </c>
      <c r="G62" s="151" t="str">
        <f>Summary!W88</f>
        <v>N/A</v>
      </c>
      <c r="H62" s="151" t="str">
        <f>Summary!X88</f>
        <v>N/A</v>
      </c>
      <c r="I62" s="151" t="str">
        <f>Summary!Y88</f>
        <v>N/A</v>
      </c>
      <c r="J62" s="151" t="str">
        <f>Summary!Z88</f>
        <v>N/A</v>
      </c>
      <c r="K62" s="152" t="str">
        <f>Summary!AA88</f>
        <v>N/A</v>
      </c>
      <c r="L62" s="4"/>
      <c r="M62" s="215">
        <f t="shared" si="9"/>
        <v>9.922517648998198</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9.764263174841687</v>
      </c>
      <c r="E63" s="151">
        <f>Summary!U89</f>
        <v>10.367326910957056</v>
      </c>
      <c r="F63" s="152" t="str">
        <f>Summary!V89</f>
        <v>N/A</v>
      </c>
      <c r="G63" s="151" t="str">
        <f>Summary!W89</f>
        <v>N/A</v>
      </c>
      <c r="H63" s="151" t="str">
        <f>Summary!X89</f>
        <v>N/A</v>
      </c>
      <c r="I63" s="151" t="str">
        <f>Summary!Y89</f>
        <v>N/A</v>
      </c>
      <c r="J63" s="151" t="str">
        <f>Summary!Z89</f>
        <v>N/A</v>
      </c>
      <c r="K63" s="152" t="str">
        <f>Summary!AA89</f>
        <v>N/A</v>
      </c>
      <c r="L63" s="4"/>
      <c r="M63" s="215">
        <f t="shared" si="9"/>
        <v>10.06579504289937</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9.861934098958894</v>
      </c>
      <c r="E64" s="151">
        <f>Summary!U90</f>
        <v>10.523084541280275</v>
      </c>
      <c r="F64" s="152" t="str">
        <f>Summary!V90</f>
        <v>N/A</v>
      </c>
      <c r="G64" s="151" t="str">
        <f>Summary!W90</f>
        <v>N/A</v>
      </c>
      <c r="H64" s="151" t="str">
        <f>Summary!X90</f>
        <v>N/A</v>
      </c>
      <c r="I64" s="151" t="str">
        <f>Summary!Y90</f>
        <v>N/A</v>
      </c>
      <c r="J64" s="151" t="str">
        <f>Summary!Z90</f>
        <v>N/A</v>
      </c>
      <c r="K64" s="152" t="str">
        <f>Summary!AA90</f>
        <v>N/A</v>
      </c>
      <c r="L64" s="4"/>
      <c r="M64" s="215">
        <f t="shared" si="9"/>
        <v>10.192509320119584</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0.22892742778171032</v>
      </c>
      <c r="E67" s="155">
        <f>Summary!U98</f>
        <v>0.23404592880743402</v>
      </c>
      <c r="F67" s="156">
        <f>Summary!V98</f>
        <v>0.1871081126768812</v>
      </c>
      <c r="G67" s="155">
        <f>Summary!W98</f>
        <v>0.11374878217108136</v>
      </c>
      <c r="H67" s="155">
        <f>Summary!X98</f>
        <v>0.11305044146622463</v>
      </c>
      <c r="I67" s="155">
        <f>Summary!Y98</f>
        <v>0.10996866441048274</v>
      </c>
      <c r="J67" s="155">
        <f>Summary!Z98</f>
        <v>0.10413095442299793</v>
      </c>
      <c r="K67" s="156">
        <f>Summary!AA98</f>
        <v>0.09694113030604957</v>
      </c>
      <c r="L67" s="4"/>
      <c r="M67" s="215">
        <f t="shared" ref="M67:M71" si="11">AVERAGE(D67:F67)</f>
        <v>0.21669382308867516</v>
      </c>
      <c r="N67" s="155"/>
      <c r="O67" s="215">
        <f t="shared" ref="O67:O71" si="12">AVERAGE(G67:K67)</f>
        <v>0.10756799455536725</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v>
      </c>
      <c r="E68" s="157">
        <f>Summary!U99</f>
        <v>0</v>
      </c>
      <c r="F68" s="158">
        <f>Summary!V99</f>
        <v>0</v>
      </c>
      <c r="G68" s="157">
        <f>Summary!W99</f>
        <v>0.479106560218587</v>
      </c>
      <c r="H68" s="157">
        <f>Summary!X99</f>
        <v>0.4863761391181681</v>
      </c>
      <c r="I68" s="157">
        <f>Summary!Y99</f>
        <v>0.66</v>
      </c>
      <c r="J68" s="157">
        <f>Summary!Z99</f>
        <v>0.65</v>
      </c>
      <c r="K68" s="158">
        <f>Summary!AA99</f>
        <v>0.65</v>
      </c>
      <c r="L68" s="4"/>
      <c r="M68" s="218">
        <f t="shared" si="11"/>
        <v>0</v>
      </c>
      <c r="N68" s="157"/>
      <c r="O68" s="218">
        <f t="shared" si="12"/>
        <v>0.585096539867351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v>
      </c>
      <c r="E69" s="157">
        <f>Summary!U100</f>
        <v>0</v>
      </c>
      <c r="F69" s="158">
        <f>Summary!V100</f>
        <v>0</v>
      </c>
      <c r="G69" s="157">
        <f>Summary!W100</f>
        <v>0</v>
      </c>
      <c r="H69" s="157">
        <f>Summary!X100</f>
        <v>0</v>
      </c>
      <c r="I69" s="157">
        <f>Summary!Y100</f>
        <v>0</v>
      </c>
      <c r="J69" s="157">
        <f>Summary!Z100</f>
        <v>0</v>
      </c>
      <c r="K69" s="158">
        <f>Summary!AA100</f>
        <v>0</v>
      </c>
      <c r="L69" s="4"/>
      <c r="M69" s="218">
        <f t="shared" si="11"/>
        <v>0</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v>
      </c>
      <c r="E70" s="157">
        <f>Summary!U101</f>
        <v>0</v>
      </c>
      <c r="F70" s="158">
        <f>Summary!V101</f>
        <v>0</v>
      </c>
      <c r="G70" s="157">
        <f>Summary!W101</f>
        <v>0.8210152596574571</v>
      </c>
      <c r="H70" s="157">
        <f>Summary!X101</f>
        <v>0.7893550781205677</v>
      </c>
      <c r="I70" s="157">
        <f>Summary!Y101</f>
        <v>0.834</v>
      </c>
      <c r="J70" s="157">
        <f>Summary!Z101</f>
        <v>0.82</v>
      </c>
      <c r="K70" s="158">
        <f>Summary!AA101</f>
        <v>0.81</v>
      </c>
      <c r="L70" s="4"/>
      <c r="M70" s="218">
        <f t="shared" si="11"/>
        <v>0</v>
      </c>
      <c r="N70" s="157"/>
      <c r="O70" s="218">
        <f t="shared" si="12"/>
        <v>0.8148740675556049</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v>
      </c>
      <c r="E71" s="157">
        <f>Summary!U102</f>
        <v>0</v>
      </c>
      <c r="F71" s="158">
        <f>Summary!V102</f>
        <v>0</v>
      </c>
      <c r="G71" s="157">
        <f>Summary!W102</f>
        <v>-0.34190869943887015</v>
      </c>
      <c r="H71" s="157">
        <f>Summary!X102</f>
        <v>-0.3029789390023996</v>
      </c>
      <c r="I71" s="157">
        <f>Summary!Y102</f>
        <v>-0.17399999999999993</v>
      </c>
      <c r="J71" s="157">
        <f>Summary!Z102</f>
        <v>-0.16999999999999993</v>
      </c>
      <c r="K71" s="158">
        <f>Summary!AA102</f>
        <v>-0.16000000000000003</v>
      </c>
      <c r="L71" s="4"/>
      <c r="M71" s="219">
        <f t="shared" si="11"/>
        <v>0</v>
      </c>
      <c r="N71" s="157"/>
      <c r="O71" s="219">
        <f t="shared" si="12"/>
        <v>-0.22977752768825394</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priority="5"/>
  </conditionalFormatting>
  <conditionalFormatting sqref="M45:M59">
    <cfRule priority="6"/>
  </conditionalFormatting>
  <conditionalFormatting sqref="M65:M66">
    <cfRule priority="7"/>
  </conditionalFormatting>
  <conditionalFormatting sqref="O21:O39">
    <cfRule priority="8"/>
  </conditionalFormatting>
  <conditionalFormatting sqref="O45:O59">
    <cfRule priority="9"/>
  </conditionalFormatting>
  <conditionalFormatting sqref="O65:O66">
    <cfRule priority="10"/>
  </conditionalFormatting>
  <conditionalFormatting sqref="S1">
    <cfRule priority="11"/>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4.6% - 5.6%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4.6% - 5.6%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89.20342935449925</v>
      </c>
      <c r="U11" s="134">
        <f t="shared" si="1"/>
        <v>36.36488760473922</v>
      </c>
      <c r="V11" s="50">
        <f>Valuation!I169</f>
        <v>125.56831695923847</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1320136.6</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0.36175378581077555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&amp; Capital Markets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Asset Management and Other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3187.56</v>
      </c>
      <c r="G30" s="280">
        <f>'Segment Analysis'!G7</f>
        <v>2784.242</v>
      </c>
      <c r="H30" s="280">
        <f>'Segment Analysis'!H7</f>
        <v>3218.088</v>
      </c>
      <c r="I30" s="280">
        <f>'Segment Analysis'!I7</f>
        <v>4393.290000000001</v>
      </c>
      <c r="J30" s="281">
        <f>'Segment Analysis'!J7</f>
        <v>13583.18</v>
      </c>
      <c r="K30" s="280">
        <f>'Segment Analysis'!K7</f>
        <v>3326.9</v>
      </c>
      <c r="L30" s="280">
        <f>'Segment Analysis'!L7</f>
        <v>3269.63</v>
      </c>
      <c r="M30" s="280">
        <f>'Segment Analysis'!M7</f>
        <v>3440.48</v>
      </c>
      <c r="N30" s="280">
        <f>'Segment Analysis'!N7</f>
        <v>5220.959000000001</v>
      </c>
      <c r="O30" s="281">
        <f>'Segment Analysis'!O7</f>
        <v>15257.969000000001</v>
      </c>
      <c r="P30" s="280">
        <f>'Segment Analysis'!P7</f>
        <v>3507.6640000000007</v>
      </c>
      <c r="Q30" s="280">
        <f>'Segment Analysis'!Q7</f>
        <v>3588.715</v>
      </c>
      <c r="R30" s="280">
        <f>'Segment Analysis'!R7</f>
        <v>4191.5740000000005</v>
      </c>
      <c r="S30" s="280">
        <f>'Segment Analysis'!S7</f>
        <v>2769.123999999999</v>
      </c>
      <c r="T30" s="281">
        <f>'Segment Analysis'!T7</f>
        <v>14057.077000000001</v>
      </c>
      <c r="U30" s="282">
        <f t="shared" ref="U30:X30" si="0">SUM(U32,U35,U38,U41,U44,U47,)</f>
        <v>3777.652510000001</v>
      </c>
      <c r="V30" s="282">
        <f t="shared" si="0"/>
        <v>3898.85528</v>
      </c>
      <c r="W30" s="282">
        <f t="shared" si="0"/>
        <v>4509.10275</v>
      </c>
      <c r="X30" s="282">
        <f t="shared" si="0"/>
        <v>3039.317969999999</v>
      </c>
      <c r="Y30" s="283">
        <f>SUM(U30:X30)</f>
        <v>15224.928510000002</v>
      </c>
      <c r="Z30" s="282">
        <f t="shared" ref="Z30:AC30" si="1">SUM(Z32,Z35,Z38,Z41,Z44,Z47,)</f>
        <v>3983.5114171000005</v>
      </c>
      <c r="AA30" s="282">
        <f t="shared" si="1"/>
        <v>4181.371408800001</v>
      </c>
      <c r="AB30" s="282">
        <f t="shared" si="1"/>
        <v>4795.318069500001</v>
      </c>
      <c r="AC30" s="282">
        <f t="shared" si="1"/>
        <v>3294.028989999999</v>
      </c>
      <c r="AD30" s="283">
        <f>SUM(Z30:AC30)</f>
        <v>16254.2298854</v>
      </c>
      <c r="AE30" s="283">
        <f t="shared" ref="AE30:AG30" si="2">SUM(AE32,AE35,AE38,AE41,AE44,AE47,)</f>
        <v>17128.390803084003</v>
      </c>
      <c r="AF30" s="283">
        <f t="shared" si="2"/>
        <v>17784.316566345242</v>
      </c>
      <c r="AG30" s="283">
        <f t="shared" si="2"/>
        <v>18210.52559526321</v>
      </c>
      <c r="AH30" s="8"/>
      <c r="AI30" s="284">
        <f>IFERROR((T30/J30)^(1/3)-1,"--")</f>
        <v>0.011496822055441669</v>
      </c>
      <c r="AJ30" s="285">
        <f>IFERROR((AG30/T30)^(1/5)-1,"--")</f>
        <v>0.053138503992367525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0.04371368695804945</v>
      </c>
      <c r="L31" s="290">
        <f>IF($C$25="Annual",'Segment Analysis'!L172,'Segment Analysis'!L192)</f>
        <v>0.17433398389938803</v>
      </c>
      <c r="M31" s="290">
        <f>IF($C$25="Annual",'Segment Analysis'!M172,'Segment Analysis'!M192)</f>
        <v>0.06910687339811705</v>
      </c>
      <c r="N31" s="290">
        <f>IF($C$25="Annual",'Segment Analysis'!N172,'Segment Analysis'!N192)</f>
        <v>0.1883938915937713</v>
      </c>
      <c r="O31" s="291">
        <f>IF($C$25="Annual",'Segment Analysis'!O172,'Segment Analysis'!O192)</f>
        <v>0.12329874153180631</v>
      </c>
      <c r="P31" s="290">
        <f>IF($C$25="Annual",'Segment Analysis'!P172,'Segment Analysis'!P192)</f>
        <v>0.054334064744957944</v>
      </c>
      <c r="Q31" s="290">
        <f>IF($C$25="Annual",'Segment Analysis'!Q172,'Segment Analysis'!Q192)</f>
        <v>0.09759055305952047</v>
      </c>
      <c r="R31" s="290">
        <f>IF($C$25="Annual",'Segment Analysis'!R172,'Segment Analysis'!R192)</f>
        <v>0.2183108170952892</v>
      </c>
      <c r="S31" s="290">
        <f>IF($C$25="Annual",'Segment Analysis'!S172,'Segment Analysis'!S192)</f>
        <v>-0.46961391575762257</v>
      </c>
      <c r="T31" s="291">
        <f>IF($C$25="Annual",'Segment Analysis'!T172,'Segment Analysis'!T192)</f>
        <v>-0.0787058880510243</v>
      </c>
      <c r="U31" s="292">
        <f>IFERROR(U30/S30-1,"--")</f>
        <v>0.3642048929553181</v>
      </c>
      <c r="V31" s="292">
        <f t="shared" ref="V31" si="3">IFERROR(V30/U30-1,"--")</f>
        <v>0.0320841500585769</v>
      </c>
      <c r="W31" s="292">
        <f t="shared" ref="W31" si="4">IFERROR(W30/V30-1,"--")</f>
        <v>0.15651965158347703</v>
      </c>
      <c r="X31" s="292">
        <f t="shared" ref="X31" si="5">IFERROR(X30/W30-1,"--")</f>
        <v>-0.325959478301975</v>
      </c>
      <c r="Y31" s="293">
        <f>IFERROR(Y30/T30-1,"--")</f>
        <v>0.08307925680424177</v>
      </c>
      <c r="Z31" s="292">
        <f>IFERROR(Z30/X30-1,"--")</f>
        <v>0.3106596468088536</v>
      </c>
      <c r="AA31" s="292">
        <f t="shared" ref="AA31:AC31" si="6">IFERROR(AA30/Z30-1,"--")</f>
        <v>0.04966974384726197</v>
      </c>
      <c r="AB31" s="292">
        <f t="shared" si="6"/>
        <v>0.14682901868222098</v>
      </c>
      <c r="AC31" s="292">
        <f t="shared" si="6"/>
        <v>-0.3130739312265346</v>
      </c>
      <c r="AD31" s="293">
        <f>IFERROR(AD30/Y30-1,"--")</f>
        <v>0.06760631911827608</v>
      </c>
      <c r="AE31" s="293">
        <f t="shared" ref="AE31:AG31" si="7">IFERROR(AE30/AD30-1,"--")</f>
        <v>0.053780518907831976</v>
      </c>
      <c r="AF31" s="293">
        <f t="shared" si="7"/>
        <v>0.03829465189124126</v>
      </c>
      <c r="AG31" s="293">
        <f t="shared" si="7"/>
        <v>0.02396544322228955</v>
      </c>
      <c r="AH31" s="287"/>
      <c r="AI31" s="294"/>
      <c r="AJ31" s="295"/>
    </row>
    <row r="32" ht="12.75" customHeight="1" spans="1:36" x14ac:dyDescent="0.25">
      <c r="A32" s="8"/>
      <c r="B32" s="8"/>
      <c r="C32" s="8" t="str">
        <f>'Segment Analysis'!C8</f>
        <v>Investment Banking &amp; Capital Markets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0.5473402853593343</v>
      </c>
      <c r="G34" s="290">
        <f>'Segment Analysis'!G16</f>
        <v>0.6039029653313182</v>
      </c>
      <c r="H34" s="290">
        <f>'Segment Analysis'!H16</f>
        <v>0.6448860317057831</v>
      </c>
      <c r="I34" s="290">
        <f>'Segment Analysis'!I16</f>
        <v>0.4223663814589977</v>
      </c>
      <c r="J34" s="291">
        <f>'Segment Analysis'!J16</f>
        <v>0.5416235373454522</v>
      </c>
      <c r="K34" s="290">
        <f>'Segment Analysis'!K16</f>
        <v>0.7168234692957408</v>
      </c>
      <c r="L34" s="290">
        <f>'Segment Analysis'!L16</f>
        <v>0.7053611570728187</v>
      </c>
      <c r="M34" s="290">
        <f>'Segment Analysis'!M16</f>
        <v>0.7147345719201972</v>
      </c>
      <c r="N34" s="290">
        <f>'Segment Analysis'!N16</f>
        <v>0.49890623542533086</v>
      </c>
      <c r="O34" s="291">
        <f>'Segment Analysis'!O16</f>
        <v>0.6393294546607088</v>
      </c>
      <c r="P34" s="290">
        <f>'Segment Analysis'!P16</f>
        <v>0.6472144994503464</v>
      </c>
      <c r="Q34" s="290">
        <f>'Segment Analysis'!Q16</f>
        <v>0.6573478250571584</v>
      </c>
      <c r="R34" s="290">
        <f>'Segment Analysis'!R16</f>
        <v>0.6554010498204255</v>
      </c>
      <c r="S34" s="290">
        <f>'Segment Analysis'!S16</f>
        <v>0.9963125522728487</v>
      </c>
      <c r="T34" s="291">
        <f>'Segment Analysis'!T16</f>
        <v>0.7210119144968757</v>
      </c>
      <c r="U34" s="292">
        <f t="shared" ref="U34:X34" si="13">U32/U$30</f>
        <v>0.6670635277674071</v>
      </c>
      <c r="V34" s="292">
        <f t="shared" si="13"/>
        <v>0.6776650812235329</v>
      </c>
      <c r="W34" s="292">
        <f t="shared" si="13"/>
        <v>0.6793115614852645</v>
      </c>
      <c r="X34" s="292">
        <f t="shared" si="13"/>
        <v>0.9985149069480216</v>
      </c>
      <c r="Y34" s="293">
        <f t="shared" ref="Y34:AG34" si="14">Y32/Y$30</f>
        <v>0.7395727482466845</v>
      </c>
      <c r="Z34" s="292">
        <f t="shared" si="14"/>
        <v>0.7021762159618238</v>
      </c>
      <c r="AA34" s="292">
        <f t="shared" si="14"/>
        <v>0.701384972075863</v>
      </c>
      <c r="AB34" s="292">
        <f t="shared" si="14"/>
        <v>0.6962548236238535</v>
      </c>
      <c r="AC34" s="292">
        <f t="shared" si="14"/>
        <v>1.0042220930787862</v>
      </c>
      <c r="AD34" s="293">
        <f t="shared" si="14"/>
        <v>0.7614373706327967</v>
      </c>
      <c r="AE34" s="293">
        <f t="shared" si="14"/>
        <v>0.7803829597606623</v>
      </c>
      <c r="AF34" s="293">
        <f t="shared" si="14"/>
        <v>0.7929387106519911</v>
      </c>
      <c r="AG34" s="293">
        <f t="shared" si="14"/>
        <v>0.8014836545090802</v>
      </c>
      <c r="AH34" s="287"/>
      <c r="AI34" s="296"/>
      <c r="AJ34" s="297"/>
    </row>
    <row r="35" ht="12.75" customHeight="1" spans="1:36" x14ac:dyDescent="0.25">
      <c r="A35" s="8"/>
      <c r="B35" s="8"/>
      <c r="C35" s="8" t="str">
        <f>'Segment Analysis'!C9</f>
        <v>Asset Management and Other</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0.01125625870571848</v>
      </c>
      <c r="G37" s="290">
        <f>'Segment Analysis'!G17</f>
        <v>-0.01083598336638841</v>
      </c>
      <c r="H37" s="290">
        <f>'Segment Analysis'!H17</f>
        <v>-0.010693306087341304</v>
      </c>
      <c r="I37" s="290">
        <f>'Segment Analysis'!I17</f>
        <v>0.025746536194970054</v>
      </c>
      <c r="J37" s="291">
        <f>'Segment Analysis'!J17</f>
        <v>0.0062143032780247335</v>
      </c>
      <c r="K37" s="290">
        <f>'Segment Analysis'!K17</f>
        <v>0.05022693799032132</v>
      </c>
      <c r="L37" s="290">
        <f>'Segment Analysis'!L17</f>
        <v>0.06421521701232248</v>
      </c>
      <c r="M37" s="290">
        <f>'Segment Analysis'!M17</f>
        <v>0.039660163698088634</v>
      </c>
      <c r="N37" s="290">
        <f>'Segment Analysis'!N17</f>
        <v>0.04724994009721203</v>
      </c>
      <c r="O37" s="291">
        <f>'Segment Analysis'!O17</f>
        <v>0.049823144875966126</v>
      </c>
      <c r="P37" s="290">
        <f>'Segment Analysis'!P17</f>
        <v>0.057774347828070186</v>
      </c>
      <c r="Q37" s="290">
        <f>'Segment Analysis'!Q17</f>
        <v>0.03769622274268088</v>
      </c>
      <c r="R37" s="290">
        <f>'Segment Analysis'!R17</f>
        <v>0.03829396785074055</v>
      </c>
      <c r="S37" s="290">
        <f>'Segment Analysis'!S17</f>
        <v>0.06858161642454437</v>
      </c>
      <c r="T37" s="291">
        <f>'Segment Analysis'!T17</f>
        <v>0.04896871518879778</v>
      </c>
      <c r="U37" s="292">
        <f t="shared" ref="U37:X37" si="20">U35/U$30</f>
        <v>0.059009742005095116</v>
      </c>
      <c r="V37" s="292">
        <f t="shared" si="20"/>
        <v>0.04163714432611615</v>
      </c>
      <c r="W37" s="292">
        <f t="shared" si="20"/>
        <v>0.03595329913473362</v>
      </c>
      <c r="X37" s="292">
        <f t="shared" si="20"/>
        <v>0.060610199991677736</v>
      </c>
      <c r="Y37" s="293">
        <f t="shared" ref="Y37:AG37" si="21">Y35/Y$30</f>
        <v>0.04805187029413513</v>
      </c>
      <c r="Z37" s="292">
        <f t="shared" si="21"/>
        <v>0.03805297089128305</v>
      </c>
      <c r="AA37" s="292">
        <f t="shared" si="21"/>
        <v>0.03688271739636236</v>
      </c>
      <c r="AB37" s="292">
        <f t="shared" si="21"/>
        <v>0.03600485521453688</v>
      </c>
      <c r="AC37" s="292">
        <f t="shared" si="21"/>
        <v>0.05033116086813796</v>
      </c>
      <c r="AD37" s="293">
        <f t="shared" si="21"/>
        <v>0.0396359485710661</v>
      </c>
      <c r="AE37" s="293">
        <f t="shared" si="21"/>
        <v>0.03084273930396783</v>
      </c>
      <c r="AF37" s="293">
        <f t="shared" si="21"/>
        <v>0.025249411003533465</v>
      </c>
      <c r="AG37" s="293">
        <f t="shared" si="21"/>
        <v>0.020959691066785666</v>
      </c>
      <c r="AH37" s="287"/>
      <c r="AI37" s="294"/>
      <c r="AJ37" s="295"/>
    </row>
    <row r="38" ht="12.75" customHeight="1" hidden="1" spans="1:36" x14ac:dyDescent="0.25" outlineLevel="1" collapsed="1">
      <c r="A38" s="8"/>
      <c r="B38" s="8"/>
      <c r="C38" s="8" t="str">
        <f>'Segment Analysis'!C10</f>
        <v> Revenue</v>
      </c>
      <c r="D38" s="8"/>
      <c r="E38" s="8"/>
      <c r="F38" s="280">
        <f>'Segment Analysis'!F10</f>
        <v>1407</v>
      </c>
      <c r="G38" s="280">
        <f>'Segment Analysis'!G10</f>
        <v>1133</v>
      </c>
      <c r="H38" s="280">
        <f>'Segment Analysis'!H10</f>
        <v>1177.2</v>
      </c>
      <c r="I38" s="280">
        <f>'Segment Analysis'!I10</f>
        <v>2424.6</v>
      </c>
      <c r="J38" s="281">
        <f>'Segment Analysis'!J10</f>
        <v>6141.799999999999</v>
      </c>
      <c r="K38" s="280">
        <f>'Segment Analysis'!K10</f>
        <v>775</v>
      </c>
      <c r="L38" s="280">
        <f>'Segment Analysis'!L10</f>
        <v>753.4</v>
      </c>
      <c r="M38" s="280">
        <f>'Segment Analysis'!M10</f>
        <v>845</v>
      </c>
      <c r="N38" s="280">
        <f>'Segment Analysis'!N10</f>
        <v>2369.5</v>
      </c>
      <c r="O38" s="281">
        <f>'Segment Analysis'!O10</f>
        <v>4742.9</v>
      </c>
      <c r="P38" s="280">
        <f>'Segment Analysis'!P10</f>
        <v>1034.8</v>
      </c>
      <c r="Q38" s="280">
        <f>'Segment Analysis'!Q10</f>
        <v>1094.4</v>
      </c>
      <c r="R38" s="280">
        <f>'Segment Analysis'!R10</f>
        <v>1283.9</v>
      </c>
      <c r="S38" s="280">
        <f>'Segment Analysis'!S10</f>
        <v>-179.7</v>
      </c>
      <c r="T38" s="281">
        <f>'Segment Analysis'!T10</f>
        <v>3233.4</v>
      </c>
      <c r="U38" s="282">
        <f>IF(Segment3_Rev_Methodology="Segment",U65,IF(Segment3_Rev_Methodology="Activity-Based",U115,IF(Segment3_Rev_Methodology="Backlog",U189,"--")))</f>
        <v>1034.8</v>
      </c>
      <c r="V38" s="282">
        <f>IF(Segment3_Rev_Methodology="Segment",V65,IF(Segment3_Rev_Methodology="Activity-Based",V115,IF(Segment3_Rev_Methodology="Backlog",V189,"--")))</f>
        <v>1094.4</v>
      </c>
      <c r="W38" s="282">
        <f>IF(Segment3_Rev_Methodology="Segment",W65,IF(Segment3_Rev_Methodology="Activity-Based",W115,IF(Segment3_Rev_Methodology="Backlog",W189,"--")))</f>
        <v>1283.9</v>
      </c>
      <c r="X38" s="282">
        <f>IF(Segment3_Rev_Methodology="Segment",X65,IF(Segment3_Rev_Methodology="Activity-Based",X115,IF(Segment3_Rev_Methodology="Backlog",X189,"--")))</f>
        <v>-179.7</v>
      </c>
      <c r="Y38" s="283">
        <f>SUM(U38:X38)</f>
        <v>3233.4</v>
      </c>
      <c r="Z38" s="282">
        <f>IF(Segment3_Rev_Methodology="Segment",Z65,IF(Segment3_Rev_Methodology="Activity-Based",Z115,IF(Segment3_Rev_Methodology="Backlog",Z189,"--")))</f>
        <v>1034.8</v>
      </c>
      <c r="AA38" s="282">
        <f>IF(Segment3_Rev_Methodology="Segment",AA65,IF(Segment3_Rev_Methodology="Activity-Based",AA115,IF(Segment3_Rev_Methodology="Backlog",AA189,"--")))</f>
        <v>1094.4</v>
      </c>
      <c r="AB38" s="282">
        <f>IF(Segment3_Rev_Methodology="Segment",AB65,IF(Segment3_Rev_Methodology="Activity-Based",AB115,IF(Segment3_Rev_Methodology="Backlog",AB189,"--")))</f>
        <v>1283.9</v>
      </c>
      <c r="AC38" s="282">
        <f>IF(Segment3_Rev_Methodology="Segment",AC65,IF(Segment3_Rev_Methodology="Activity-Based",AC115,IF(Segment3_Rev_Methodology="Backlog",AC189,"--")))</f>
        <v>-179.7</v>
      </c>
      <c r="AD38" s="283">
        <f>SUM(Z38:AC38)</f>
        <v>3233.4</v>
      </c>
      <c r="AE38" s="283">
        <f>IF(Segment3_Rev_Methodology="Segment",AE65,IF(Segment3_Rev_Methodology="Activity-Based",AE115,IF(Segment3_Rev_Methodology="Backlog",AE189,"--")))</f>
        <v>3233.4</v>
      </c>
      <c r="AF38" s="283">
        <f>IF(Segment3_Rev_Methodology="Segment",AF65,IF(Segment3_Rev_Methodology="Activity-Based",AF115,IF(Segment3_Rev_Methodology="Backlog",AF189,"--")))</f>
        <v>3233.4</v>
      </c>
      <c r="AG38" s="283">
        <f>IF(Segment3_Rev_Methodology="Segment",AG65,IF(Segment3_Rev_Methodology="Activity-Based",AG115,IF(Segment3_Rev_Methodology="Backlog",AG189,"--")))</f>
        <v>3233.4</v>
      </c>
      <c r="AH38" s="8"/>
      <c r="AI38" s="284">
        <f>IFERROR((T38/J38)^(1/3)-1,"--")</f>
        <v>-0.19253955898461017</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-0.44918265813788205</v>
      </c>
      <c r="L39" s="290">
        <f>IF($C$25="Annual",'Segment Analysis'!L175,'Segment Analysis'!L195)</f>
        <v>-0.3350397175639894</v>
      </c>
      <c r="M39" s="290">
        <f>IF($C$25="Annual",'Segment Analysis'!M175,'Segment Analysis'!M195)</f>
        <v>-0.28219503907577304</v>
      </c>
      <c r="N39" s="290">
        <f>IF($C$25="Annual",'Segment Analysis'!N175,'Segment Analysis'!N195)</f>
        <v>-0.02272539800379436</v>
      </c>
      <c r="O39" s="291">
        <f>IF($C$25="Annual",'Segment Analysis'!O175,'Segment Analysis'!O195)</f>
        <v>-0.22776710410628798</v>
      </c>
      <c r="P39" s="290">
        <f>IF($C$25="Annual",'Segment Analysis'!P175,'Segment Analysis'!P195)</f>
        <v>0.33522580645161293</v>
      </c>
      <c r="Q39" s="290">
        <f>IF($C$25="Annual",'Segment Analysis'!Q175,'Segment Analysis'!Q195)</f>
        <v>0.45261481284842064</v>
      </c>
      <c r="R39" s="290">
        <f>IF($C$25="Annual",'Segment Analysis'!R175,'Segment Analysis'!R195)</f>
        <v>0.5194082840236687</v>
      </c>
      <c r="S39" s="290">
        <f>IF($C$25="Annual",'Segment Analysis'!S175,'Segment Analysis'!S195)</f>
        <v>-1.0758387845537034</v>
      </c>
      <c r="T39" s="291">
        <f>IF($C$25="Annual",'Segment Analysis'!T175,'Segment Analysis'!T195)</f>
        <v>-0.31826519639882767</v>
      </c>
      <c r="U39" s="292">
        <f>IFERROR(U38/S38-1,"--")</f>
        <v>-6.758486366165832</v>
      </c>
      <c r="V39" s="292">
        <f t="shared" ref="V39" si="22">IFERROR(V38/U38-1,"--")</f>
        <v>0.05759567066099747</v>
      </c>
      <c r="W39" s="292">
        <f t="shared" ref="W39" si="23">IFERROR(W38/V38-1,"--")</f>
        <v>0.1731542397660819</v>
      </c>
      <c r="X39" s="292">
        <f t="shared" ref="X39" si="24">IFERROR(X38/W38-1,"--")</f>
        <v>-1.1399641716644597</v>
      </c>
      <c r="Y39" s="293">
        <f>IFERROR(Y38/T38-1,"--")</f>
        <v>0</v>
      </c>
      <c r="Z39" s="292">
        <f>IFERROR(Z38/X38-1,"--")</f>
        <v>-6.758486366165832</v>
      </c>
      <c r="AA39" s="292">
        <f t="shared" ref="AA39:AC39" si="25">IFERROR(AA38/Z38-1,"--")</f>
        <v>0.05759567066099747</v>
      </c>
      <c r="AB39" s="292">
        <f t="shared" si="25"/>
        <v>0.1731542397660819</v>
      </c>
      <c r="AC39" s="292">
        <f t="shared" si="25"/>
        <v>-1.1399641716644597</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0.4414034559349471</v>
      </c>
      <c r="G40" s="290">
        <f>'Segment Analysis'!G18</f>
        <v>0.4069330180350702</v>
      </c>
      <c r="H40" s="290">
        <f>'Segment Analysis'!H18</f>
        <v>0.36580727438155825</v>
      </c>
      <c r="I40" s="290">
        <f>'Segment Analysis'!I18</f>
        <v>0.5518870823460321</v>
      </c>
      <c r="J40" s="291">
        <f>'Segment Analysis'!J18</f>
        <v>0.452162159376523</v>
      </c>
      <c r="K40" s="290">
        <f>'Segment Analysis'!K18</f>
        <v>0.2329495927139379</v>
      </c>
      <c r="L40" s="290">
        <f>'Segment Analysis'!L18</f>
        <v>0.23042362591485885</v>
      </c>
      <c r="M40" s="290">
        <f>'Segment Analysis'!M18</f>
        <v>0.24560526438171418</v>
      </c>
      <c r="N40" s="290">
        <f>'Segment Analysis'!N18</f>
        <v>0.453843824477457</v>
      </c>
      <c r="O40" s="291">
        <f>'Segment Analysis'!O18</f>
        <v>0.31084740046332504</v>
      </c>
      <c r="P40" s="290">
        <f>'Segment Analysis'!P18</f>
        <v>0.2950111527215833</v>
      </c>
      <c r="Q40" s="290">
        <f>'Segment Analysis'!Q18</f>
        <v>0.3049559522001608</v>
      </c>
      <c r="R40" s="290">
        <f>'Segment Analysis'!R18</f>
        <v>0.30630498232883396</v>
      </c>
      <c r="S40" s="290">
        <f>'Segment Analysis'!S18</f>
        <v>-0.06489416869739313</v>
      </c>
      <c r="T40" s="291">
        <f>'Segment Analysis'!T18</f>
        <v>0.23001937031432637</v>
      </c>
      <c r="U40" s="292">
        <f t="shared" ref="U40:X40" si="27">U38/U$30</f>
        <v>0.27392673022749775</v>
      </c>
      <c r="V40" s="292">
        <f t="shared" si="27"/>
        <v>0.280697774450351</v>
      </c>
      <c r="W40" s="292">
        <f t="shared" si="27"/>
        <v>0.28473513938000194</v>
      </c>
      <c r="X40" s="292">
        <f t="shared" si="27"/>
        <v>-0.059125106939699384</v>
      </c>
      <c r="Y40" s="293">
        <f t="shared" ref="Y40:AG40" si="28">Y38/Y$30</f>
        <v>0.2123753814591803</v>
      </c>
      <c r="Z40" s="292">
        <f t="shared" si="28"/>
        <v>0.2597708131468932</v>
      </c>
      <c r="AA40" s="292">
        <f t="shared" si="28"/>
        <v>0.26173231052777457</v>
      </c>
      <c r="AB40" s="292">
        <f t="shared" si="28"/>
        <v>0.2677403211616096</v>
      </c>
      <c r="AC40" s="292">
        <f t="shared" si="28"/>
        <v>-0.054553253946924146</v>
      </c>
      <c r="AD40" s="293">
        <f t="shared" si="28"/>
        <v>0.19892668079613723</v>
      </c>
      <c r="AE40" s="293">
        <f t="shared" si="28"/>
        <v>0.18877430093536982</v>
      </c>
      <c r="AF40" s="293">
        <f t="shared" si="28"/>
        <v>0.18181187834447543</v>
      </c>
      <c r="AG40" s="293">
        <f t="shared" si="28"/>
        <v>0.17755665442413418</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&amp; Capital Markets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Asset Management and Other</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1407</v>
      </c>
      <c r="G65" s="310">
        <f t="shared" si="80"/>
        <v>1133</v>
      </c>
      <c r="H65" s="310">
        <f t="shared" si="80"/>
        <v>1177.2</v>
      </c>
      <c r="I65" s="310">
        <f t="shared" si="80"/>
        <v>2424.6</v>
      </c>
      <c r="J65" s="283">
        <f t="shared" si="80"/>
        <v>6141.799999999999</v>
      </c>
      <c r="K65" s="310">
        <f t="shared" si="80"/>
        <v>775</v>
      </c>
      <c r="L65" s="310">
        <f t="shared" si="80"/>
        <v>753.4</v>
      </c>
      <c r="M65" s="310">
        <f t="shared" si="80"/>
        <v>845</v>
      </c>
      <c r="N65" s="310">
        <f t="shared" si="80"/>
        <v>2369.5</v>
      </c>
      <c r="O65" s="283">
        <f t="shared" si="80"/>
        <v>4742.9</v>
      </c>
      <c r="P65" s="310">
        <f t="shared" si="80"/>
        <v>1034.8</v>
      </c>
      <c r="Q65" s="310">
        <f t="shared" si="80"/>
        <v>1094.4</v>
      </c>
      <c r="R65" s="310">
        <f t="shared" si="80"/>
        <v>1283.9</v>
      </c>
      <c r="S65" s="310">
        <f t="shared" si="80"/>
        <v>-179.7</v>
      </c>
      <c r="T65" s="283">
        <f t="shared" si="80"/>
        <v>3233.4</v>
      </c>
      <c r="U65" s="282">
        <f>IF($C$25="Quarterly",S65*(1+U66),P65*(1+U66))</f>
        <v>1034.8</v>
      </c>
      <c r="V65" s="282">
        <f t="shared" ref="V65" si="81">IF($C$25="Quarterly",U65*(1+V66),Q65*(1+V66))</f>
        <v>1094.4</v>
      </c>
      <c r="W65" s="282">
        <f t="shared" ref="W65" si="82">IF($C$25="Quarterly",V65*(1+W66),R65*(1+W66))</f>
        <v>1283.9</v>
      </c>
      <c r="X65" s="282">
        <f t="shared" ref="X65" si="83">IF($C$25="Quarterly",W65*(1+X66),S65*(1+X66))</f>
        <v>-179.7</v>
      </c>
      <c r="Y65" s="283">
        <f>SUM(U65:X65)</f>
        <v>3233.4</v>
      </c>
      <c r="Z65" s="282">
        <f>IF($C$25="Quarterly",X65*(1+Z66),U65*(1+Z66))</f>
        <v>1034.8</v>
      </c>
      <c r="AA65" s="282">
        <f t="shared" ref="AA65:AC65" si="84">IF($C$25="Quarterly",Z65*(1+AA66),V65*(1+AA66))</f>
        <v>1094.4</v>
      </c>
      <c r="AB65" s="282">
        <f t="shared" si="84"/>
        <v>1283.9</v>
      </c>
      <c r="AC65" s="282">
        <f t="shared" si="84"/>
        <v>-179.7</v>
      </c>
      <c r="AD65" s="283">
        <f>SUM(Z65:AC65)</f>
        <v>3233.4</v>
      </c>
      <c r="AE65" s="283">
        <f t="shared" ref="AE65:AG65" si="85">AD65*(1+AE66)</f>
        <v>3233.4</v>
      </c>
      <c r="AF65" s="283">
        <f t="shared" si="85"/>
        <v>3233.4</v>
      </c>
      <c r="AG65" s="283">
        <f t="shared" si="85"/>
        <v>3233.4</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-0.44918265813788205</v>
      </c>
      <c r="L66" s="311">
        <f t="shared" si="86"/>
        <v>-0.3350397175639894</v>
      </c>
      <c r="M66" s="311">
        <f t="shared" si="86"/>
        <v>-0.28219503907577304</v>
      </c>
      <c r="N66" s="311">
        <f t="shared" si="86"/>
        <v>-0.02272539800379436</v>
      </c>
      <c r="O66" s="312">
        <f t="shared" si="86"/>
        <v>-0.22776710410628798</v>
      </c>
      <c r="P66" s="311">
        <f t="shared" si="86"/>
        <v>0.33522580645161293</v>
      </c>
      <c r="Q66" s="311">
        <f t="shared" si="86"/>
        <v>0.45261481284842064</v>
      </c>
      <c r="R66" s="311">
        <f t="shared" si="86"/>
        <v>0.5194082840236687</v>
      </c>
      <c r="S66" s="311">
        <f t="shared" si="86"/>
        <v>-1.0758387845537034</v>
      </c>
      <c r="T66" s="312">
        <f t="shared" si="86"/>
        <v>-0.31826519639882767</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&amp; Capital Markets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Asset Management and Other</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1407</v>
      </c>
      <c r="G115" s="310">
        <f t="shared" si="166"/>
        <v>1133</v>
      </c>
      <c r="H115" s="310">
        <f t="shared" si="166"/>
        <v>1177.2</v>
      </c>
      <c r="I115" s="310">
        <f t="shared" si="166"/>
        <v>2424.6</v>
      </c>
      <c r="J115" s="283">
        <f t="shared" si="166"/>
        <v>6141.799999999999</v>
      </c>
      <c r="K115" s="310">
        <f t="shared" si="166"/>
        <v>775</v>
      </c>
      <c r="L115" s="310">
        <f t="shared" si="166"/>
        <v>753.4</v>
      </c>
      <c r="M115" s="310">
        <f t="shared" si="166"/>
        <v>845</v>
      </c>
      <c r="N115" s="310">
        <f t="shared" si="166"/>
        <v>2369.5</v>
      </c>
      <c r="O115" s="283">
        <f t="shared" si="166"/>
        <v>4742.9</v>
      </c>
      <c r="P115" s="310">
        <f t="shared" si="166"/>
        <v>1034.8</v>
      </c>
      <c r="Q115" s="310">
        <f t="shared" si="166"/>
        <v>1094.4</v>
      </c>
      <c r="R115" s="310">
        <f t="shared" si="166"/>
        <v>1283.9</v>
      </c>
      <c r="S115" s="310">
        <f t="shared" si="166"/>
        <v>-179.7</v>
      </c>
      <c r="T115" s="283">
        <f t="shared" si="166"/>
        <v>3233.4</v>
      </c>
      <c r="U115" s="282">
        <f t="shared" ref="U115:X115" si="167">U116*U121</f>
        <v>-198.11925</v>
      </c>
      <c r="V115" s="282">
        <f t="shared" si="167"/>
        <v>-218.426473125</v>
      </c>
      <c r="W115" s="282">
        <f t="shared" si="167"/>
        <v>-240.81518662031252</v>
      </c>
      <c r="X115" s="282">
        <f t="shared" si="167"/>
        <v>-265.4987432488946</v>
      </c>
      <c r="Y115" s="283">
        <f t="shared" ref="Y115:Y116" si="168">SUM(U115:X115)</f>
        <v>-922.8596529942071</v>
      </c>
      <c r="Z115" s="282">
        <f t="shared" ref="Z115:AC115" si="169">Z116*Z121</f>
        <v>-292.71236443190634</v>
      </c>
      <c r="AA115" s="282">
        <f t="shared" si="169"/>
        <v>-322.71538178617675</v>
      </c>
      <c r="AB115" s="282">
        <f t="shared" si="169"/>
        <v>-355.79370841925993</v>
      </c>
      <c r="AC115" s="282">
        <f t="shared" si="169"/>
        <v>-392.26256353223414</v>
      </c>
      <c r="AD115" s="283">
        <f t="shared" ref="AD115:AD116" si="170">SUM(Z115:AC115)</f>
        <v>-1363.4840181695772</v>
      </c>
      <c r="AE115" s="283">
        <f t="shared" ref="AE115:AG115" si="171">AE116*AE121</f>
        <v>-1503.2411300319588</v>
      </c>
      <c r="AF115" s="283">
        <f t="shared" si="171"/>
        <v>-1657.3233458602347</v>
      </c>
      <c r="AG115" s="283">
        <f t="shared" si="171"/>
        <v>-1827.1989888109088</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6.3954545454545455</v>
      </c>
      <c r="G121" s="310">
        <f t="shared" si="180"/>
        <v>5.15</v>
      </c>
      <c r="H121" s="310">
        <f t="shared" si="180"/>
        <v>5.3509090909090915</v>
      </c>
      <c r="I121" s="310">
        <f t="shared" si="180"/>
        <v>11.02090909090909</v>
      </c>
      <c r="J121" s="283">
        <f t="shared" si="180"/>
        <v>6.979318181818181</v>
      </c>
      <c r="K121" s="310">
        <f t="shared" si="180"/>
        <v>3.522727272727273</v>
      </c>
      <c r="L121" s="310">
        <f t="shared" si="180"/>
        <v>3.4245454545454543</v>
      </c>
      <c r="M121" s="310">
        <f t="shared" si="180"/>
        <v>3.840909090909091</v>
      </c>
      <c r="N121" s="310">
        <f t="shared" si="180"/>
        <v>10.770454545454545</v>
      </c>
      <c r="O121" s="283">
        <f t="shared" si="180"/>
        <v>5.389659090909091</v>
      </c>
      <c r="P121" s="310">
        <f t="shared" si="180"/>
        <v>4.703636363636363</v>
      </c>
      <c r="Q121" s="310">
        <f t="shared" si="180"/>
        <v>4.974545454545455</v>
      </c>
      <c r="R121" s="310">
        <f t="shared" si="180"/>
        <v>5.835909090909091</v>
      </c>
      <c r="S121" s="310">
        <f t="shared" si="180"/>
        <v>-0.8168181818181818</v>
      </c>
      <c r="T121" s="283">
        <f t="shared" si="180"/>
        <v>3.674318181818182</v>
      </c>
      <c r="U121" s="282">
        <f>S121*(1+U122)</f>
        <v>-0.8576590909090909</v>
      </c>
      <c r="V121" s="282">
        <f t="shared" ref="V121" si="181">U121*(1+V122)</f>
        <v>-0.9005420454545454</v>
      </c>
      <c r="W121" s="282">
        <f t="shared" ref="W121" si="182">V121*(1+W122)</f>
        <v>-0.9455691477272727</v>
      </c>
      <c r="X121" s="282">
        <f t="shared" ref="X121" si="183">W121*(1+X122)</f>
        <v>-0.9928476051136365</v>
      </c>
      <c r="Y121" s="283">
        <f>Y115/Y116</f>
        <v>-0.9269019884284923</v>
      </c>
      <c r="Z121" s="282">
        <f>X121*(1+Z122)</f>
        <v>-1.0424899853693184</v>
      </c>
      <c r="AA121" s="282">
        <f t="shared" ref="AA121:AC121" si="184">Z121*(1+AA122)</f>
        <v>-1.0946144846377843</v>
      </c>
      <c r="AB121" s="282">
        <f t="shared" si="184"/>
        <v>-1.1493452088696736</v>
      </c>
      <c r="AC121" s="282">
        <f t="shared" si="184"/>
        <v>-1.2068124693131574</v>
      </c>
      <c r="AD121" s="283">
        <f>AD115/AD116</f>
        <v>-1.1266551600722603</v>
      </c>
      <c r="AE121" s="283">
        <f t="shared" ref="AE121:AG121" si="185">AD121*(1+AE122)</f>
        <v>-1.1829879180758733</v>
      </c>
      <c r="AF121" s="283">
        <f t="shared" si="185"/>
        <v>-1.242137313979667</v>
      </c>
      <c r="AG121" s="283">
        <f t="shared" si="185"/>
        <v>-1.3042441796786504</v>
      </c>
      <c r="AH121" s="8"/>
      <c r="AI121" s="8"/>
      <c r="AJ121" s="8"/>
    </row>
    <row r="122" ht="12.75" customHeight="1" hidden="1" spans="1:36" x14ac:dyDescent="0.25" outlineLevel="1" collapsed="1">
      <c r="A122" s="8"/>
      <c r="B122" s="8"/>
      <c r="C122" s="110" t="s">
        <v>245</v>
      </c>
      <c r="D122" s="8"/>
      <c r="E122" s="165"/>
      <c r="F122" s="314"/>
      <c r="G122" s="311">
        <f t="shared" ref="G122:I122" si="186">IFERROR(G121/F121-1,"--")</f>
        <v>-0.19474058280028428</v>
      </c>
      <c r="H122" s="311">
        <f t="shared" si="186"/>
        <v>0.039011473962930365</v>
      </c>
      <c r="I122" s="311">
        <f t="shared" si="186"/>
        <v>1.0596330275229353</v>
      </c>
      <c r="J122" s="165"/>
      <c r="K122" s="311">
        <f>IFERROR(K121/I121-1,"--")</f>
        <v>-0.6803596469520745</v>
      </c>
      <c r="L122" s="311">
        <f t="shared" ref="L122:N122" si="187">IFERROR(L121/K121-1,"--")</f>
        <v>-0.02787096774193565</v>
      </c>
      <c r="M122" s="311">
        <f t="shared" si="187"/>
        <v>0.12158216087071949</v>
      </c>
      <c r="N122" s="311">
        <f t="shared" si="187"/>
        <v>1.8041420118343194</v>
      </c>
      <c r="O122" s="312">
        <f>IFERROR(O121/J121-1,"--")</f>
        <v>-0.22776710410628798</v>
      </c>
      <c r="P122" s="311">
        <f>IFERROR(P121/N121-1,"--")</f>
        <v>-0.5632833931209116</v>
      </c>
      <c r="Q122" s="311">
        <f t="shared" ref="Q122:S122" si="188">IFERROR(Q121/P121-1,"--")</f>
        <v>0.05759567066099747</v>
      </c>
      <c r="R122" s="311">
        <f t="shared" si="188"/>
        <v>0.1731542397660819</v>
      </c>
      <c r="S122" s="311">
        <f t="shared" si="188"/>
        <v>-1.13996417166446</v>
      </c>
      <c r="T122" s="312">
        <f>IFERROR(T121/O121-1,"--")</f>
        <v>-0.31826519639882767</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&amp; Capital Markets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Asset Management and Other</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80">
      <selection activeCell="C35" sqref="C35"/>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3187.56</v>
      </c>
      <c r="G28" s="348">
        <f>'Segment Analysis'!G7</f>
        <v>2784.242</v>
      </c>
      <c r="H28" s="348">
        <f>'Segment Analysis'!H7</f>
        <v>3218.088</v>
      </c>
      <c r="I28" s="348">
        <f>'Segment Analysis'!I7</f>
        <v>4393.290000000001</v>
      </c>
      <c r="J28" s="278">
        <f t="shared" ref="J28:J30" si="7">SUM(F28:I28)</f>
        <v>13583.18</v>
      </c>
      <c r="K28" s="348">
        <f>'Segment Analysis'!K7</f>
        <v>3326.9</v>
      </c>
      <c r="L28" s="348">
        <f>'Segment Analysis'!L7</f>
        <v>3269.63</v>
      </c>
      <c r="M28" s="348">
        <f>'Segment Analysis'!M7</f>
        <v>3440.48</v>
      </c>
      <c r="N28" s="348">
        <f>'Segment Analysis'!N7</f>
        <v>5220.959000000001</v>
      </c>
      <c r="O28" s="278">
        <f t="shared" ref="O28:O30" si="8">SUM(K28:N28)</f>
        <v>15257.969000000001</v>
      </c>
      <c r="P28" s="348">
        <f>'Segment Analysis'!P7</f>
        <v>3507.6640000000007</v>
      </c>
      <c r="Q28" s="348">
        <f>'Segment Analysis'!Q7</f>
        <v>3588.715</v>
      </c>
      <c r="R28" s="348">
        <f>'Segment Analysis'!R7</f>
        <v>4191.5740000000005</v>
      </c>
      <c r="S28" s="348">
        <f>'Segment Analysis'!S7</f>
        <v>2769.123999999999</v>
      </c>
      <c r="T28" s="278">
        <f t="shared" ref="T28:T30" si="9">SUM(P28:S28)</f>
        <v>14057.077000000001</v>
      </c>
      <c r="U28" s="277">
        <f>'Segment Analysis'!U7</f>
        <v>3777.652510000001</v>
      </c>
      <c r="V28" s="277">
        <f>'Segment Analysis'!V7</f>
        <v>3898.85528</v>
      </c>
      <c r="W28" s="277">
        <f>'Segment Analysis'!W7</f>
        <v>4509.10275</v>
      </c>
      <c r="X28" s="277">
        <f>'Segment Analysis'!X7</f>
        <v>3039.317969999999</v>
      </c>
      <c r="Y28" s="278">
        <f t="shared" ref="Y28:Y30" si="10">SUM(U28:X28)</f>
        <v>15224.928510000002</v>
      </c>
      <c r="Z28" s="277">
        <f>'Segment Analysis'!Z7</f>
        <v>3983.5114171000005</v>
      </c>
      <c r="AA28" s="277">
        <f>'Segment Analysis'!AA7</f>
        <v>4181.371408800001</v>
      </c>
      <c r="AB28" s="277">
        <f>'Segment Analysis'!AB7</f>
        <v>4795.318069500001</v>
      </c>
      <c r="AC28" s="277">
        <f>'Segment Analysis'!AC7</f>
        <v>3294.028989999999</v>
      </c>
      <c r="AD28" s="278">
        <f t="shared" ref="AD28:AD30" si="11">SUM(Z28:AC28)</f>
        <v>16254.2298854</v>
      </c>
      <c r="AE28" s="278">
        <f>'Segment Analysis'!AE7</f>
        <v>17128.390803084003</v>
      </c>
      <c r="AF28" s="278">
        <f>'Segment Analysis'!AF7</f>
        <v>17784.316566345242</v>
      </c>
      <c r="AG28" s="278">
        <f>'Segment Analysis'!AG7</f>
        <v>18210.52559526321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-931.7</v>
      </c>
      <c r="K29" s="349">
        <v>-813.739</v>
      </c>
      <c r="L29" s="349">
        <v>-859.851</v>
      </c>
      <c r="M29" s="349">
        <v>-912.037</v>
      </c>
      <c r="N29" s="349">
        <v>-894.639</v>
      </c>
      <c r="O29" s="350">
        <f t="shared" si="8"/>
        <v>-1110.7</v>
      </c>
      <c r="P29" s="349">
        <v>-879.845</v>
      </c>
      <c r="Q29" s="349">
        <v>-859.868</v>
      </c>
      <c r="R29" s="349">
        <v>-860.242</v>
      </c>
      <c r="S29" s="349">
        <v>-879.971</v>
      </c>
      <c r="T29" s="350">
        <f t="shared" si="9"/>
        <v>0</v>
      </c>
      <c r="U29" s="351">
        <f>U323</f>
        <v>-716.919</v>
      </c>
      <c r="V29" s="351">
        <f t="shared" ref="V29:X29" si="12">V323</f>
        <v>-764.808</v>
      </c>
      <c r="W29" s="351">
        <f t="shared" si="12"/>
        <v>-813.947</v>
      </c>
      <c r="X29" s="351">
        <f t="shared" si="12"/>
        <v>-792.308</v>
      </c>
      <c r="Y29" s="350">
        <f t="shared" si="10"/>
        <v>-3087.982</v>
      </c>
      <c r="Z29" s="351">
        <f>Z323</f>
        <v>-759.16008</v>
      </c>
      <c r="AA29" s="351">
        <f t="shared" ref="AA29:AC29" si="13">AA323</f>
        <v>-772.11008</v>
      </c>
      <c r="AB29" s="351">
        <f t="shared" si="13"/>
        <v>-785.06008</v>
      </c>
      <c r="AC29" s="351">
        <f t="shared" si="13"/>
        <v>-798.01008</v>
      </c>
      <c r="AD29" s="350">
        <f t="shared" si="11"/>
        <v>-3114.3403200000002</v>
      </c>
      <c r="AE29" s="350">
        <f>AE325</f>
        <v>-3418.9259999999995</v>
      </c>
      <c r="AF29" s="350">
        <f t="shared" ref="AF29:AG29" si="14">AF325</f>
        <v>-3733.9259999999995</v>
      </c>
      <c r="AG29" s="350">
        <f t="shared" si="14"/>
        <v>-4048.9259999999995</v>
      </c>
      <c r="AH29" s="8"/>
      <c r="AI29" s="8"/>
      <c r="AJ29" s="8"/>
      <c r="AK29" s="8"/>
    </row>
    <row r="30" ht="15.75" customHeight="1" spans="1:37" x14ac:dyDescent="0.25">
      <c r="A30" s="260"/>
      <c r="B30" s="8"/>
      <c r="C30" s="130" t="s">
        <v>257</v>
      </c>
      <c r="D30" s="8"/>
      <c r="E30" s="8"/>
      <c r="F30" s="348">
        <f t="shared" ref="F30:I30" si="15">SUM(F28:F29)</f>
        <v>2967.56</v>
      </c>
      <c r="G30" s="348">
        <f t="shared" si="15"/>
        <v>2525.842</v>
      </c>
      <c r="H30" s="348">
        <f t="shared" si="15"/>
        <v>2895.788</v>
      </c>
      <c r="I30" s="348">
        <f t="shared" si="15"/>
        <v>4262.290000000001</v>
      </c>
      <c r="J30" s="278">
        <f t="shared" si="7"/>
        <v>12651.480000000001</v>
      </c>
      <c r="K30" s="348">
        <f t="shared" ref="K30:N30" si="16">SUM(K28:K29)</f>
        <v>2829.8</v>
      </c>
      <c r="L30" s="348">
        <f t="shared" si="16"/>
        <v>2656.03</v>
      </c>
      <c r="M30" s="348">
        <f t="shared" si="16"/>
        <v>3440.48</v>
      </c>
      <c r="N30" s="348">
        <f t="shared" si="16"/>
        <v>5220.959000000001</v>
      </c>
      <c r="O30" s="278">
        <f t="shared" si="8"/>
        <v>14147.269</v>
      </c>
      <c r="P30" s="348">
        <f t="shared" ref="P30:S30" si="17">SUM(P28:P29)</f>
        <v>3507.6640000000007</v>
      </c>
      <c r="Q30" s="348">
        <f t="shared" si="17"/>
        <v>3588.715</v>
      </c>
      <c r="R30" s="348">
        <f t="shared" si="17"/>
        <v>4191.5740000000005</v>
      </c>
      <c r="S30" s="348">
        <f t="shared" si="17"/>
        <v>2769.123999999999</v>
      </c>
      <c r="T30" s="278">
        <f t="shared" si="9"/>
        <v>14057.077000000001</v>
      </c>
      <c r="U30" s="277">
        <f>IF(Cover!$F$37="Bottom Up",(U36-SUM(U32:U33,U35)),U28+U29)</f>
        <v>3060.733510000001</v>
      </c>
      <c r="V30" s="277">
        <f>IF(Cover!$F$37="Bottom Up",(V36-SUM(V32:V33,V35)),V28+V29)</f>
        <v>3134.0472800000002</v>
      </c>
      <c r="W30" s="277">
        <f>IF(Cover!$F$37="Bottom Up",(W36-SUM(W32:W33,W35)),W28+W29)</f>
        <v>3695.15575</v>
      </c>
      <c r="X30" s="277">
        <f>IF(Cover!$F$37="Bottom Up",(X36-SUM(X32:X33,X35)),X28+X29)</f>
        <v>2247.009969999999</v>
      </c>
      <c r="Y30" s="278">
        <f t="shared" si="10"/>
        <v>12136.94651</v>
      </c>
      <c r="Z30" s="277">
        <f>IF(Cover!$F$37="Bottom Up",(Z36-SUM(Z32:Z33,Z35)),Z28+Z29)</f>
        <v>3224.3513371000004</v>
      </c>
      <c r="AA30" s="277">
        <f>IF(Cover!$F$37="Bottom Up",(AA36-SUM(AA32:AA33,AA35)),AA28+AA29)</f>
        <v>3409.2613288000007</v>
      </c>
      <c r="AB30" s="277">
        <f>IF(Cover!$F$37="Bottom Up",(AB36-SUM(AB32:AB33,AB35)),AB28+AB29)</f>
        <v>4010.257989500001</v>
      </c>
      <c r="AC30" s="277">
        <f>IF(Cover!$F$37="Bottom Up",(AC36-SUM(AC32:AC33,AC35)),AC28+AC29)</f>
        <v>2496.018909999999</v>
      </c>
      <c r="AD30" s="278">
        <f t="shared" si="11"/>
        <v>13139.8895654</v>
      </c>
      <c r="AE30" s="278">
        <f>IF(Cover!$F$37="Bottom Up",(AE36-SUM(AE32:AE33,AE35)),AE28+AE29)</f>
        <v>13709.464803084004</v>
      </c>
      <c r="AF30" s="278">
        <f>IF(Cover!$F$37="Bottom Up",(AF36-SUM(AF32:AF33,AF35)),AF28+AF29)</f>
        <v>14050.390566345242</v>
      </c>
      <c r="AG30" s="278">
        <f>IF(Cover!$F$37="Bottom Up",(AG36-SUM(AG32:AG33,AG35)),AG28+AG29)</f>
        <v>14161.599595263211</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-3554.8</v>
      </c>
      <c r="K32" s="354">
        <v>-926.871</v>
      </c>
      <c r="L32" s="354">
        <v>-861.993</v>
      </c>
      <c r="M32" s="354">
        <v>-889.098</v>
      </c>
      <c r="N32" s="354">
        <v>-981.626</v>
      </c>
      <c r="O32" s="157">
        <f t="shared" ref="O32:O36" si="19">SUM(K32:N32)</f>
        <v>-2589.2</v>
      </c>
      <c r="P32" s="354">
        <v>-841.127</v>
      </c>
      <c r="Q32" s="354">
        <v>-854.839</v>
      </c>
      <c r="R32" s="354">
        <v>-1083.51</v>
      </c>
      <c r="S32" s="354">
        <v>-1080.779</v>
      </c>
      <c r="T32" s="157">
        <f t="shared" ref="T32:T36" si="20">SUM(P32:S32)</f>
        <v>-2820.7</v>
      </c>
      <c r="U32" s="355">
        <f>U67*U$30</f>
        <v>-1591.5814252000005</v>
      </c>
      <c r="V32" s="355">
        <f t="shared" ref="V32:X32" si="21">V67*V$30</f>
        <v>-1645.3748220000002</v>
      </c>
      <c r="W32" s="355">
        <f t="shared" si="21"/>
        <v>-1939.95676875</v>
      </c>
      <c r="X32" s="355">
        <f t="shared" si="21"/>
        <v>-1157.2101345499996</v>
      </c>
      <c r="Y32" s="157">
        <f t="shared" ref="Y32:Y36" si="22">SUM(U32:X32)</f>
        <v>-6334.1231505000005</v>
      </c>
      <c r="Z32" s="355">
        <f>Z67*Z$30</f>
        <v>-1668.60181694925</v>
      </c>
      <c r="AA32" s="355">
        <f t="shared" ref="AA32:AC32" si="23">AA67*AA$30</f>
        <v>-1755.7695843320005</v>
      </c>
      <c r="AB32" s="355">
        <f t="shared" si="23"/>
        <v>-2025.1802846975004</v>
      </c>
      <c r="AC32" s="355">
        <f t="shared" si="23"/>
        <v>-1235.5293604499993</v>
      </c>
      <c r="AD32" s="157">
        <f t="shared" ref="AD32:AD36" si="24">SUM(Z32:AC32)</f>
        <v>-6685.081046428751</v>
      </c>
      <c r="AE32" s="157">
        <f>AE67*AE$30</f>
        <v>-7039.810176383635</v>
      </c>
      <c r="AF32" s="157">
        <f t="shared" ref="AF32:AG32" si="25">AF67*AF$30</f>
        <v>-7179.749579402419</v>
      </c>
      <c r="AG32" s="157">
        <f t="shared" si="25"/>
        <v>-7293.223791560554</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-726.9242086250002</v>
      </c>
      <c r="V33" s="355">
        <f>V68*V$30</f>
        <v>-752.1713472</v>
      </c>
      <c r="W33" s="355">
        <f>W68*W$30</f>
        <v>-886.8373799999999</v>
      </c>
      <c r="X33" s="355">
        <f>X68*X$30</f>
        <v>-561.7524924999998</v>
      </c>
      <c r="Y33" s="157">
        <f t="shared" si="22"/>
        <v>-2927.685428325</v>
      </c>
      <c r="Z33" s="355">
        <f>Z68*Z$30</f>
        <v>-773.844320904</v>
      </c>
      <c r="AA33" s="355">
        <f>AA68*AA$30</f>
        <v>-801.1764122680001</v>
      </c>
      <c r="AB33" s="355">
        <f>AB68*AB$30</f>
        <v>-922.3593375850003</v>
      </c>
      <c r="AC33" s="355">
        <f>AC68*AC$30</f>
        <v>-561.6042547499998</v>
      </c>
      <c r="AD33" s="157">
        <f>SUM(Z33:AC33)</f>
        <v>-3058.9843255070004</v>
      </c>
      <c r="AE33" s="157">
        <f>AE68*AE$30</f>
        <v>-3221.7242287247404</v>
      </c>
      <c r="AF33" s="157">
        <f>AF68*AF$30</f>
        <v>-3301.8417830911317</v>
      </c>
      <c r="AG33" s="157">
        <f>AG68*AG$30</f>
        <v>-3398.7839028631706</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-157.39999999999998</v>
      </c>
      <c r="K34" s="354">
        <v>-43.202</v>
      </c>
      <c r="L34" s="354">
        <v>-49.946</v>
      </c>
      <c r="M34" s="354">
        <v>-45.977</v>
      </c>
      <c r="N34" s="354">
        <v>-51.201</v>
      </c>
      <c r="O34" s="157">
        <f t="shared" si="19"/>
        <v>-172.89999999999998</v>
      </c>
      <c r="P34" s="354">
        <v>-30.988</v>
      </c>
      <c r="Q34" s="354">
        <v>-52.253</v>
      </c>
      <c r="R34" s="354">
        <v>-53.23</v>
      </c>
      <c r="S34" s="354">
        <v>-55.81</v>
      </c>
      <c r="T34" s="157">
        <f t="shared" si="20"/>
        <v>-166</v>
      </c>
      <c r="U34" s="355">
        <f>U76</f>
        <v>39.62</v>
      </c>
      <c r="V34" s="355">
        <f t="shared" ref="V34:X34" si="26">V76</f>
        <v>34.768930946137495</v>
      </c>
      <c r="W34" s="355">
        <f t="shared" si="26"/>
        <v>31.27456675650805</v>
      </c>
      <c r="X34" s="355">
        <f t="shared" si="26"/>
        <v>29.341303811349206</v>
      </c>
      <c r="Y34" s="157">
        <f t="shared" si="22"/>
        <v>135.00480151399475</v>
      </c>
      <c r="Z34" s="355">
        <f>Z76</f>
        <v>27.121355364616683</v>
      </c>
      <c r="AA34" s="355">
        <f t="shared" ref="AA34:AC34" si="27">AA76</f>
        <v>26.54844978583136</v>
      </c>
      <c r="AB34" s="355">
        <f t="shared" si="27"/>
        <v>26.62276062768417</v>
      </c>
      <c r="AC34" s="355">
        <f t="shared" si="27"/>
        <v>27.59934748313951</v>
      </c>
      <c r="AD34" s="157">
        <f t="shared" si="24"/>
        <v>107.89191326127172</v>
      </c>
      <c r="AE34" s="157">
        <f t="shared" ref="AE34:AG34" si="28">AE76</f>
        <v>87.48114040435698</v>
      </c>
      <c r="AF34" s="157">
        <f t="shared" si="28"/>
        <v>135.3711684272539</v>
      </c>
      <c r="AG34" s="157">
        <f t="shared" si="28"/>
        <v>189.6898708762918</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v>
      </c>
      <c r="P35" s="356">
        <v>-128.126</v>
      </c>
      <c r="Q35" s="356">
        <v>-113.437</v>
      </c>
      <c r="R35" s="356">
        <v>-94.974</v>
      </c>
      <c r="S35" s="356">
        <v>-134.543</v>
      </c>
      <c r="T35" s="350">
        <f t="shared" si="20"/>
        <v>0</v>
      </c>
      <c r="U35" s="351">
        <f t="shared" ref="U35:X35" si="29">U69*U$28</f>
        <v>-169.99436295000004</v>
      </c>
      <c r="V35" s="351">
        <f t="shared" si="29"/>
        <v>-136.4599348</v>
      </c>
      <c r="W35" s="351">
        <f t="shared" si="29"/>
        <v>-180.36411</v>
      </c>
      <c r="X35" s="351">
        <f t="shared" si="29"/>
        <v>-129.17101372499997</v>
      </c>
      <c r="Y35" s="350">
        <f t="shared" si="22"/>
        <v>-615.989421475</v>
      </c>
      <c r="Z35" s="351">
        <f t="shared" ref="Z35:AC35" si="30">Z69*Z$28</f>
        <v>-179.25801376950002</v>
      </c>
      <c r="AA35" s="351">
        <f t="shared" si="30"/>
        <v>-188.161713396</v>
      </c>
      <c r="AB35" s="351">
        <f t="shared" si="30"/>
        <v>-215.78931312750004</v>
      </c>
      <c r="AC35" s="351">
        <f t="shared" si="30"/>
        <v>-148.23130454999995</v>
      </c>
      <c r="AD35" s="350">
        <f t="shared" si="24"/>
        <v>-731.440344843</v>
      </c>
      <c r="AE35" s="350">
        <f t="shared" ref="AE35:AG35" si="31">AE69*AE$28</f>
        <v>-856.4195401542001</v>
      </c>
      <c r="AF35" s="350">
        <f t="shared" si="31"/>
        <v>-889.2158283172621</v>
      </c>
      <c r="AG35" s="350">
        <f t="shared" si="31"/>
        <v>-910.5262797631606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2130.86</v>
      </c>
      <c r="G36" s="348">
        <f t="shared" si="32"/>
        <v>1905.942</v>
      </c>
      <c r="H36" s="348">
        <f t="shared" si="32"/>
        <v>2292.988</v>
      </c>
      <c r="I36" s="348">
        <f t="shared" si="32"/>
        <v>2609.4900000000007</v>
      </c>
      <c r="J36" s="278">
        <f>SUM(F36:I36)</f>
        <v>8939.28</v>
      </c>
      <c r="K36" s="348">
        <f t="shared" ref="K36:N36" si="33">IF($C$34="Depreciation &amp; Amortization (incl. in SG&amp;A)",K30+SUM(K32:K33,K35),K30+SUM(K32:K35))</f>
        <v>2093.4</v>
      </c>
      <c r="L36" s="348">
        <f t="shared" si="33"/>
        <v>2054.8300000000004</v>
      </c>
      <c r="M36" s="348">
        <f t="shared" si="33"/>
        <v>2771.08</v>
      </c>
      <c r="N36" s="348">
        <f t="shared" si="33"/>
        <v>4465.859</v>
      </c>
      <c r="O36" s="278">
        <f t="shared" si="19"/>
        <v>11385.169000000002</v>
      </c>
      <c r="P36" s="348">
        <f t="shared" ref="P36:S36" si="34">IF($C$34="Depreciation &amp; Amortization (incl. in SG&amp;A)",P30+SUM(P32:P33,P35),P30+SUM(P32:P35))</f>
        <v>2537.5640000000008</v>
      </c>
      <c r="Q36" s="348">
        <f t="shared" si="34"/>
        <v>2676.815</v>
      </c>
      <c r="R36" s="348">
        <f t="shared" si="34"/>
        <v>3256.4740000000006</v>
      </c>
      <c r="S36" s="348">
        <f t="shared" si="34"/>
        <v>2599.523999999999</v>
      </c>
      <c r="T36" s="278">
        <f t="shared" si="20"/>
        <v>11070.377</v>
      </c>
      <c r="U36" s="277">
        <f>IF(Cover!$F$37="Bottom Up",'Segment Analysis'!U33,IF($C$34="Depreciation &amp; Amortization (incl. in SG&amp;A)",U30+SUM(U32:U33,U35),U30+SUM(U32:U35)))</f>
        <v>611.8535132250004</v>
      </c>
      <c r="V36" s="277">
        <f>IF(Cover!$F$37="Bottom Up",'Segment Analysis'!V33,IF($C$34="Depreciation &amp; Amortization (incl. in SG&amp;A)",V30+SUM(V32:V33,V35),V30+SUM(V32:V35)))</f>
        <v>634.8101069461372</v>
      </c>
      <c r="W36" s="277">
        <f>IF(Cover!$F$37="Bottom Up",'Segment Analysis'!W33,IF($C$34="Depreciation &amp; Amortization (incl. in SG&amp;A)",W30+SUM(W32:W33,W35),W30+SUM(W32:W35)))</f>
        <v>719.2720580065079</v>
      </c>
      <c r="X36" s="277">
        <f>IF(Cover!$F$37="Bottom Up",'Segment Analysis'!X33,IF($C$34="Depreciation &amp; Amortization (incl. in SG&amp;A)",X30+SUM(X32:X33,X35),X30+SUM(X32:X35)))</f>
        <v>428.21763303634907</v>
      </c>
      <c r="Y36" s="278">
        <f t="shared" si="22"/>
        <v>2394.1533112139946</v>
      </c>
      <c r="Z36" s="277">
        <f>IF(Cover!$F$37="Bottom Up",'Segment Analysis'!Z33,IF($C$34="Depreciation &amp; Amortization (incl. in SG&amp;A)",Z30+SUM(Z32:Z33,Z35),Z30+SUM(Z32:Z35)))</f>
        <v>629.768540841867</v>
      </c>
      <c r="AA36" s="277">
        <f>IF(Cover!$F$37="Bottom Up",'Segment Analysis'!AA33,IF($C$34="Depreciation &amp; Amortization (incl. in SG&amp;A)",AA30+SUM(AA32:AA33,AA35),AA30+SUM(AA32:AA35)))</f>
        <v>690.7020685898319</v>
      </c>
      <c r="AB36" s="277">
        <f>IF(Cover!$F$37="Bottom Up",'Segment Analysis'!AB33,IF($C$34="Depreciation &amp; Amortization (incl. in SG&amp;A)",AB30+SUM(AB32:AB33,AB35),AB30+SUM(AB32:AB35)))</f>
        <v>873.5518147176845</v>
      </c>
      <c r="AC36" s="277">
        <f>IF(Cover!$F$37="Bottom Up",'Segment Analysis'!AC33,IF($C$34="Depreciation &amp; Amortization (incl. in SG&amp;A)",AC30+SUM(AC32:AC33,AC35),AC30+SUM(AC32:AC35)))</f>
        <v>578.2533377331395</v>
      </c>
      <c r="AD36" s="278">
        <f t="shared" si="24"/>
        <v>2772.2757618825226</v>
      </c>
      <c r="AE36" s="278">
        <f>IF(Cover!$F$37="Bottom Up",'Segment Analysis'!AE33,IF($C$34="Depreciation &amp; Amortization (incl. in SG&amp;A)",AE30+SUM(AE32:AE33,AE35),AE30+SUM(AE32:AE35)))</f>
        <v>2678.991998225785</v>
      </c>
      <c r="AF36" s="278">
        <f>IF(Cover!$F$37="Bottom Up",'Segment Analysis'!AF33,IF($C$34="Depreciation &amp; Amortization (incl. in SG&amp;A)",AF30+SUM(AF32:AF33,AF35),AF30+SUM(AF32:AF35)))</f>
        <v>2814.954543961685</v>
      </c>
      <c r="AG36" s="278">
        <f>IF(Cover!$F$37="Bottom Up",'Segment Analysis'!AG33,IF($C$34="Depreciation &amp; Amortization (incl. in SG&amp;A)",AG30+SUM(AG32:AG33,AG35),AG30+SUM(AG32:AG35)))</f>
        <v>2748.7554919526174</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-931.7</v>
      </c>
      <c r="K39" s="364">
        <v>-813.739</v>
      </c>
      <c r="L39" s="364">
        <v>-859.851</v>
      </c>
      <c r="M39" s="364">
        <v>-912.037</v>
      </c>
      <c r="N39" s="364">
        <v>-894.639</v>
      </c>
      <c r="O39" s="365">
        <f t="shared" si="36"/>
        <v>-1110.7</v>
      </c>
      <c r="P39" s="364">
        <v>-879.845</v>
      </c>
      <c r="Q39" s="364">
        <v>-859.868</v>
      </c>
      <c r="R39" s="364">
        <v>-860.242</v>
      </c>
      <c r="S39" s="364">
        <v>-879.971</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1910.8600000000001</v>
      </c>
      <c r="G42" s="348">
        <f t="shared" si="46"/>
        <v>1647.542</v>
      </c>
      <c r="H42" s="348">
        <f t="shared" si="46"/>
        <v>1970.6879999999999</v>
      </c>
      <c r="I42" s="348">
        <f>I36+SUM(I38:I41)</f>
        <v>2478.4900000000007</v>
      </c>
      <c r="J42" s="278">
        <f t="shared" si="35"/>
        <v>8007.580000000001</v>
      </c>
      <c r="K42" s="348">
        <f t="shared" ref="K42:L42" si="47">K36+SUM(K38:K41)</f>
        <v>1596.3000000000002</v>
      </c>
      <c r="L42" s="348">
        <f t="shared" si="47"/>
        <v>1441.2300000000005</v>
      </c>
      <c r="M42" s="348">
        <f t="shared" ref="M42:N42" si="48">IF($C$8="On",M36+SUM(M38:M41),IF($C$8="off",M36+SUM(M40:M41),"N/A"))</f>
        <v>2771.08</v>
      </c>
      <c r="N42" s="348">
        <f t="shared" si="48"/>
        <v>4465.859</v>
      </c>
      <c r="O42" s="278">
        <f t="shared" si="36"/>
        <v>10274.469000000001</v>
      </c>
      <c r="P42" s="348">
        <f t="shared" ref="P42:Q42" si="49">P36+SUM(P38:P41)</f>
        <v>2537.5640000000008</v>
      </c>
      <c r="Q42" s="348">
        <f t="shared" si="49"/>
        <v>2676.815</v>
      </c>
      <c r="R42" s="348">
        <f t="shared" ref="R42" si="50">IF($C$8="On",R36+SUM(R38:R41),IF($C$8="off",R36+SUM(R40:R41),"N/A"))</f>
        <v>3256.4740000000006</v>
      </c>
      <c r="S42" s="348">
        <f t="shared" ref="S42" si="51">IF($C$8="On",S36+SUM(S38:S41),IF($C$8="off",S36+SUM(S40:S41),"N/A"))</f>
        <v>2599.523999999999</v>
      </c>
      <c r="T42" s="278">
        <f t="shared" si="37"/>
        <v>11070.377</v>
      </c>
      <c r="U42" s="277">
        <f t="shared" ref="U42:X42" si="52">IF($C$8="On",U36+SUM(U38:U41),IF($C$8="off",U36+SUM(U40:U41),"N/A"))</f>
        <v>611.8535132250004</v>
      </c>
      <c r="V42" s="277">
        <f t="shared" si="52"/>
        <v>634.8101069461372</v>
      </c>
      <c r="W42" s="277">
        <f t="shared" si="52"/>
        <v>719.2720580065079</v>
      </c>
      <c r="X42" s="277">
        <f t="shared" si="52"/>
        <v>428.21763303634907</v>
      </c>
      <c r="Y42" s="278">
        <f t="shared" si="39"/>
        <v>2394.1533112139946</v>
      </c>
      <c r="Z42" s="277">
        <f t="shared" ref="Z42:AC42" si="53">IF($C$8="On",Z36+SUM(Z38:Z41),IF($C$8="off",Z36+SUM(Z40:Z41),"N/A"))</f>
        <v>629.768540841867</v>
      </c>
      <c r="AA42" s="277">
        <f t="shared" si="53"/>
        <v>690.7020685898319</v>
      </c>
      <c r="AB42" s="277">
        <f t="shared" si="53"/>
        <v>873.5518147176845</v>
      </c>
      <c r="AC42" s="277">
        <f t="shared" si="53"/>
        <v>578.2533377331395</v>
      </c>
      <c r="AD42" s="278">
        <f t="shared" si="41"/>
        <v>2772.2757618825226</v>
      </c>
      <c r="AE42" s="278">
        <f t="shared" ref="AE42:AG42" si="54">IF($C$8="On",AE36+SUM(AE38:AE41),IF($C$8="off",AE36+SUM(AE40:AE41),"N/A"))</f>
        <v>2678.991998225785</v>
      </c>
      <c r="AF42" s="278">
        <f t="shared" si="54"/>
        <v>2814.954543961685</v>
      </c>
      <c r="AG42" s="278">
        <f t="shared" si="54"/>
        <v>2748.7554919526174</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128.12</v>
      </c>
      <c r="J44" s="357">
        <f t="shared" ref="J44:J45" si="55">SUM(F44:I44)</f>
        <v>-91.88</v>
      </c>
      <c r="K44" s="356">
        <v>-55.959</v>
      </c>
      <c r="L44" s="356">
        <v>-73.107</v>
      </c>
      <c r="M44" s="356">
        <v>-78.011</v>
      </c>
      <c r="N44" s="356">
        <f>(-293.194-SUM(K44:M44))</f>
        <v>-218.19400000000002</v>
      </c>
      <c r="O44" s="357">
        <f t="shared" ref="O44:O45" si="56">SUM(K44:N44)</f>
        <v>-293.194</v>
      </c>
      <c r="P44" s="356">
        <v>-14.216</v>
      </c>
      <c r="Q44" s="356">
        <v>-43.506</v>
      </c>
      <c r="R44" s="356">
        <v>-89.311</v>
      </c>
      <c r="S44" s="356">
        <f>+-184.57-SUM(P44:R44)</f>
        <v>22.53</v>
      </c>
      <c r="T44" s="350">
        <f t="shared" ref="T44:T45" si="57">SUM(P44:S44)</f>
        <v>-184.57</v>
      </c>
      <c r="U44" s="351">
        <f t="shared" ref="U44:X44" si="58">-U71*U42</f>
        <v>-132.77221236982507</v>
      </c>
      <c r="V44" s="351">
        <f t="shared" si="58"/>
        <v>-163.14619748515727</v>
      </c>
      <c r="W44" s="351">
        <f t="shared" si="58"/>
        <v>-184.85291890767255</v>
      </c>
      <c r="X44" s="351">
        <f t="shared" si="58"/>
        <v>-110.05193169034172</v>
      </c>
      <c r="Y44" s="350">
        <f t="shared" ref="Y44:Y45" si="59">SUM(U44:X44)</f>
        <v>-590.8232604529966</v>
      </c>
      <c r="Z44" s="351">
        <f t="shared" ref="Z44:AC44" si="60">-Z71*Z42</f>
        <v>-160.59097791467607</v>
      </c>
      <c r="AA44" s="351">
        <f t="shared" si="60"/>
        <v>-176.12902749040714</v>
      </c>
      <c r="AB44" s="351">
        <f t="shared" si="60"/>
        <v>-222.75571275300953</v>
      </c>
      <c r="AC44" s="351">
        <f t="shared" si="60"/>
        <v>-147.45460112195056</v>
      </c>
      <c r="AD44" s="350">
        <f t="shared" ref="AD44:AD45" si="61">SUM(Z44:AC44)</f>
        <v>-706.9303192800432</v>
      </c>
      <c r="AE44" s="350">
        <f t="shared" ref="AE44:AG44" si="62">-AE71*AE42</f>
        <v>-669.7479995564463</v>
      </c>
      <c r="AF44" s="350">
        <f t="shared" si="62"/>
        <v>-703.7386359904212</v>
      </c>
      <c r="AG44" s="350">
        <f t="shared" si="62"/>
        <v>-687.1888729881543</v>
      </c>
      <c r="AH44" s="8"/>
      <c r="AI44" s="8"/>
      <c r="AJ44" s="8"/>
      <c r="AK44" s="8"/>
    </row>
    <row r="45" ht="15.75" customHeight="1" spans="1:37" x14ac:dyDescent="0.25">
      <c r="A45" s="260"/>
      <c r="B45" s="8"/>
      <c r="C45" s="130" t="s">
        <v>269</v>
      </c>
      <c r="D45" s="8"/>
      <c r="E45" s="8"/>
      <c r="F45" s="348">
        <f t="shared" ref="F45:H45" si="63">F42+F44</f>
        <v>1846.46</v>
      </c>
      <c r="G45" s="348">
        <f t="shared" si="63"/>
        <v>1597.8419999999999</v>
      </c>
      <c r="H45" s="348">
        <f t="shared" si="63"/>
        <v>1864.7879999999998</v>
      </c>
      <c r="I45" s="348">
        <f>I42+I44</f>
        <v>2606.6100000000006</v>
      </c>
      <c r="J45" s="278">
        <f t="shared" si="55"/>
        <v>7915.7</v>
      </c>
      <c r="K45" s="348">
        <f t="shared" ref="K45:N45" si="64">K42+K44</f>
        <v>1567.6000000000001</v>
      </c>
      <c r="L45" s="348">
        <f t="shared" si="64"/>
        <v>1432.0300000000004</v>
      </c>
      <c r="M45" s="348">
        <f t="shared" si="64"/>
        <v>2733.98</v>
      </c>
      <c r="N45" s="348">
        <f t="shared" si="64"/>
        <v>4247.665</v>
      </c>
      <c r="O45" s="278">
        <f t="shared" si="56"/>
        <v>9981.275000000001</v>
      </c>
      <c r="P45" s="348">
        <f t="shared" ref="P45:S45" si="65">P42+P44</f>
        <v>2481.5640000000008</v>
      </c>
      <c r="Q45" s="348">
        <f t="shared" si="65"/>
        <v>2603.715</v>
      </c>
      <c r="R45" s="348">
        <f t="shared" si="65"/>
        <v>3178.4740000000006</v>
      </c>
      <c r="S45" s="348">
        <f t="shared" si="65"/>
        <v>2622.053999999999</v>
      </c>
      <c r="T45" s="126">
        <f t="shared" si="57"/>
        <v>10885.807</v>
      </c>
      <c r="U45" s="277">
        <f t="shared" ref="U45:X45" si="66">U42+U44</f>
        <v>479.0813008551753</v>
      </c>
      <c r="V45" s="277">
        <f t="shared" si="66"/>
        <v>471.66390946098</v>
      </c>
      <c r="W45" s="277">
        <f t="shared" si="66"/>
        <v>534.4191390988353</v>
      </c>
      <c r="X45" s="277">
        <f t="shared" si="66"/>
        <v>318.1657013460074</v>
      </c>
      <c r="Y45" s="278">
        <f t="shared" si="59"/>
        <v>1803.3300507609981</v>
      </c>
      <c r="Z45" s="277">
        <f t="shared" ref="Z45:AC45" si="67">Z42+Z44</f>
        <v>469.17756292719093</v>
      </c>
      <c r="AA45" s="277">
        <f t="shared" si="67"/>
        <v>514.5730410994248</v>
      </c>
      <c r="AB45" s="277">
        <f t="shared" si="67"/>
        <v>650.7961019646749</v>
      </c>
      <c r="AC45" s="277">
        <f t="shared" si="67"/>
        <v>430.79873661118893</v>
      </c>
      <c r="AD45" s="278">
        <f t="shared" si="61"/>
        <v>2065.3454426024796</v>
      </c>
      <c r="AE45" s="278">
        <f t="shared" ref="AE45:AG45" si="68">AE42+AE44</f>
        <v>2009.243998669339</v>
      </c>
      <c r="AF45" s="278">
        <f t="shared" si="68"/>
        <v>2111.2159079712637</v>
      </c>
      <c r="AG45" s="278">
        <f t="shared" si="68"/>
        <v>2061.566618964463</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0</v>
      </c>
      <c r="P49" s="354">
        <v>0</v>
      </c>
      <c r="Q49" s="354">
        <v>0</v>
      </c>
      <c r="R49" s="354">
        <v>0</v>
      </c>
      <c r="S49" s="354">
        <v>-4.374</v>
      </c>
      <c r="T49" s="157">
        <f t="shared" si="71"/>
        <v>0</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5.783</v>
      </c>
      <c r="G50" s="356">
        <v>5.723</v>
      </c>
      <c r="H50" s="356">
        <v>3.703</v>
      </c>
      <c r="I50" s="356">
        <f>(15.3-SUM(F50:H50))</f>
        <v>1.5060000000000002</v>
      </c>
      <c r="J50" s="357">
        <f t="shared" si="69"/>
        <v>15.3</v>
      </c>
      <c r="K50" s="356">
        <v>7.438</v>
      </c>
      <c r="L50" s="356">
        <v>4.79</v>
      </c>
      <c r="M50" s="356">
        <v>6.874</v>
      </c>
      <c r="N50" s="356">
        <f>(31.031-SUM(K50:M50))</f>
        <v>13.416999999999998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1852.771</v>
      </c>
      <c r="G51" s="348">
        <f t="shared" si="74"/>
        <v>1601.5529999999999</v>
      </c>
      <c r="H51" s="348">
        <f t="shared" si="74"/>
        <v>1868.5599999999997</v>
      </c>
      <c r="I51" s="348">
        <f t="shared" si="74"/>
        <v>2593.5000000000005</v>
      </c>
      <c r="J51" s="278">
        <f>SUM(F51:I51)</f>
        <v>7916.384</v>
      </c>
      <c r="K51" s="348">
        <f t="shared" ref="K51:N51" si="75">SUM(K45:K50)</f>
        <v>1567.1470000000002</v>
      </c>
      <c r="L51" s="348">
        <f t="shared" si="75"/>
        <v>1436.8600000000004</v>
      </c>
      <c r="M51" s="348">
        <f t="shared" si="75"/>
        <v>2747.217</v>
      </c>
      <c r="N51" s="348">
        <f t="shared" si="75"/>
        <v>4186.972000000001</v>
      </c>
      <c r="O51" s="278">
        <f t="shared" si="70"/>
        <v>9938.196</v>
      </c>
      <c r="P51" s="348">
        <f t="shared" ref="P51:S51" si="76">SUM(P45:P50)</f>
        <v>2480.647000000001</v>
      </c>
      <c r="Q51" s="348">
        <f t="shared" si="76"/>
        <v>2611.3830000000003</v>
      </c>
      <c r="R51" s="348">
        <f t="shared" si="76"/>
        <v>3194.915000000001</v>
      </c>
      <c r="S51" s="348">
        <f t="shared" si="76"/>
        <v>2547.607999999999</v>
      </c>
      <c r="T51" s="375">
        <f t="shared" si="71"/>
        <v>10834.553</v>
      </c>
      <c r="U51" s="277">
        <f t="shared" ref="U51:X51" si="77">SUM(U45:U50)</f>
        <v>459.0813008551753</v>
      </c>
      <c r="V51" s="277">
        <f t="shared" si="77"/>
        <v>451.66390946098</v>
      </c>
      <c r="W51" s="277">
        <f t="shared" si="77"/>
        <v>514.4191390988353</v>
      </c>
      <c r="X51" s="277">
        <f t="shared" si="77"/>
        <v>278.1657013460074</v>
      </c>
      <c r="Y51" s="278">
        <f t="shared" si="72"/>
        <v>1703.3300507609981</v>
      </c>
      <c r="Z51" s="277">
        <f t="shared" ref="Z51:AC51" si="78">SUM(Z45:Z50)</f>
        <v>449.17756292719093</v>
      </c>
      <c r="AA51" s="277">
        <f t="shared" si="78"/>
        <v>494.5730410994248</v>
      </c>
      <c r="AB51" s="277">
        <f t="shared" si="78"/>
        <v>630.7961019646749</v>
      </c>
      <c r="AC51" s="277">
        <f t="shared" si="78"/>
        <v>410.79873661118893</v>
      </c>
      <c r="AD51" s="278">
        <f t="shared" si="73"/>
        <v>1985.3454426024796</v>
      </c>
      <c r="AE51" s="278">
        <f t="shared" ref="AE51:AG51" si="79">SUM(AE45:AE50)</f>
        <v>1909.243998669339</v>
      </c>
      <c r="AF51" s="278">
        <f t="shared" si="79"/>
        <v>2011.2159079712637</v>
      </c>
      <c r="AG51" s="278">
        <f t="shared" si="79"/>
        <v>1961.566618964463</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7.167934782608695</v>
      </c>
      <c r="G53" s="376">
        <f>(G45)/G285</f>
        <v>6.414460056202328</v>
      </c>
      <c r="H53" s="376">
        <f>(H45)/H285</f>
        <v>7.645707257072569</v>
      </c>
      <c r="I53" s="376">
        <f>(I45)/I285</f>
        <v>194.52313432835825</v>
      </c>
      <c r="J53" s="117">
        <f>J45/J285</f>
        <v>33.79167556029883</v>
      </c>
      <c r="K53" s="376">
        <f>(K45)/K285</f>
        <v>6.556252613969051</v>
      </c>
      <c r="L53" s="376">
        <f>(L45)/L285</f>
        <v>5.902844187963728</v>
      </c>
      <c r="M53" s="376">
        <f>(M45)/M285</f>
        <v>11.970140105078809</v>
      </c>
      <c r="N53" s="376">
        <f>(N45)/N285</f>
        <v>396.9780373831776</v>
      </c>
      <c r="O53" s="117">
        <f>O45/O285</f>
        <v>46.10288683602772</v>
      </c>
      <c r="P53" s="376">
        <f>(P45)/P285</f>
        <v>11.279836363636367</v>
      </c>
      <c r="Q53" s="376">
        <f>(Q45)/Q285</f>
        <v>11.835068181818183</v>
      </c>
      <c r="R53" s="376">
        <f>(R45)/R285</f>
        <v>14.818060606060609</v>
      </c>
      <c r="S53" s="376">
        <f>(S45)/S285</f>
        <v>12.190156953174393</v>
      </c>
      <c r="T53" s="117">
        <f t="shared" ref="T53:X53" si="80">T45/T285</f>
        <v>50.07293961793753</v>
      </c>
      <c r="U53" s="377">
        <f t="shared" si="80"/>
        <v>2.147337094968137</v>
      </c>
      <c r="V53" s="377">
        <f t="shared" si="80"/>
        <v>2.045177132559217</v>
      </c>
      <c r="W53" s="377">
        <f t="shared" si="80"/>
        <v>2.3272019839740694</v>
      </c>
      <c r="X53" s="377">
        <f t="shared" si="80"/>
        <v>1.3914486258957692</v>
      </c>
      <c r="Y53" s="117">
        <f t="shared" ref="Y53:AG53" si="81">Y45/Y285</f>
        <v>7.909121585087151</v>
      </c>
      <c r="Z53" s="377">
        <f t="shared" si="81"/>
        <v>2.0698197318849676</v>
      </c>
      <c r="AA53" s="377">
        <f t="shared" si="81"/>
        <v>2.2850287129908984</v>
      </c>
      <c r="AB53" s="377">
        <f t="shared" si="81"/>
        <v>2.883316720178032</v>
      </c>
      <c r="AC53" s="377">
        <f t="shared" si="81"/>
        <v>1.9042628205247811</v>
      </c>
      <c r="AD53" s="117">
        <f t="shared" si="81"/>
        <v>9.14063436718136</v>
      </c>
      <c r="AE53" s="117">
        <f t="shared" si="81"/>
        <v>8.9589278939765</v>
      </c>
      <c r="AF53" s="117">
        <f t="shared" si="81"/>
        <v>9.581473855270097</v>
      </c>
      <c r="AG53" s="117">
        <f t="shared" si="81"/>
        <v>9.526019741197373</v>
      </c>
      <c r="AH53" s="8"/>
      <c r="AI53" s="8"/>
      <c r="AJ53" s="8"/>
      <c r="AK53" s="8"/>
    </row>
    <row r="54" ht="15.75" customHeight="1" spans="1:37" x14ac:dyDescent="0.25">
      <c r="A54" s="260"/>
      <c r="B54" s="8"/>
      <c r="C54" s="130" t="s">
        <v>276</v>
      </c>
      <c r="D54" s="8"/>
      <c r="E54" s="8"/>
      <c r="F54" s="376">
        <f>(F45)/F287</f>
        <v>6.92595648912228</v>
      </c>
      <c r="G54" s="376">
        <f>(G45)/G287</f>
        <v>6.340642857142857</v>
      </c>
      <c r="H54" s="376">
        <f>(H45)/H287</f>
        <v>7.423519108280254</v>
      </c>
      <c r="I54" s="376">
        <f>(I45)/I287</f>
        <v>194.52313432835825</v>
      </c>
      <c r="J54" s="117">
        <f>J45/J287</f>
        <v>33.59804753820034</v>
      </c>
      <c r="K54" s="376">
        <f>(K45)/K287</f>
        <v>6.318419991938735</v>
      </c>
      <c r="L54" s="376">
        <f>(L45)/L287</f>
        <v>5.835493072534639</v>
      </c>
      <c r="M54" s="376">
        <f>(M45)/M287</f>
        <v>11.784396551724138</v>
      </c>
      <c r="N54" s="376">
        <f>(N45)/N287</f>
        <v>285.07818791946306</v>
      </c>
      <c r="O54" s="117">
        <f>O45/O287</f>
        <v>44.619021010281635</v>
      </c>
      <c r="P54" s="376">
        <f>(P45)/P287</f>
        <v>11.014487350199737</v>
      </c>
      <c r="Q54" s="376">
        <f>(Q45)/Q287</f>
        <v>11.51576735957541</v>
      </c>
      <c r="R54" s="376">
        <f>(R45)/R287</f>
        <v>14.336824537663512</v>
      </c>
      <c r="S54" s="376">
        <f>(S45)/S287</f>
        <v>211.4559677419354</v>
      </c>
      <c r="T54" s="117">
        <f t="shared" ref="T54:X54" si="82">T45/T287</f>
        <v>63.52039095550695</v>
      </c>
      <c r="U54" s="377">
        <f t="shared" si="82"/>
        <v>2.0377347361018843</v>
      </c>
      <c r="V54" s="377">
        <f t="shared" si="82"/>
        <v>2.027593477204102</v>
      </c>
      <c r="W54" s="377">
        <f t="shared" si="82"/>
        <v>2.400371221028143</v>
      </c>
      <c r="X54" s="377">
        <f t="shared" si="82"/>
        <v>1.5032074036174714</v>
      </c>
      <c r="Y54" s="117">
        <f t="shared" ref="Y54:AG54" si="83">Y45/Y287</f>
        <v>7.996803385545174</v>
      </c>
      <c r="Z54" s="377">
        <f t="shared" si="83"/>
        <v>2.3855406557265098</v>
      </c>
      <c r="AA54" s="377">
        <f t="shared" si="83"/>
        <v>2.3801531373826834</v>
      </c>
      <c r="AB54" s="377">
        <f t="shared" si="83"/>
        <v>3.641613288327546</v>
      </c>
      <c r="AC54" s="377">
        <f t="shared" si="83"/>
        <v>2.530706965789069</v>
      </c>
      <c r="AD54" s="117">
        <f t="shared" si="83"/>
        <v>10.844435671745366</v>
      </c>
      <c r="AE54" s="117">
        <f t="shared" si="83"/>
        <v>11.940395549573132</v>
      </c>
      <c r="AF54" s="117">
        <f t="shared" si="83"/>
        <v>12.846357416671436</v>
      </c>
      <c r="AG54" s="117">
        <f t="shared" si="83"/>
        <v>12.85151629323741</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7.19243400621118</v>
      </c>
      <c r="G56" s="376">
        <f t="shared" si="84"/>
        <v>6.4293576876756315</v>
      </c>
      <c r="H56" s="376">
        <f t="shared" si="84"/>
        <v>7.661172611726116</v>
      </c>
      <c r="I56" s="376">
        <f t="shared" si="84"/>
        <v>193.54477611940302</v>
      </c>
      <c r="J56" s="117">
        <f t="shared" si="84"/>
        <v>33.794595517609395</v>
      </c>
      <c r="K56" s="376">
        <f t="shared" si="84"/>
        <v>6.554358009201172</v>
      </c>
      <c r="L56" s="376">
        <f t="shared" si="84"/>
        <v>5.922753503709812</v>
      </c>
      <c r="M56" s="376">
        <f t="shared" si="84"/>
        <v>12.028095446584938</v>
      </c>
      <c r="N56" s="376">
        <f t="shared" si="84"/>
        <v>391.30579439252347</v>
      </c>
      <c r="O56" s="117">
        <f t="shared" si="84"/>
        <v>45.903907621247114</v>
      </c>
      <c r="P56" s="376">
        <f t="shared" si="84"/>
        <v>11.275668181818185</v>
      </c>
      <c r="Q56" s="376">
        <f t="shared" si="84"/>
        <v>11.869922727272728</v>
      </c>
      <c r="R56" s="376">
        <f t="shared" si="84"/>
        <v>14.89470862470863</v>
      </c>
      <c r="S56" s="376">
        <f t="shared" ref="S56" si="85">S51/S285</f>
        <v>11.84405102837802</v>
      </c>
      <c r="T56" s="117">
        <f t="shared" si="84"/>
        <v>49.83717956384344</v>
      </c>
      <c r="U56" s="377">
        <f t="shared" si="84"/>
        <v>2.0576931413788375</v>
      </c>
      <c r="V56" s="377">
        <f t="shared" si="84"/>
        <v>1.9584553337726</v>
      </c>
      <c r="W56" s="377">
        <f t="shared" si="84"/>
        <v>2.2401092204963873</v>
      </c>
      <c r="X56" s="377">
        <f t="shared" si="84"/>
        <v>1.2165147948751138</v>
      </c>
      <c r="Y56" s="117">
        <f t="shared" ref="Y56:AG56" si="86">Y51/Y285</f>
        <v>7.470537334702728</v>
      </c>
      <c r="Z56" s="377">
        <f t="shared" si="86"/>
        <v>1.9815879025975054</v>
      </c>
      <c r="AA56" s="377">
        <f t="shared" si="86"/>
        <v>2.1962161040711323</v>
      </c>
      <c r="AB56" s="377">
        <f t="shared" si="86"/>
        <v>2.7947078083706733</v>
      </c>
      <c r="AC56" s="377">
        <f t="shared" si="86"/>
        <v>1.8158566735845942</v>
      </c>
      <c r="AD56" s="117">
        <f t="shared" si="86"/>
        <v>8.786577009854692</v>
      </c>
      <c r="AE56" s="117">
        <f t="shared" si="86"/>
        <v>8.513042381818208</v>
      </c>
      <c r="AF56" s="117">
        <f t="shared" si="86"/>
        <v>9.127637096126064</v>
      </c>
      <c r="AG56" s="117">
        <f t="shared" si="86"/>
        <v>9.063943005303077</v>
      </c>
      <c r="AH56" s="8"/>
      <c r="AI56" s="8"/>
      <c r="AJ56" s="8"/>
      <c r="AK56" s="8"/>
    </row>
    <row r="57" ht="15.75" customHeight="1" spans="1:37" x14ac:dyDescent="0.25">
      <c r="A57" s="260"/>
      <c r="B57" s="8"/>
      <c r="C57" s="130" t="s">
        <v>278</v>
      </c>
      <c r="D57" s="8"/>
      <c r="E57" s="8"/>
      <c r="F57" s="376">
        <f t="shared" ref="F57:X57" si="87">F51/F287</f>
        <v>6.949628657164291</v>
      </c>
      <c r="G57" s="376">
        <f t="shared" si="87"/>
        <v>6.355369047619047</v>
      </c>
      <c r="H57" s="376">
        <f t="shared" si="87"/>
        <v>7.438535031847133</v>
      </c>
      <c r="I57" s="376">
        <f t="shared" si="87"/>
        <v>193.54477611940302</v>
      </c>
      <c r="J57" s="117">
        <f t="shared" si="87"/>
        <v>33.60095076400679</v>
      </c>
      <c r="K57" s="376">
        <f t="shared" si="87"/>
        <v>6.316594115276099</v>
      </c>
      <c r="L57" s="376">
        <f t="shared" si="87"/>
        <v>5.85517522412388</v>
      </c>
      <c r="M57" s="376">
        <f t="shared" si="87"/>
        <v>11.841452586206897</v>
      </c>
      <c r="N57" s="376">
        <f t="shared" si="87"/>
        <v>281.00483221476514</v>
      </c>
      <c r="O57" s="117">
        <f t="shared" si="87"/>
        <v>44.42644613321413</v>
      </c>
      <c r="P57" s="376">
        <f t="shared" si="87"/>
        <v>11.010417221482472</v>
      </c>
      <c r="Q57" s="376">
        <f t="shared" si="87"/>
        <v>11.549681556833262</v>
      </c>
      <c r="R57" s="376">
        <f t="shared" si="87"/>
        <v>14.410983310780338</v>
      </c>
      <c r="S57" s="376">
        <f t="shared" ref="S57" si="88">S51/S287</f>
        <v>205.45225806451603</v>
      </c>
      <c r="T57" s="117">
        <f t="shared" si="87"/>
        <v>63.22131582786288</v>
      </c>
      <c r="U57" s="377">
        <f t="shared" si="87"/>
        <v>1.9526663048162356</v>
      </c>
      <c r="V57" s="377">
        <f t="shared" si="87"/>
        <v>1.9416172794695226</v>
      </c>
      <c r="W57" s="377">
        <f t="shared" si="87"/>
        <v>2.3105401859691903</v>
      </c>
      <c r="X57" s="377">
        <f t="shared" si="87"/>
        <v>1.3142231859902265</v>
      </c>
      <c r="Y57" s="117">
        <f t="shared" ref="Y57:AG57" si="89">Y51/Y287</f>
        <v>7.553356919260727</v>
      </c>
      <c r="Z57" s="377">
        <f t="shared" si="89"/>
        <v>2.283850342965466</v>
      </c>
      <c r="AA57" s="377">
        <f t="shared" si="89"/>
        <v>2.287643310894405</v>
      </c>
      <c r="AB57" s="377">
        <f t="shared" si="89"/>
        <v>3.529700716099963</v>
      </c>
      <c r="AC57" s="377">
        <f t="shared" si="89"/>
        <v>2.413217904159201</v>
      </c>
      <c r="AD57" s="117">
        <f t="shared" si="89"/>
        <v>10.424382524293941</v>
      </c>
      <c r="AE57" s="117">
        <f t="shared" si="89"/>
        <v>11.346122501726237</v>
      </c>
      <c r="AF57" s="117">
        <f t="shared" si="89"/>
        <v>12.237875954961728</v>
      </c>
      <c r="AG57" s="117">
        <f t="shared" si="89"/>
        <v>12.228130360664792</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2137.1710000000003</v>
      </c>
      <c r="G59" s="348">
        <f t="shared" si="90"/>
        <v>1909.6529999999998</v>
      </c>
      <c r="H59" s="348">
        <f t="shared" si="90"/>
        <v>2296.7599999999998</v>
      </c>
      <c r="I59" s="348">
        <f t="shared" si="90"/>
        <v>2596.3800000000006</v>
      </c>
      <c r="J59" s="278">
        <f t="shared" ref="J59:J61" si="91">SUM(F59:I59)</f>
        <v>8939.964</v>
      </c>
      <c r="K59" s="348">
        <f t="shared" ref="K59:N59" si="92">K51-K44-K41-K40-K39-K38</f>
        <v>2092.947</v>
      </c>
      <c r="L59" s="348">
        <f t="shared" si="92"/>
        <v>2059.6600000000003</v>
      </c>
      <c r="M59" s="348">
        <f t="shared" si="92"/>
        <v>2784.317</v>
      </c>
      <c r="N59" s="348">
        <f t="shared" si="92"/>
        <v>4405.166000000001</v>
      </c>
      <c r="O59" s="278">
        <f t="shared" ref="O59:O61" si="93">SUM(K59:N59)</f>
        <v>11342.09</v>
      </c>
      <c r="P59" s="348">
        <f t="shared" ref="P59:S59" si="94">P51-P44-P41-P40-P39-P38</f>
        <v>2536.647000000001</v>
      </c>
      <c r="Q59" s="348">
        <f t="shared" si="94"/>
        <v>2684.483</v>
      </c>
      <c r="R59" s="348">
        <f t="shared" si="94"/>
        <v>3272.915000000001</v>
      </c>
      <c r="S59" s="348">
        <f t="shared" si="94"/>
        <v>2525.0779999999986</v>
      </c>
      <c r="T59" s="278">
        <f t="shared" ref="T59:T61" si="95">SUM(P59:S59)</f>
        <v>11019.123</v>
      </c>
      <c r="U59" s="277">
        <f t="shared" ref="U59:X59" si="96">U51-U44-U41-U40-U39-U38</f>
        <v>591.8535132250004</v>
      </c>
      <c r="V59" s="277">
        <f t="shared" si="96"/>
        <v>614.8101069461372</v>
      </c>
      <c r="W59" s="277">
        <f t="shared" si="96"/>
        <v>699.2720580065079</v>
      </c>
      <c r="X59" s="277">
        <f t="shared" si="96"/>
        <v>388.21763303634907</v>
      </c>
      <c r="Y59" s="278">
        <f t="shared" ref="Y59:Y61" si="97">SUM(U59:X59)</f>
        <v>2294.1533112139946</v>
      </c>
      <c r="Z59" s="277">
        <f t="shared" ref="Z59:AC59" si="98">Z51-Z44-Z41-Z40-Z39-Z38</f>
        <v>609.768540841867</v>
      </c>
      <c r="AA59" s="277">
        <f t="shared" si="98"/>
        <v>670.7020685898319</v>
      </c>
      <c r="AB59" s="277">
        <f t="shared" si="98"/>
        <v>853.5518147176845</v>
      </c>
      <c r="AC59" s="277">
        <f t="shared" si="98"/>
        <v>558.2533377331395</v>
      </c>
      <c r="AD59" s="278">
        <f t="shared" ref="AD59:AD61" si="99">SUM(Z59:AC59)</f>
        <v>2692.2757618825226</v>
      </c>
      <c r="AE59" s="278">
        <f t="shared" ref="AE59:AG59" si="100">AE51-AE44-AE41-AE40-AE39-AE38</f>
        <v>2578.991998225785</v>
      </c>
      <c r="AF59" s="278">
        <f t="shared" si="100"/>
        <v>2714.954543961685</v>
      </c>
      <c r="AG59" s="278">
        <f t="shared" si="100"/>
        <v>2648.7554919526174</v>
      </c>
      <c r="AH59" s="8"/>
      <c r="AI59" s="8"/>
      <c r="AJ59" s="8"/>
      <c r="AK59" s="8"/>
    </row>
    <row r="60" ht="15.75" customHeight="1" spans="1:37" x14ac:dyDescent="0.25">
      <c r="A60" s="260"/>
      <c r="B60" s="8"/>
      <c r="C60" s="130" t="s">
        <v>260</v>
      </c>
      <c r="D60" s="8"/>
      <c r="E60" s="8"/>
      <c r="F60" s="378">
        <f t="shared" ref="F60:I60" si="101">-F34</f>
        <v>45.9</v>
      </c>
      <c r="G60" s="378">
        <f t="shared" si="101"/>
        <v>40.3</v>
      </c>
      <c r="H60" s="378">
        <f t="shared" si="101"/>
        <v>43.2</v>
      </c>
      <c r="I60" s="378">
        <f t="shared" si="101"/>
        <v>28</v>
      </c>
      <c r="J60" s="350">
        <f t="shared" si="91"/>
        <v>157.39999999999998</v>
      </c>
      <c r="K60" s="378">
        <f t="shared" ref="K60:N60" si="102">-K34</f>
        <v>33.3</v>
      </c>
      <c r="L60" s="378">
        <f t="shared" si="102"/>
        <v>25.3</v>
      </c>
      <c r="M60" s="378">
        <f t="shared" si="102"/>
        <v>25.3</v>
      </c>
      <c r="N60" s="378">
        <f t="shared" si="102"/>
        <v>89</v>
      </c>
      <c r="O60" s="350">
        <f t="shared" si="93"/>
        <v>172.89999999999998</v>
      </c>
      <c r="P60" s="378">
        <f t="shared" ref="P60:S60" si="103">-P34</f>
        <v>43.2</v>
      </c>
      <c r="Q60" s="378">
        <f t="shared" si="103"/>
        <v>49.9</v>
      </c>
      <c r="R60" s="378">
        <f t="shared" si="103"/>
        <v>46</v>
      </c>
      <c r="S60" s="378">
        <f t="shared" si="103"/>
        <v>26.9</v>
      </c>
      <c r="T60" s="350">
        <f t="shared" si="95"/>
        <v>166</v>
      </c>
      <c r="U60" s="351">
        <f t="shared" ref="U60:X60" si="104">-U34</f>
        <v>-39.62</v>
      </c>
      <c r="V60" s="351">
        <f t="shared" si="104"/>
        <v>-34.768930946137495</v>
      </c>
      <c r="W60" s="351">
        <f t="shared" si="104"/>
        <v>-31.27456675650805</v>
      </c>
      <c r="X60" s="351">
        <f t="shared" si="104"/>
        <v>-29.341303811349206</v>
      </c>
      <c r="Y60" s="350">
        <f t="shared" si="97"/>
        <v>-135.00480151399475</v>
      </c>
      <c r="Z60" s="351">
        <f t="shared" ref="Z60:AC60" si="105">-Z34</f>
        <v>-27.121355364616683</v>
      </c>
      <c r="AA60" s="351">
        <f t="shared" si="105"/>
        <v>-26.54844978583136</v>
      </c>
      <c r="AB60" s="351">
        <f t="shared" si="105"/>
        <v>-26.62276062768417</v>
      </c>
      <c r="AC60" s="351">
        <f t="shared" si="105"/>
        <v>-27.59934748313951</v>
      </c>
      <c r="AD60" s="350">
        <f t="shared" si="99"/>
        <v>-107.89191326127172</v>
      </c>
      <c r="AE60" s="350">
        <f t="shared" ref="AE60:AG60" si="106">-AE34</f>
        <v>-87.48114040435698</v>
      </c>
      <c r="AF60" s="350">
        <f t="shared" si="106"/>
        <v>-135.3711684272539</v>
      </c>
      <c r="AG60" s="350">
        <f t="shared" si="106"/>
        <v>-189.6898708762918</v>
      </c>
      <c r="AH60" s="8"/>
      <c r="AI60" s="8"/>
      <c r="AJ60" s="8"/>
      <c r="AK60" s="8"/>
    </row>
    <row r="61" ht="15.75" customHeight="1" spans="1:37" x14ac:dyDescent="0.25">
      <c r="A61" s="260"/>
      <c r="B61" s="8"/>
      <c r="C61" s="130" t="s">
        <v>279</v>
      </c>
      <c r="D61" s="8"/>
      <c r="E61" s="8"/>
      <c r="F61" s="348">
        <f t="shared" ref="F61:I61" si="107">SUM(F59:F60)</f>
        <v>2183.0710000000004</v>
      </c>
      <c r="G61" s="348">
        <f t="shared" si="107"/>
        <v>1949.9529999999997</v>
      </c>
      <c r="H61" s="348">
        <f t="shared" si="107"/>
        <v>2339.9599999999996</v>
      </c>
      <c r="I61" s="348">
        <f t="shared" si="107"/>
        <v>2624.3800000000006</v>
      </c>
      <c r="J61" s="278">
        <f t="shared" si="91"/>
        <v>9097.364000000001</v>
      </c>
      <c r="K61" s="348">
        <f t="shared" ref="K61:N61" si="108">SUM(K59:K60)</f>
        <v>2126.2470000000003</v>
      </c>
      <c r="L61" s="348">
        <f t="shared" si="108"/>
        <v>2084.9600000000005</v>
      </c>
      <c r="M61" s="348">
        <f t="shared" si="108"/>
        <v>2809.617</v>
      </c>
      <c r="N61" s="348">
        <f t="shared" si="108"/>
        <v>4494.166000000001</v>
      </c>
      <c r="O61" s="278">
        <f t="shared" si="93"/>
        <v>11514.990000000002</v>
      </c>
      <c r="P61" s="348">
        <f t="shared" ref="P61:S61" si="109">SUM(P59:P60)</f>
        <v>2579.8470000000007</v>
      </c>
      <c r="Q61" s="348">
        <f t="shared" si="109"/>
        <v>2734.3830000000003</v>
      </c>
      <c r="R61" s="348">
        <f t="shared" si="109"/>
        <v>3318.915000000001</v>
      </c>
      <c r="S61" s="348">
        <f t="shared" si="109"/>
        <v>2551.9779999999987</v>
      </c>
      <c r="T61" s="278">
        <f t="shared" si="95"/>
        <v>11185.123000000001</v>
      </c>
      <c r="U61" s="277">
        <f t="shared" ref="U61:X61" si="110">SUM(U59:U60)</f>
        <v>552.2335132250004</v>
      </c>
      <c r="V61" s="277">
        <f t="shared" si="110"/>
        <v>580.0411759999997</v>
      </c>
      <c r="W61" s="277">
        <f t="shared" si="110"/>
        <v>667.9974912499998</v>
      </c>
      <c r="X61" s="277">
        <f t="shared" si="110"/>
        <v>358.87632922499984</v>
      </c>
      <c r="Y61" s="278">
        <f t="shared" si="97"/>
        <v>2159.1485096999995</v>
      </c>
      <c r="Z61" s="277">
        <f t="shared" ref="Z61:AC61" si="111">SUM(Z59:Z60)</f>
        <v>582.6471854772503</v>
      </c>
      <c r="AA61" s="277">
        <f t="shared" si="111"/>
        <v>644.1536188040005</v>
      </c>
      <c r="AB61" s="277">
        <f t="shared" si="111"/>
        <v>826.9290540900002</v>
      </c>
      <c r="AC61" s="277">
        <f t="shared" si="111"/>
        <v>530.65399025</v>
      </c>
      <c r="AD61" s="278">
        <f t="shared" si="99"/>
        <v>2584.3838486212508</v>
      </c>
      <c r="AE61" s="278">
        <f t="shared" ref="AE61:AG61" si="112">SUM(AE59:AE60)</f>
        <v>2491.510857821428</v>
      </c>
      <c r="AF61" s="278">
        <f t="shared" si="112"/>
        <v>2579.583375534431</v>
      </c>
      <c r="AG61" s="278">
        <f t="shared" si="112"/>
        <v>2459.0656210763254</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0.9309816913250261</v>
      </c>
      <c r="G66" s="383">
        <f t="shared" si="114"/>
        <v>0.9071919754101835</v>
      </c>
      <c r="H66" s="383">
        <f t="shared" si="114"/>
        <v>0.8998473627818754</v>
      </c>
      <c r="I66" s="383">
        <f t="shared" si="114"/>
        <v>0.9701817999722304</v>
      </c>
      <c r="J66" s="384">
        <f t="shared" si="114"/>
        <v>0.9314078146649019</v>
      </c>
      <c r="K66" s="383">
        <f t="shared" si="114"/>
        <v>0.8505816225314858</v>
      </c>
      <c r="L66" s="383">
        <f t="shared" si="114"/>
        <v>0.8123335056260189</v>
      </c>
      <c r="M66" s="383">
        <f t="shared" si="114"/>
        <v>1</v>
      </c>
      <c r="N66" s="383">
        <f t="shared" si="114"/>
        <v>1</v>
      </c>
      <c r="O66" s="384">
        <f t="shared" si="114"/>
        <v>0.927205252547046</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0.7971759277574433</v>
      </c>
      <c r="Z66" s="385">
        <f>IF(Cover!$F$37="Bottom Up",(Z30/Z28),Drivers!Z7)</f>
        <v>1</v>
      </c>
      <c r="AA66" s="385">
        <f>IF(Cover!$F$37="Bottom Up",(AA30/AA28),Drivers!AA7)</f>
        <v>1</v>
      </c>
      <c r="AB66" s="385">
        <f>IF(Cover!$F$37="Bottom Up",(AB30/AB28),Drivers!AB7)</f>
        <v>1</v>
      </c>
      <c r="AC66" s="385">
        <f>IF(Cover!$F$37="Bottom Up",(AC30/AC28),Drivers!AC7)</f>
        <v>1</v>
      </c>
      <c r="AD66" s="384">
        <f>AD30/AD28</f>
        <v>0.8083981620810355</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-0.266481553869172</v>
      </c>
      <c r="G67" s="383">
        <f t="shared" ref="G67:I67" si="116">G32/G30</f>
        <v>-0.22946803481769643</v>
      </c>
      <c r="H67" s="383">
        <f t="shared" si="116"/>
        <v>-0.1932461906741792</v>
      </c>
      <c r="I67" s="383">
        <f t="shared" si="116"/>
        <v>-0.3812035314349797</v>
      </c>
      <c r="J67" s="384">
        <f>J32/J30</f>
        <v>-0.28097898427693835</v>
      </c>
      <c r="K67" s="383">
        <f>K32/K30</f>
        <v>-0.24846278888967419</v>
      </c>
      <c r="L67" s="383">
        <f t="shared" ref="L67:N67" si="117">L32/L30</f>
        <v>-0.21682737017277665</v>
      </c>
      <c r="M67" s="383">
        <f t="shared" si="117"/>
        <v>-0.18721224945356463</v>
      </c>
      <c r="N67" s="383">
        <f t="shared" si="117"/>
        <v>-0.1275819250831121</v>
      </c>
      <c r="O67" s="384">
        <f>O32/O30</f>
        <v>-0.18301765520963797</v>
      </c>
      <c r="P67" s="383">
        <f>P32/P30</f>
        <v>-0.2642499395609157</v>
      </c>
      <c r="Q67" s="383">
        <f t="shared" ref="Q67:S67" si="118">Q32/Q30</f>
        <v>-0.24019739656116465</v>
      </c>
      <c r="R67" s="383">
        <f t="shared" si="118"/>
        <v>-0.2121160213323205</v>
      </c>
      <c r="S67" s="383">
        <f t="shared" si="118"/>
        <v>-0.05153254242135782</v>
      </c>
      <c r="T67" s="384">
        <f>T32/T30</f>
        <v>-0.20066049293178087</v>
      </c>
      <c r="U67" s="386">
        <f>Drivers!U40</f>
        <v>-0.52</v>
      </c>
      <c r="V67" s="386">
        <f>Drivers!V40</f>
        <v>-0.525</v>
      </c>
      <c r="W67" s="386">
        <f>Drivers!W40</f>
        <v>-0.525</v>
      </c>
      <c r="X67" s="386">
        <f>Drivers!X40</f>
        <v>-0.515</v>
      </c>
      <c r="Y67" s="384">
        <f>Y32/Y30</f>
        <v>-0.5218877042327841</v>
      </c>
      <c r="Z67" s="386">
        <f>Drivers!Z40</f>
        <v>-0.5175</v>
      </c>
      <c r="AA67" s="386">
        <f>Drivers!AA40</f>
        <v>-0.515</v>
      </c>
      <c r="AB67" s="386">
        <f>Drivers!AB40</f>
        <v>-0.505</v>
      </c>
      <c r="AC67" s="386">
        <f>Drivers!AC40</f>
        <v>-0.495</v>
      </c>
      <c r="AD67" s="384">
        <f>AD32/AD30</f>
        <v>-0.5087623463770904</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-0.24122092207564652</v>
      </c>
      <c r="Z68" s="386">
        <f>Drivers!Z45</f>
        <v>-0.24</v>
      </c>
      <c r="AA68" s="386">
        <f>Drivers!AA45</f>
        <v>-0.235</v>
      </c>
      <c r="AB68" s="386">
        <f>Drivers!AB45</f>
        <v>-0.23</v>
      </c>
      <c r="AC68" s="386">
        <f>Drivers!AC45</f>
        <v>-0.225</v>
      </c>
      <c r="AD68" s="384">
        <f>AD33/AD30</f>
        <v>-0.23280137251396144</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v>
      </c>
      <c r="M69" s="383">
        <f t="shared" si="122"/>
        <v>0</v>
      </c>
      <c r="N69" s="383">
        <f t="shared" si="122"/>
        <v>0</v>
      </c>
      <c r="O69" s="384">
        <f t="shared" si="122"/>
        <v>0</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-0.04045926528130541</v>
      </c>
      <c r="Z69" s="386">
        <f>Drivers!Z50</f>
        <v>-0.045</v>
      </c>
      <c r="AA69" s="386">
        <f>Drivers!AA50</f>
        <v>-0.045</v>
      </c>
      <c r="AB69" s="386">
        <f>Drivers!AB50</f>
        <v>-0.045</v>
      </c>
      <c r="AC69" s="386">
        <f>Drivers!AC50</f>
        <v>-0.045</v>
      </c>
      <c r="AD69" s="384">
        <f>AD35/AD28</f>
        <v>-0.045000000000000005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0.03370210271814785</v>
      </c>
      <c r="G71" s="383">
        <f t="shared" si="126"/>
        <v>0.03016615054426534</v>
      </c>
      <c r="H71" s="383">
        <f t="shared" si="126"/>
        <v>0.05373757794232269</v>
      </c>
      <c r="I71" s="383">
        <f t="shared" si="126"/>
        <v>-0.05169276454615511</v>
      </c>
      <c r="J71" s="384">
        <f t="shared" si="126"/>
        <v>0.01147412826347036</v>
      </c>
      <c r="K71" s="383">
        <f t="shared" si="126"/>
        <v>0.017979076614671425</v>
      </c>
      <c r="L71" s="383">
        <f t="shared" si="126"/>
        <v>0.006383436370322569</v>
      </c>
      <c r="M71" s="383">
        <f t="shared" si="126"/>
        <v>0.01338828182513677</v>
      </c>
      <c r="N71" s="383">
        <f t="shared" si="126"/>
        <v>0.048858237575346644</v>
      </c>
      <c r="O71" s="384">
        <f t="shared" si="126"/>
        <v>0.0285361705797156</v>
      </c>
      <c r="P71" s="383">
        <f t="shared" si="126"/>
        <v>0.02206840891500667</v>
      </c>
      <c r="Q71" s="383">
        <f t="shared" si="126"/>
        <v>0.027308573808798888</v>
      </c>
      <c r="R71" s="383">
        <f t="shared" si="126"/>
        <v>0.02395228704420793</v>
      </c>
      <c r="S71" s="383">
        <f t="shared" ref="S71" si="127">-S44/S42</f>
        <v>-0.008666971337829545</v>
      </c>
      <c r="T71" s="384">
        <f>-T44/T42</f>
        <v>0.01667242226710075</v>
      </c>
      <c r="U71" s="386">
        <f>Drivers!U64</f>
        <v>0.217</v>
      </c>
      <c r="V71" s="386">
        <f>Drivers!V64</f>
        <v>0.257</v>
      </c>
      <c r="W71" s="386">
        <f>Drivers!W64</f>
        <v>0.257</v>
      </c>
      <c r="X71" s="386">
        <f>Drivers!X64</f>
        <v>0.257</v>
      </c>
      <c r="Y71" s="384">
        <f>-Y44/Y42</f>
        <v>0.2467775382995043</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479.0813008551753</v>
      </c>
      <c r="V75" s="355">
        <f t="shared" si="131"/>
        <v>471.66390946098</v>
      </c>
      <c r="W75" s="355">
        <f t="shared" si="131"/>
        <v>534.4191390988353</v>
      </c>
      <c r="X75" s="355">
        <f t="shared" si="131"/>
        <v>318.1657013460074</v>
      </c>
      <c r="Y75" s="157">
        <f t="shared" ref="Y75:Y80" si="132">SUM(U75:X75)</f>
        <v>1803.3300507609981</v>
      </c>
      <c r="Z75" s="355">
        <f t="shared" ref="Z75:AC75" si="133">Z45</f>
        <v>469.17756292719093</v>
      </c>
      <c r="AA75" s="355">
        <f t="shared" si="133"/>
        <v>514.5730410994248</v>
      </c>
      <c r="AB75" s="355">
        <f t="shared" si="133"/>
        <v>650.7961019646749</v>
      </c>
      <c r="AC75" s="355">
        <f t="shared" si="133"/>
        <v>430.79873661118893</v>
      </c>
      <c r="AD75" s="157">
        <f t="shared" ref="AD75:AD80" si="134">SUM(Z75:AC75)</f>
        <v>2065.3454426024796</v>
      </c>
      <c r="AE75" s="157">
        <f t="shared" ref="AE75:AG75" si="135">AE45</f>
        <v>2009.243998669339</v>
      </c>
      <c r="AF75" s="157">
        <f t="shared" si="135"/>
        <v>2111.2159079712637</v>
      </c>
      <c r="AG75" s="157">
        <f t="shared" si="135"/>
        <v>2061.566618964463</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39.62</v>
      </c>
      <c r="V76" s="355">
        <f t="shared" si="136"/>
        <v>34.768930946137495</v>
      </c>
      <c r="W76" s="355">
        <f t="shared" si="136"/>
        <v>31.27456675650805</v>
      </c>
      <c r="X76" s="355">
        <f t="shared" si="136"/>
        <v>29.341303811349206</v>
      </c>
      <c r="Y76" s="157">
        <f t="shared" si="132"/>
        <v>135.00480151399475</v>
      </c>
      <c r="Z76" s="355">
        <f t="shared" ref="Z76:AC76" si="137">-(Z197+Z211)</f>
        <v>27.121355364616683</v>
      </c>
      <c r="AA76" s="355">
        <f t="shared" si="137"/>
        <v>26.54844978583136</v>
      </c>
      <c r="AB76" s="355">
        <f t="shared" si="137"/>
        <v>26.62276062768417</v>
      </c>
      <c r="AC76" s="355">
        <f t="shared" si="137"/>
        <v>27.59934748313951</v>
      </c>
      <c r="AD76" s="157">
        <f t="shared" si="134"/>
        <v>107.89191326127172</v>
      </c>
      <c r="AE76" s="157">
        <f t="shared" ref="AE76:AG76" si="138">-(AE197+AE211)</f>
        <v>87.48114040435698</v>
      </c>
      <c r="AF76" s="157">
        <f t="shared" si="138"/>
        <v>135.3711684272539</v>
      </c>
      <c r="AG76" s="157">
        <f t="shared" si="138"/>
        <v>189.6898708762918</v>
      </c>
      <c r="AH76" s="8"/>
      <c r="AI76" s="8"/>
      <c r="AJ76" s="8"/>
      <c r="AK76" s="8"/>
    </row>
    <row r="77" ht="15.75" customHeight="1" spans="1:37" x14ac:dyDescent="0.25">
      <c r="A77" s="260"/>
      <c r="B77" s="8"/>
      <c r="C77" s="130" t="s">
        <v>288</v>
      </c>
      <c r="D77" s="8"/>
      <c r="E77" s="8"/>
      <c r="F77" s="359">
        <v>9.7</v>
      </c>
      <c r="G77" s="359">
        <v>13.3</v>
      </c>
      <c r="H77" s="359">
        <v>10</v>
      </c>
      <c r="I77" s="359">
        <v>45.2</v>
      </c>
      <c r="J77" s="157"/>
      <c r="K77" s="359">
        <v>13.7</v>
      </c>
      <c r="L77" s="359">
        <v>10.5</v>
      </c>
      <c r="M77" s="359">
        <v>11.3</v>
      </c>
      <c r="N77" s="359">
        <v>8.4</v>
      </c>
      <c r="O77" s="157"/>
      <c r="P77" s="359">
        <v>20.2</v>
      </c>
      <c r="Q77" s="359">
        <v>14.4</v>
      </c>
      <c r="R77" s="359">
        <v>13.4</v>
      </c>
      <c r="S77" s="359">
        <v>-2.6</v>
      </c>
      <c r="T77" s="157">
        <f t="shared" si="130"/>
        <v>45.4</v>
      </c>
      <c r="U77" s="355">
        <f t="shared" ref="U77:X77" si="139">U249</f>
        <v>54.87787022891359</v>
      </c>
      <c r="V77" s="355">
        <f t="shared" si="139"/>
        <v>56.63858005223315</v>
      </c>
      <c r="W77" s="355">
        <f t="shared" si="139"/>
        <v>65.50363086819156</v>
      </c>
      <c r="X77" s="355">
        <f t="shared" si="139"/>
        <v>44.152101523510694</v>
      </c>
      <c r="Y77" s="157">
        <f t="shared" si="132"/>
        <v>221.17218267284898</v>
      </c>
      <c r="Z77" s="355">
        <f t="shared" ref="Z77:AC77" si="140">Z249</f>
        <v>57.868377788673165</v>
      </c>
      <c r="AA77" s="355">
        <f t="shared" si="140"/>
        <v>60.74268529029314</v>
      </c>
      <c r="AB77" s="355">
        <f t="shared" si="140"/>
        <v>69.66147416358987</v>
      </c>
      <c r="AC77" s="355">
        <f t="shared" si="140"/>
        <v>47.85228259215911</v>
      </c>
      <c r="AD77" s="157">
        <f t="shared" si="134"/>
        <v>236.1248198347153</v>
      </c>
      <c r="AE77" s="157">
        <f t="shared" ref="AE77:AG77" si="141">AE249</f>
        <v>248.8237351724446</v>
      </c>
      <c r="AF77" s="157">
        <f t="shared" si="141"/>
        <v>258.3523534931518</v>
      </c>
      <c r="AG77" s="157">
        <f t="shared" si="141"/>
        <v>264.54388215213675</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35440.3689973</v>
      </c>
      <c r="V78" s="355">
        <f t="shared" si="142"/>
        <v>-41094.377871540484</v>
      </c>
      <c r="W78" s="355">
        <f t="shared" si="142"/>
        <v>-2521.5608773691056</v>
      </c>
      <c r="X78" s="355">
        <f t="shared" si="142"/>
        <v>-17927.070760116345</v>
      </c>
      <c r="Y78" s="157">
        <f t="shared" si="132"/>
        <v>-26102.640511725935</v>
      </c>
      <c r="Z78" s="355">
        <f t="shared" ref="Z78:AC78" si="143">Z176</f>
        <v>21527.077860864025</v>
      </c>
      <c r="AA78" s="355">
        <f t="shared" si="143"/>
        <v>-1441.2910674758896</v>
      </c>
      <c r="AB78" s="355">
        <f t="shared" si="143"/>
        <v>-3101.247861631382</v>
      </c>
      <c r="AC78" s="355">
        <f t="shared" si="143"/>
        <v>-18516.652519996904</v>
      </c>
      <c r="AD78" s="157">
        <f t="shared" si="134"/>
        <v>-1532.1135882401504</v>
      </c>
      <c r="AE78" s="157">
        <f>AE176</f>
        <v>11949.771122893624</v>
      </c>
      <c r="AF78" s="157">
        <f t="shared" ref="AF78:AG78" si="144">AF176</f>
        <v>-5152.389265761318</v>
      </c>
      <c r="AG78" s="157">
        <f t="shared" si="144"/>
        <v>-7763.932501957446</v>
      </c>
      <c r="AH78" s="8"/>
      <c r="AI78" s="8"/>
      <c r="AJ78" s="8"/>
      <c r="AK78" s="8"/>
    </row>
    <row r="79" ht="15.75" customHeight="1" spans="1:37" x14ac:dyDescent="0.25">
      <c r="A79" s="260"/>
      <c r="B79" s="8"/>
      <c r="C79" s="130" t="s">
        <v>290</v>
      </c>
      <c r="D79" s="8"/>
      <c r="E79" s="8"/>
      <c r="F79" s="349"/>
      <c r="G79" s="349"/>
      <c r="H79" s="349"/>
      <c r="I79" s="349"/>
      <c r="J79" s="350"/>
      <c r="K79" s="349"/>
      <c r="L79" s="349"/>
      <c r="M79" s="349"/>
      <c r="N79" s="349"/>
      <c r="O79" s="350"/>
      <c r="P79" s="349"/>
      <c r="Q79" s="349"/>
      <c r="R79" s="349"/>
      <c r="S79" s="349"/>
      <c r="T79" s="350">
        <f t="shared" si="130"/>
        <v>0</v>
      </c>
      <c r="U79" s="351">
        <f t="shared" ref="U79:X79" si="145">U231</f>
        <v>-1218.0080000000016</v>
      </c>
      <c r="V79" s="351">
        <f t="shared" si="145"/>
        <v>-1242.3681599999982</v>
      </c>
      <c r="W79" s="351">
        <f t="shared" si="145"/>
        <v>-1267.2155231999932</v>
      </c>
      <c r="X79" s="351">
        <f t="shared" si="145"/>
        <v>-1292.559833663996</v>
      </c>
      <c r="Y79" s="350">
        <f t="shared" si="132"/>
        <v>-5020.151516863989</v>
      </c>
      <c r="Z79" s="351">
        <f t="shared" ref="Z79:AC79" si="146">Z231</f>
        <v>-1318.4110303372872</v>
      </c>
      <c r="AA79" s="351">
        <f t="shared" si="146"/>
        <v>-1344.7792509440333</v>
      </c>
      <c r="AB79" s="351">
        <f t="shared" si="146"/>
        <v>-1371.6748359629128</v>
      </c>
      <c r="AC79" s="351">
        <f t="shared" si="146"/>
        <v>-1399.108332682168</v>
      </c>
      <c r="AD79" s="350">
        <f t="shared" si="134"/>
        <v>-5433.973449926401</v>
      </c>
      <c r="AE79" s="350">
        <f t="shared" ref="AE79:AG79" si="147">AE231</f>
        <v>-5351.589372509276</v>
      </c>
      <c r="AF79" s="350">
        <f t="shared" si="147"/>
        <v>-7670.6114339299675</v>
      </c>
      <c r="AG79" s="350">
        <f t="shared" si="147"/>
        <v>-7172.021690724519</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34795.940168384084</v>
      </c>
      <c r="V80" s="277">
        <f t="shared" si="148"/>
        <v>-41773.67461108113</v>
      </c>
      <c r="W80" s="277">
        <f t="shared" si="148"/>
        <v>-3157.5790638455637</v>
      </c>
      <c r="X80" s="277">
        <f t="shared" si="148"/>
        <v>-18827.971487099472</v>
      </c>
      <c r="Y80" s="278">
        <f t="shared" si="132"/>
        <v>-28963.284993642083</v>
      </c>
      <c r="Z80" s="277">
        <f t="shared" ref="Z80:AC80" si="149">SUM(Z75:Z79)</f>
        <v>20762.834126607217</v>
      </c>
      <c r="AA80" s="277">
        <f t="shared" si="149"/>
        <v>-2184.2061422443735</v>
      </c>
      <c r="AB80" s="277">
        <f t="shared" si="149"/>
        <v>-3725.8423608383455</v>
      </c>
      <c r="AC80" s="277">
        <f t="shared" si="149"/>
        <v>-19409.510485992585</v>
      </c>
      <c r="AD80" s="278">
        <f t="shared" si="134"/>
        <v>-4556.724862468087</v>
      </c>
      <c r="AE80" s="278">
        <f t="shared" ref="AE80:AG80" si="150">SUM(AE75:AE79)</f>
        <v>8943.730624630489</v>
      </c>
      <c r="AF80" s="278">
        <f t="shared" si="150"/>
        <v>-10318.061269799615</v>
      </c>
      <c r="AG80" s="278">
        <f t="shared" si="150"/>
        <v>-12420.153820689075</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27.6</v>
      </c>
      <c r="G82" s="359">
        <v>57.1</v>
      </c>
      <c r="H82" s="359">
        <v>47.2</v>
      </c>
      <c r="I82" s="359">
        <v>33.6</v>
      </c>
      <c r="J82" s="157"/>
      <c r="K82" s="359">
        <v>25.2</v>
      </c>
      <c r="L82" s="359">
        <v>25.1</v>
      </c>
      <c r="M82" s="359">
        <v>30</v>
      </c>
      <c r="N82" s="359">
        <v>144.1</v>
      </c>
      <c r="O82" s="157"/>
      <c r="P82" s="359">
        <v>96.2</v>
      </c>
      <c r="Q82" s="359">
        <v>48.6</v>
      </c>
      <c r="R82" s="359">
        <v>35.8</v>
      </c>
      <c r="S82" s="359">
        <v>-179.5</v>
      </c>
      <c r="T82" s="157">
        <f t="shared" ref="T82:T85" si="151">SUM(P82:S82)</f>
        <v>1.1000000000000227</v>
      </c>
      <c r="U82" s="355">
        <f t="shared" ref="U82:X82" si="152">-U196</f>
        <v>56.66478765000001</v>
      </c>
      <c r="V82" s="355">
        <f t="shared" si="152"/>
        <v>58.4828292</v>
      </c>
      <c r="W82" s="355">
        <f t="shared" si="152"/>
        <v>67.63654125</v>
      </c>
      <c r="X82" s="355">
        <f t="shared" si="152"/>
        <v>45.589769549999986</v>
      </c>
      <c r="Y82" s="157">
        <f t="shared" ref="Y82:Y85" si="153">SUM(U82:X82)</f>
        <v>228.37392764999998</v>
      </c>
      <c r="Z82" s="355">
        <f t="shared" ref="Z82:AC82" si="154">-Z196</f>
        <v>59.75267125650001</v>
      </c>
      <c r="AA82" s="355">
        <f t="shared" si="154"/>
        <v>62.720571132</v>
      </c>
      <c r="AB82" s="355">
        <f t="shared" si="154"/>
        <v>71.92977104250001</v>
      </c>
      <c r="AC82" s="355">
        <f t="shared" si="154"/>
        <v>49.41043484999998</v>
      </c>
      <c r="AD82" s="157">
        <f t="shared" ref="AD82:AD85" si="155">SUM(Z82:AC82)</f>
        <v>243.813448281</v>
      </c>
      <c r="AE82" s="157">
        <f t="shared" ref="AE82:AG82" si="156">-AE196</f>
        <v>256.92586204626</v>
      </c>
      <c r="AF82" s="157">
        <f t="shared" si="156"/>
        <v>266.7647484951786</v>
      </c>
      <c r="AG82" s="157">
        <f t="shared" si="156"/>
        <v>273.15788392894814</v>
      </c>
      <c r="AH82" s="8"/>
      <c r="AI82" s="8"/>
      <c r="AJ82" s="8"/>
      <c r="AK82" s="8"/>
    </row>
    <row r="83" ht="15.75" customHeight="1" spans="1:37" x14ac:dyDescent="0.25">
      <c r="A83" s="260"/>
      <c r="B83" s="8"/>
      <c r="C83" s="130" t="s">
        <v>292</v>
      </c>
      <c r="D83" s="8"/>
      <c r="E83" s="8"/>
      <c r="F83" s="359"/>
      <c r="G83" s="359"/>
      <c r="H83" s="359"/>
      <c r="I83" s="359"/>
      <c r="J83" s="157"/>
      <c r="K83" s="359"/>
      <c r="L83" s="359"/>
      <c r="M83" s="359"/>
      <c r="N83" s="359"/>
      <c r="O83" s="157"/>
      <c r="P83" s="359"/>
      <c r="Q83" s="359"/>
      <c r="R83" s="359"/>
      <c r="S83" s="359"/>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-12.1</v>
      </c>
      <c r="H84" s="349">
        <v>0</v>
      </c>
      <c r="I84" s="349">
        <v>13.3</v>
      </c>
      <c r="J84" s="350"/>
      <c r="K84" s="349"/>
      <c r="L84" s="349"/>
      <c r="M84" s="349"/>
      <c r="N84" s="349"/>
      <c r="O84" s="350"/>
      <c r="P84" s="349"/>
      <c r="Q84" s="349"/>
      <c r="R84" s="349"/>
      <c r="S84" s="349"/>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56.66478765000001</v>
      </c>
      <c r="V85" s="277">
        <f t="shared" si="160"/>
        <v>58.4828292</v>
      </c>
      <c r="W85" s="277">
        <f t="shared" si="160"/>
        <v>67.63654125</v>
      </c>
      <c r="X85" s="277">
        <f t="shared" si="160"/>
        <v>45.589769549999986</v>
      </c>
      <c r="Y85" s="278">
        <f t="shared" si="153"/>
        <v>228.37392764999998</v>
      </c>
      <c r="Z85" s="277">
        <f t="shared" ref="Z85:AC85" si="161">SUM(Z82:Z84)</f>
        <v>59.75267125650001</v>
      </c>
      <c r="AA85" s="277">
        <f t="shared" si="161"/>
        <v>62.720571132</v>
      </c>
      <c r="AB85" s="277">
        <f t="shared" si="161"/>
        <v>71.92977104250001</v>
      </c>
      <c r="AC85" s="277">
        <f t="shared" si="161"/>
        <v>49.41043484999998</v>
      </c>
      <c r="AD85" s="278">
        <f t="shared" si="155"/>
        <v>243.813448281</v>
      </c>
      <c r="AE85" s="278">
        <f t="shared" ref="AE85:AG85" si="162">SUM(AE82:AE84)</f>
        <v>256.92586204626</v>
      </c>
      <c r="AF85" s="278">
        <f t="shared" si="162"/>
        <v>266.7647484951786</v>
      </c>
      <c r="AG85" s="278">
        <f t="shared" si="162"/>
        <v>273.15788392894814</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34852.60495603408</v>
      </c>
      <c r="V87" s="395">
        <f t="shared" si="163"/>
        <v>-41715.19178188113</v>
      </c>
      <c r="W87" s="395">
        <f t="shared" si="163"/>
        <v>-3089.942522595564</v>
      </c>
      <c r="X87" s="395">
        <f t="shared" si="163"/>
        <v>-18782.381717549473</v>
      </c>
      <c r="Y87" s="394">
        <f>SUM(U87:X87)</f>
        <v>-28734.91106599208</v>
      </c>
      <c r="Z87" s="395">
        <f t="shared" ref="Z87:AC87" si="164">SUM(Z80,Z85)</f>
        <v>20822.586797863718</v>
      </c>
      <c r="AA87" s="395">
        <f t="shared" si="164"/>
        <v>-2121.4855711123737</v>
      </c>
      <c r="AB87" s="395">
        <f t="shared" si="164"/>
        <v>-3653.9125897958456</v>
      </c>
      <c r="AC87" s="395">
        <f t="shared" si="164"/>
        <v>-19360.100051142585</v>
      </c>
      <c r="AD87" s="394">
        <f>SUM(Z87:AC87)</f>
        <v>-4312.911414187087</v>
      </c>
      <c r="AE87" s="394">
        <f t="shared" ref="AE87:AG87" si="165">SUM(AE80,AE85)</f>
        <v>9200.65648667675</v>
      </c>
      <c r="AF87" s="394">
        <f t="shared" si="165"/>
        <v>-10051.296521304435</v>
      </c>
      <c r="AG87" s="394">
        <f t="shared" si="165"/>
        <v>-12146.995936760126</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c r="G89" s="359"/>
      <c r="H89" s="359"/>
      <c r="I89" s="359"/>
      <c r="J89" s="157"/>
      <c r="K89" s="359"/>
      <c r="L89" s="359"/>
      <c r="M89" s="359"/>
      <c r="N89" s="359"/>
      <c r="O89" s="157"/>
      <c r="P89" s="359"/>
      <c r="Q89" s="359"/>
      <c r="R89" s="359"/>
      <c r="S89" s="359"/>
      <c r="T89" s="157">
        <f t="shared" ref="T89:T96" si="166">SUM(P89:S89)</f>
        <v>0</v>
      </c>
      <c r="U89" s="355">
        <f t="shared" ref="U89:X89" si="167">U306</f>
        <v>-443.2</v>
      </c>
      <c r="V89" s="355">
        <f t="shared" si="167"/>
        <v>0</v>
      </c>
      <c r="W89" s="355">
        <f t="shared" si="167"/>
        <v>0</v>
      </c>
      <c r="X89" s="355">
        <f t="shared" si="167"/>
        <v>15941.427065992077</v>
      </c>
      <c r="Y89" s="157">
        <f t="shared" ref="Y89:Y96" si="168">SUM(U89:X89)</f>
        <v>15498.227065992076</v>
      </c>
      <c r="Z89" s="355">
        <f t="shared" ref="Z89:AC89" si="169">Z306</f>
        <v>-15941.427065992077</v>
      </c>
      <c r="AA89" s="355">
        <f t="shared" si="169"/>
        <v>0</v>
      </c>
      <c r="AB89" s="355">
        <f t="shared" si="169"/>
        <v>627.5824290365777</v>
      </c>
      <c r="AC89" s="355">
        <f t="shared" si="169"/>
        <v>19244.063251142583</v>
      </c>
      <c r="AD89" s="157">
        <f t="shared" ref="AD89:AD96" si="170">SUM(Z89:AC89)</f>
        <v>3930.2186141870843</v>
      </c>
      <c r="AE89" s="157">
        <f t="shared" ref="AE89:AG89" si="171">AE306</f>
        <v>-9899.547318676749</v>
      </c>
      <c r="AF89" s="157">
        <f t="shared" si="171"/>
        <v>9448.572064504433</v>
      </c>
      <c r="AG89" s="157">
        <f t="shared" si="171"/>
        <v>11617.999034280127</v>
      </c>
      <c r="AH89" s="8"/>
      <c r="AI89" s="8"/>
      <c r="AJ89" s="8"/>
      <c r="AK89" s="8"/>
    </row>
    <row r="90" ht="15.75" customHeight="1" spans="1:37" x14ac:dyDescent="0.25">
      <c r="A90" s="260"/>
      <c r="B90" s="8"/>
      <c r="C90" s="130" t="s">
        <v>297</v>
      </c>
      <c r="D90" s="8"/>
      <c r="E90" s="8"/>
      <c r="F90" s="359"/>
      <c r="G90" s="359"/>
      <c r="H90" s="359"/>
      <c r="I90" s="359"/>
      <c r="J90" s="157"/>
      <c r="K90" s="359"/>
      <c r="L90" s="359"/>
      <c r="M90" s="359"/>
      <c r="N90" s="359"/>
      <c r="O90" s="157"/>
      <c r="P90" s="359"/>
      <c r="Q90" s="359"/>
      <c r="R90" s="359"/>
      <c r="S90" s="359"/>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c r="G91" s="359"/>
      <c r="H91" s="359"/>
      <c r="I91" s="359"/>
      <c r="J91" s="157"/>
      <c r="K91" s="359"/>
      <c r="L91" s="359"/>
      <c r="M91" s="359"/>
      <c r="N91" s="359"/>
      <c r="O91" s="157"/>
      <c r="P91" s="359"/>
      <c r="Q91" s="359"/>
      <c r="R91" s="359"/>
      <c r="S91" s="359"/>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c r="G93" s="359"/>
      <c r="H93" s="359"/>
      <c r="I93" s="359"/>
      <c r="J93" s="157"/>
      <c r="K93" s="359"/>
      <c r="L93" s="359"/>
      <c r="M93" s="359"/>
      <c r="N93" s="359"/>
      <c r="O93" s="157"/>
      <c r="P93" s="359"/>
      <c r="Q93" s="359"/>
      <c r="R93" s="359"/>
      <c r="S93" s="359"/>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c r="G94" s="359"/>
      <c r="H94" s="359"/>
      <c r="I94" s="359"/>
      <c r="J94" s="157"/>
      <c r="K94" s="359"/>
      <c r="L94" s="359"/>
      <c r="M94" s="359"/>
      <c r="N94" s="359"/>
      <c r="O94" s="157"/>
      <c r="P94" s="359"/>
      <c r="Q94" s="359"/>
      <c r="R94" s="359"/>
      <c r="S94" s="359"/>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347.8</v>
      </c>
      <c r="V96" s="277">
        <f t="shared" si="187"/>
        <v>96.72000000000001</v>
      </c>
      <c r="W96" s="277">
        <f t="shared" si="187"/>
        <v>97.79999999999997</v>
      </c>
      <c r="X96" s="277">
        <f t="shared" si="187"/>
        <v>16039.191065992076</v>
      </c>
      <c r="Y96" s="278">
        <f t="shared" si="168"/>
        <v>16581.511065992076</v>
      </c>
      <c r="Z96" s="277">
        <f t="shared" ref="Z96:AC96" si="188">SUM(Z89:Z95)</f>
        <v>-15946.355065992077</v>
      </c>
      <c r="AA96" s="277">
        <f t="shared" si="188"/>
        <v>114.78400000000005</v>
      </c>
      <c r="AB96" s="277">
        <f t="shared" si="188"/>
        <v>784.3824290365776</v>
      </c>
      <c r="AC96" s="277">
        <f t="shared" si="188"/>
        <v>19360.100051142585</v>
      </c>
      <c r="AD96" s="278">
        <f t="shared" si="170"/>
        <v>4312.911414187085</v>
      </c>
      <c r="AE96" s="278">
        <f t="shared" ref="AE96:AG96" si="189">SUM(AE89:AE95)</f>
        <v>-9200.656486676748</v>
      </c>
      <c r="AF96" s="278">
        <f t="shared" si="189"/>
        <v>10051.296521304434</v>
      </c>
      <c r="AG96" s="278">
        <f t="shared" si="189"/>
        <v>12146.995936760126</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c r="G98" s="359"/>
      <c r="H98" s="359"/>
      <c r="I98" s="359"/>
      <c r="J98" s="157"/>
      <c r="K98" s="359"/>
      <c r="L98" s="359"/>
      <c r="M98" s="359"/>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c r="G102" s="398"/>
      <c r="H102" s="398"/>
      <c r="I102" s="398"/>
      <c r="J102" s="278"/>
      <c r="K102" s="398"/>
      <c r="L102" s="398"/>
      <c r="M102" s="398"/>
      <c r="N102" s="398"/>
      <c r="O102" s="278"/>
      <c r="P102" s="398"/>
      <c r="Q102" s="398"/>
      <c r="R102" s="398"/>
      <c r="S102" s="398"/>
      <c r="T102" s="278">
        <f>+S104</f>
        <v>12153.4</v>
      </c>
      <c r="U102" s="277">
        <f t="shared" ref="U102" si="193">T104+U99</f>
        <v>12153.4</v>
      </c>
      <c r="V102" s="277">
        <f t="shared" ref="V102" si="194">U104+V99</f>
        <v>47353.80495603409</v>
      </c>
      <c r="W102" s="277">
        <f t="shared" ref="W102" si="195">V104+W99</f>
        <v>5735.333174152962</v>
      </c>
      <c r="X102" s="277">
        <f t="shared" ref="X102" si="196">W104+X99</f>
        <v>2743.1906515573983</v>
      </c>
      <c r="Y102" s="278">
        <f>IF(Last_FQR="1Q",U104,IF(Last_FQR="2Q",V104,IF(Last_FQR="3Q",W104,U102)))</f>
        <v>12153.4</v>
      </c>
      <c r="Z102" s="277">
        <f t="shared" ref="Z102:AC102" si="197">Y104+Z99</f>
        <v>0</v>
      </c>
      <c r="AA102" s="277">
        <f t="shared" si="197"/>
        <v>4876.231731871641</v>
      </c>
      <c r="AB102" s="277">
        <f t="shared" si="197"/>
        <v>2869.530160759268</v>
      </c>
      <c r="AC102" s="277">
        <f t="shared" si="197"/>
        <v>0</v>
      </c>
      <c r="AD102" s="278">
        <f>Z102</f>
        <v>0</v>
      </c>
      <c r="AE102" s="278">
        <f t="shared" ref="AE102:AG102" si="198">AD104+AE99</f>
        <v>-4.547473508864641e-13</v>
      </c>
      <c r="AF102" s="278">
        <f t="shared" si="198"/>
        <v>1.3642420526593924e-12</v>
      </c>
      <c r="AG102" s="278">
        <f t="shared" si="198"/>
        <v>-4.547473508864641e-13</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35200.404956034086</v>
      </c>
      <c r="V103" s="351">
        <f t="shared" si="199"/>
        <v>-41618.471781881126</v>
      </c>
      <c r="W103" s="351">
        <f t="shared" si="199"/>
        <v>-2992.1425225955636</v>
      </c>
      <c r="X103" s="351">
        <f t="shared" si="199"/>
        <v>-2743.1906515573974</v>
      </c>
      <c r="Y103" s="350">
        <f>SUM(U103:X103)</f>
        <v>-12153.400000000001</v>
      </c>
      <c r="Z103" s="351">
        <f t="shared" ref="Z103:AC103" si="200">SUM(Z87,Z96,Z98,Z100)</f>
        <v>4876.231731871641</v>
      </c>
      <c r="AA103" s="351">
        <f t="shared" si="200"/>
        <v>-2006.7015711123736</v>
      </c>
      <c r="AB103" s="351">
        <f t="shared" si="200"/>
        <v>-2869.5301607592683</v>
      </c>
      <c r="AC103" s="351">
        <f t="shared" si="200"/>
        <v>0</v>
      </c>
      <c r="AD103" s="350">
        <f>SUM(Z103:AC103)</f>
        <v>-4.547473508864641e-13</v>
      </c>
      <c r="AE103" s="350">
        <f t="shared" ref="AE103:AG103" si="201">SUM(AE87,AE96,AE98,AE100)</f>
        <v>1.8189894035458565e-12</v>
      </c>
      <c r="AF103" s="350">
        <f t="shared" si="201"/>
        <v>-1.8189894035458565e-12</v>
      </c>
      <c r="AG103" s="350">
        <f t="shared" si="201"/>
        <v>0</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c r="R104" s="397"/>
      <c r="S104" s="398">
        <f>+S120</f>
        <v>12153.4</v>
      </c>
      <c r="T104" s="278">
        <f t="shared" ref="T104:X104" si="202">SUM(T102:T103)</f>
        <v>12153.4</v>
      </c>
      <c r="U104" s="277">
        <f t="shared" si="202"/>
        <v>47353.80495603409</v>
      </c>
      <c r="V104" s="277">
        <f t="shared" si="202"/>
        <v>5735.333174152962</v>
      </c>
      <c r="W104" s="277">
        <f t="shared" si="202"/>
        <v>2743.1906515573983</v>
      </c>
      <c r="X104" s="277">
        <f t="shared" si="202"/>
        <v>0</v>
      </c>
      <c r="Y104" s="278">
        <f t="shared" ref="Y104:AG104" si="203">SUM(Y102:Y103)</f>
        <v>0</v>
      </c>
      <c r="Z104" s="277">
        <f t="shared" si="203"/>
        <v>4876.231731871641</v>
      </c>
      <c r="AA104" s="277">
        <f t="shared" si="203"/>
        <v>2869.530160759268</v>
      </c>
      <c r="AB104" s="277">
        <f t="shared" si="203"/>
        <v>0</v>
      </c>
      <c r="AC104" s="277">
        <f t="shared" si="203"/>
        <v>0</v>
      </c>
      <c r="AD104" s="278">
        <f t="shared" si="203"/>
        <v>-4.547473508864641e-13</v>
      </c>
      <c r="AE104" s="278">
        <f t="shared" si="203"/>
        <v>1.3642420526593924e-12</v>
      </c>
      <c r="AF104" s="278">
        <f t="shared" si="203"/>
        <v>-4.547473508864641e-13</v>
      </c>
      <c r="AG104" s="278">
        <f t="shared" si="203"/>
        <v>-4.547473508864641e-13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1846.46</v>
      </c>
      <c r="G108" s="353">
        <f t="shared" si="204"/>
        <v>1597.8419999999999</v>
      </c>
      <c r="H108" s="353">
        <f t="shared" si="204"/>
        <v>1864.7879999999998</v>
      </c>
      <c r="I108" s="353">
        <f t="shared" si="204"/>
        <v>2606.6100000000006</v>
      </c>
      <c r="J108" s="157">
        <f t="shared" si="204"/>
        <v>7915.7</v>
      </c>
      <c r="K108" s="353">
        <f t="shared" si="204"/>
        <v>1567.6000000000001</v>
      </c>
      <c r="L108" s="353">
        <f t="shared" si="204"/>
        <v>1432.0300000000004</v>
      </c>
      <c r="M108" s="353">
        <f t="shared" si="204"/>
        <v>2733.98</v>
      </c>
      <c r="N108" s="353">
        <f t="shared" si="204"/>
        <v>4247.665</v>
      </c>
      <c r="O108" s="157">
        <f t="shared" si="204"/>
        <v>9981.275000000001</v>
      </c>
      <c r="P108" s="353">
        <f t="shared" si="204"/>
        <v>2481.5640000000008</v>
      </c>
      <c r="Q108" s="353">
        <f t="shared" si="204"/>
        <v>2603.715</v>
      </c>
      <c r="R108" s="353">
        <f t="shared" si="204"/>
        <v>3178.4740000000006</v>
      </c>
      <c r="S108" s="353">
        <f t="shared" ref="S108" si="205">S45</f>
        <v>2622.053999999999</v>
      </c>
      <c r="T108" s="157">
        <f t="shared" si="204"/>
        <v>10885.807</v>
      </c>
      <c r="U108" s="355">
        <f t="shared" si="204"/>
        <v>479.0813008551753</v>
      </c>
      <c r="V108" s="355">
        <f t="shared" si="204"/>
        <v>471.66390946098</v>
      </c>
      <c r="W108" s="355">
        <f t="shared" si="204"/>
        <v>534.4191390988353</v>
      </c>
      <c r="X108" s="355">
        <f t="shared" si="204"/>
        <v>318.1657013460074</v>
      </c>
      <c r="Y108" s="157">
        <f t="shared" ref="Y108:AG108" si="206">Y45</f>
        <v>1803.3300507609981</v>
      </c>
      <c r="Z108" s="355">
        <f t="shared" si="206"/>
        <v>469.17756292719093</v>
      </c>
      <c r="AA108" s="355">
        <f t="shared" si="206"/>
        <v>514.5730410994248</v>
      </c>
      <c r="AB108" s="355">
        <f t="shared" si="206"/>
        <v>650.7961019646749</v>
      </c>
      <c r="AC108" s="355">
        <f t="shared" si="206"/>
        <v>430.79873661118893</v>
      </c>
      <c r="AD108" s="157">
        <f t="shared" si="206"/>
        <v>2065.3454426024796</v>
      </c>
      <c r="AE108" s="157">
        <f t="shared" si="206"/>
        <v>2009.243998669339</v>
      </c>
      <c r="AF108" s="157">
        <f t="shared" si="206"/>
        <v>2111.2159079712637</v>
      </c>
      <c r="AG108" s="157">
        <f t="shared" si="206"/>
        <v>2061.566618964463</v>
      </c>
      <c r="AH108" s="8"/>
      <c r="AI108" s="8"/>
      <c r="AJ108" s="8"/>
      <c r="AK108" s="8"/>
    </row>
    <row r="109" ht="15.75" customHeight="1" spans="1:37" x14ac:dyDescent="0.25">
      <c r="A109" s="260"/>
      <c r="B109" s="8"/>
      <c r="C109" s="8" t="s">
        <v>260</v>
      </c>
      <c r="D109" s="8"/>
      <c r="E109" s="8"/>
      <c r="F109" s="353">
        <f t="shared" ref="F109:I109" si="207">-F197+-F211</f>
        <v>45.9</v>
      </c>
      <c r="G109" s="353">
        <f t="shared" si="207"/>
        <v>40.29999999999998</v>
      </c>
      <c r="H109" s="353">
        <f t="shared" si="207"/>
        <v>43.2</v>
      </c>
      <c r="I109" s="353">
        <f t="shared" si="207"/>
        <v>28</v>
      </c>
      <c r="J109" s="157">
        <f t="shared" ref="J109:J110" si="208">SUM(F109:I109)</f>
        <v>157.39999999999998</v>
      </c>
      <c r="K109" s="353">
        <f t="shared" ref="K109:N109" si="209">-K197+-K211</f>
        <v>33.3</v>
      </c>
      <c r="L109" s="353">
        <f t="shared" si="209"/>
        <v>25.299999999999997</v>
      </c>
      <c r="M109" s="353">
        <f t="shared" si="209"/>
        <v>25.299999999999997</v>
      </c>
      <c r="N109" s="353">
        <f t="shared" si="209"/>
        <v>89</v>
      </c>
      <c r="O109" s="157">
        <f t="shared" ref="O109:O110" si="210">SUM(K109:N109)</f>
        <v>172.89999999999998</v>
      </c>
      <c r="P109" s="353">
        <f t="shared" ref="P109:S109" si="211">-P197+-P211</f>
        <v>43.2</v>
      </c>
      <c r="Q109" s="353">
        <f t="shared" si="211"/>
        <v>49.900000000000006</v>
      </c>
      <c r="R109" s="353">
        <f t="shared" si="211"/>
        <v>46</v>
      </c>
      <c r="S109" s="353">
        <f t="shared" si="211"/>
        <v>26.9</v>
      </c>
      <c r="T109" s="157">
        <f t="shared" ref="T109:T110" si="212">SUM(P109:S109)</f>
        <v>166.00000000000003</v>
      </c>
      <c r="U109" s="355">
        <f t="shared" ref="U109:X109" si="213">-U197+-U211</f>
        <v>39.62</v>
      </c>
      <c r="V109" s="355">
        <f t="shared" si="213"/>
        <v>34.768930946137495</v>
      </c>
      <c r="W109" s="355">
        <f t="shared" si="213"/>
        <v>31.27456675650805</v>
      </c>
      <c r="X109" s="355">
        <f t="shared" si="213"/>
        <v>29.341303811349206</v>
      </c>
      <c r="Y109" s="157">
        <f t="shared" ref="Y109:Y110" si="214">SUM(U109:X109)</f>
        <v>135.00480151399475</v>
      </c>
      <c r="Z109" s="355">
        <f t="shared" ref="Z109:AC109" si="215">-Z197+-Z211</f>
        <v>27.121355364616683</v>
      </c>
      <c r="AA109" s="355">
        <f t="shared" si="215"/>
        <v>26.54844978583136</v>
      </c>
      <c r="AB109" s="355">
        <f t="shared" si="215"/>
        <v>26.62276062768417</v>
      </c>
      <c r="AC109" s="355">
        <f t="shared" si="215"/>
        <v>27.59934748313951</v>
      </c>
      <c r="AD109" s="157">
        <f t="shared" ref="AD109:AD110" si="216">SUM(Z109:AC109)</f>
        <v>107.89191326127172</v>
      </c>
      <c r="AE109" s="157">
        <f t="shared" ref="AE109:AG109" si="217">-AE197+-AE211</f>
        <v>87.48114040435698</v>
      </c>
      <c r="AF109" s="157">
        <f t="shared" si="217"/>
        <v>135.3711684272539</v>
      </c>
      <c r="AG109" s="157">
        <f t="shared" si="217"/>
        <v>189.6898708762918</v>
      </c>
      <c r="AH109" s="8"/>
      <c r="AI109" s="8"/>
      <c r="AJ109" s="8"/>
      <c r="AK109" s="8"/>
    </row>
    <row r="110" ht="15.75" customHeight="1" spans="1:37" x14ac:dyDescent="0.25">
      <c r="A110" s="260"/>
      <c r="B110" s="8"/>
      <c r="C110" s="8" t="s">
        <v>311</v>
      </c>
      <c r="D110" s="8"/>
      <c r="E110" s="8"/>
      <c r="F110" s="353">
        <f t="shared" ref="F110:I110" si="218">F180</f>
        <v>0</v>
      </c>
      <c r="G110" s="353">
        <f t="shared" si="218"/>
        <v>0</v>
      </c>
      <c r="H110" s="353">
        <f t="shared" si="218"/>
        <v>0</v>
      </c>
      <c r="I110" s="353">
        <f t="shared" si="218"/>
        <v>0</v>
      </c>
      <c r="J110" s="157">
        <f t="shared" si="208"/>
        <v>0</v>
      </c>
      <c r="K110" s="353">
        <f t="shared" ref="K110:M110" si="219">K180</f>
        <v>0</v>
      </c>
      <c r="L110" s="353">
        <f t="shared" si="219"/>
        <v>0</v>
      </c>
      <c r="M110" s="353">
        <f t="shared" si="219"/>
        <v>0</v>
      </c>
      <c r="N110" s="353">
        <f>N180</f>
        <v>0</v>
      </c>
      <c r="O110" s="157">
        <f t="shared" si="210"/>
        <v>0</v>
      </c>
      <c r="P110" s="353">
        <f t="shared" ref="P110:Q110" si="220">P180</f>
        <v>0</v>
      </c>
      <c r="Q110" s="353">
        <f t="shared" si="220"/>
        <v>0</v>
      </c>
      <c r="R110" s="353">
        <f>R180</f>
        <v>0</v>
      </c>
      <c r="S110" s="353">
        <f>S180</f>
        <v>0</v>
      </c>
      <c r="T110" s="157">
        <f t="shared" si="212"/>
        <v>0</v>
      </c>
      <c r="U110" s="355">
        <f t="shared" ref="U110:X110" si="221">U180</f>
        <v>1057.7427028000002</v>
      </c>
      <c r="V110" s="355">
        <f t="shared" si="221"/>
        <v>-5.051777200000288</v>
      </c>
      <c r="W110" s="355">
        <f t="shared" si="221"/>
        <v>-782.1447606000002</v>
      </c>
      <c r="X110" s="355">
        <f t="shared" si="221"/>
        <v>489.28332749999936</v>
      </c>
      <c r="Y110" s="157">
        <f t="shared" si="214"/>
        <v>759.8294924999991</v>
      </c>
      <c r="Z110" s="355">
        <f t="shared" ref="Z110:AC110" si="222">Z180</f>
        <v>355.5537042879987</v>
      </c>
      <c r="AA110" s="355">
        <f t="shared" si="222"/>
        <v>13.587083588001406</v>
      </c>
      <c r="AB110" s="355">
        <f t="shared" si="222"/>
        <v>-841.251196205998</v>
      </c>
      <c r="AC110" s="355">
        <f t="shared" si="222"/>
        <v>535.7881633299985</v>
      </c>
      <c r="AD110" s="157">
        <f t="shared" si="216"/>
        <v>63.677755000000616</v>
      </c>
      <c r="AE110" s="157">
        <f t="shared" ref="AE110:AG110" si="223">AE180</f>
        <v>375.4801087158794</v>
      </c>
      <c r="AF110" s="157">
        <f t="shared" si="223"/>
        <v>401.6011347551921</v>
      </c>
      <c r="AG110" s="157">
        <f t="shared" si="223"/>
        <v>129.41144057893325</v>
      </c>
      <c r="AH110" s="8"/>
      <c r="AI110" s="8"/>
      <c r="AJ110" s="8"/>
      <c r="AK110" s="8"/>
    </row>
    <row r="111" ht="15.75" customHeight="1" spans="1:37" x14ac:dyDescent="0.25">
      <c r="A111" s="260"/>
      <c r="B111" s="8"/>
      <c r="C111" s="8" t="s">
        <v>118</v>
      </c>
      <c r="D111" s="8"/>
      <c r="E111" s="8"/>
      <c r="F111" s="378">
        <f>F196</f>
        <v>27.6</v>
      </c>
      <c r="G111" s="378">
        <f t="shared" ref="G111:I111" si="224">G196</f>
        <v>-69.6</v>
      </c>
      <c r="H111" s="378">
        <f t="shared" si="224"/>
        <v>-26.000000000000007</v>
      </c>
      <c r="I111" s="378">
        <f t="shared" si="224"/>
        <v>-23</v>
      </c>
      <c r="J111" s="350">
        <f>SUM(F111:I111)</f>
        <v>-91</v>
      </c>
      <c r="K111" s="378">
        <f t="shared" ref="K111:N111" si="225">K196</f>
        <v>25.2</v>
      </c>
      <c r="L111" s="378">
        <f t="shared" si="225"/>
        <v>-94.2</v>
      </c>
      <c r="M111" s="378">
        <f t="shared" si="225"/>
        <v>-53</v>
      </c>
      <c r="N111" s="378">
        <f t="shared" si="225"/>
        <v>-51</v>
      </c>
      <c r="O111" s="350">
        <f>SUM(K111:N111)</f>
        <v>-173</v>
      </c>
      <c r="P111" s="378">
        <f t="shared" ref="P111:S111" si="226">P196</f>
        <v>96.2</v>
      </c>
      <c r="Q111" s="378">
        <f t="shared" si="226"/>
        <v>-195.2</v>
      </c>
      <c r="R111" s="378">
        <f t="shared" si="226"/>
        <v>-56.000000000000014</v>
      </c>
      <c r="S111" s="378">
        <f t="shared" si="226"/>
        <v>-18</v>
      </c>
      <c r="T111" s="350">
        <f>SUM(P111:S111)</f>
        <v>-173</v>
      </c>
      <c r="U111" s="351">
        <f t="shared" ref="U111:X111" si="227">U196</f>
        <v>-56.66478765000001</v>
      </c>
      <c r="V111" s="351">
        <f t="shared" si="227"/>
        <v>-58.4828292</v>
      </c>
      <c r="W111" s="351">
        <f t="shared" si="227"/>
        <v>-67.63654125</v>
      </c>
      <c r="X111" s="351">
        <f t="shared" si="227"/>
        <v>-45.589769549999986</v>
      </c>
      <c r="Y111" s="350">
        <f>SUM(U111:X111)</f>
        <v>-228.37392764999998</v>
      </c>
      <c r="Z111" s="351">
        <f t="shared" ref="Z111:AC111" si="228">Z196</f>
        <v>-59.75267125650001</v>
      </c>
      <c r="AA111" s="351">
        <f t="shared" si="228"/>
        <v>-62.720571132</v>
      </c>
      <c r="AB111" s="351">
        <f t="shared" si="228"/>
        <v>-71.92977104250001</v>
      </c>
      <c r="AC111" s="351">
        <f t="shared" si="228"/>
        <v>-49.41043484999998</v>
      </c>
      <c r="AD111" s="350">
        <f>SUM(Z111:AC111)</f>
        <v>-243.813448281</v>
      </c>
      <c r="AE111" s="350">
        <f t="shared" ref="AE111:AG111" si="229">AE196</f>
        <v>-256.92586204626</v>
      </c>
      <c r="AF111" s="350">
        <f t="shared" si="229"/>
        <v>-266.7647484951786</v>
      </c>
      <c r="AG111" s="350">
        <f t="shared" si="229"/>
        <v>-273.15788392894814</v>
      </c>
      <c r="AH111" s="8"/>
      <c r="AI111" s="8"/>
      <c r="AJ111" s="8"/>
      <c r="AK111" s="8"/>
    </row>
    <row r="112" ht="15.75" customHeight="1" spans="1:37" x14ac:dyDescent="0.25">
      <c r="A112" s="260"/>
      <c r="B112" s="8"/>
      <c r="C112" s="8" t="s">
        <v>312</v>
      </c>
      <c r="D112" s="8"/>
      <c r="E112" s="8"/>
      <c r="F112" s="348">
        <f t="shared" ref="F112:X112" si="230">SUM(F108:F111)</f>
        <v>1919.96</v>
      </c>
      <c r="G112" s="348">
        <f t="shared" si="230"/>
        <v>1568.542</v>
      </c>
      <c r="H112" s="348">
        <f t="shared" si="230"/>
        <v>1881.9879999999998</v>
      </c>
      <c r="I112" s="348">
        <f t="shared" si="230"/>
        <v>2611.6100000000006</v>
      </c>
      <c r="J112" s="278">
        <f t="shared" si="230"/>
        <v>7982.099999999999</v>
      </c>
      <c r="K112" s="348">
        <f t="shared" si="230"/>
        <v>1626.1000000000001</v>
      </c>
      <c r="L112" s="348">
        <f t="shared" si="230"/>
        <v>1363.1300000000003</v>
      </c>
      <c r="M112" s="348">
        <f t="shared" si="230"/>
        <v>2706.28</v>
      </c>
      <c r="N112" s="348">
        <f t="shared" si="230"/>
        <v>4285.665</v>
      </c>
      <c r="O112" s="278">
        <f t="shared" si="230"/>
        <v>9981.175000000001</v>
      </c>
      <c r="P112" s="348">
        <f t="shared" si="230"/>
        <v>2620.9640000000004</v>
      </c>
      <c r="Q112" s="348">
        <f t="shared" si="230"/>
        <v>2458.4150000000004</v>
      </c>
      <c r="R112" s="348">
        <f t="shared" si="230"/>
        <v>3168.4740000000006</v>
      </c>
      <c r="S112" s="348">
        <f t="shared" ref="S112" si="231">SUM(S108:S111)</f>
        <v>2630.9539999999993</v>
      </c>
      <c r="T112" s="278">
        <f t="shared" si="230"/>
        <v>10878.807</v>
      </c>
      <c r="U112" s="277">
        <f t="shared" si="230"/>
        <v>1519.7792160051754</v>
      </c>
      <c r="V112" s="277">
        <f t="shared" si="230"/>
        <v>442.89823400711725</v>
      </c>
      <c r="W112" s="277">
        <f t="shared" si="230"/>
        <v>-284.08759599465674</v>
      </c>
      <c r="X112" s="277">
        <f t="shared" si="230"/>
        <v>791.200563107356</v>
      </c>
      <c r="Y112" s="278">
        <f t="shared" ref="Y112:AG112" si="232">SUM(Y108:Y111)</f>
        <v>2469.790417124992</v>
      </c>
      <c r="Z112" s="277">
        <f t="shared" si="232"/>
        <v>792.0999513233064</v>
      </c>
      <c r="AA112" s="277">
        <f t="shared" si="232"/>
        <v>491.9880033412576</v>
      </c>
      <c r="AB112" s="277">
        <f t="shared" si="232"/>
        <v>-235.7621046561389</v>
      </c>
      <c r="AC112" s="277">
        <f t="shared" si="232"/>
        <v>944.7758125743269</v>
      </c>
      <c r="AD112" s="278">
        <f t="shared" si="232"/>
        <v>1993.101662582752</v>
      </c>
      <c r="AE112" s="278">
        <f t="shared" si="232"/>
        <v>2215.2793857433153</v>
      </c>
      <c r="AF112" s="278">
        <f t="shared" si="232"/>
        <v>2381.423462658531</v>
      </c>
      <c r="AG112" s="278">
        <f t="shared" si="232"/>
        <v>2107.51004649074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0.6023290541981955</v>
      </c>
      <c r="G114" s="402">
        <f t="shared" si="233"/>
        <v>0.5633641041260062</v>
      </c>
      <c r="H114" s="402">
        <f t="shared" si="233"/>
        <v>0.5848155799344206</v>
      </c>
      <c r="I114" s="402">
        <f t="shared" si="233"/>
        <v>0.59445427003453</v>
      </c>
      <c r="J114" s="403">
        <f t="shared" si="233"/>
        <v>0.5876458973524609</v>
      </c>
      <c r="K114" s="402">
        <f t="shared" si="233"/>
        <v>0.4887733325317864</v>
      </c>
      <c r="L114" s="402">
        <f t="shared" si="233"/>
        <v>0.4169065001238673</v>
      </c>
      <c r="M114" s="402">
        <f t="shared" si="233"/>
        <v>0.7865995442496396</v>
      </c>
      <c r="N114" s="402">
        <f t="shared" si="233"/>
        <v>0.8208578155852209</v>
      </c>
      <c r="O114" s="403">
        <f t="shared" si="233"/>
        <v>0.6541614418013302</v>
      </c>
      <c r="P114" s="402">
        <f t="shared" si="233"/>
        <v>0.7472106792440781</v>
      </c>
      <c r="Q114" s="402">
        <f t="shared" si="233"/>
        <v>0.6850404671309926</v>
      </c>
      <c r="R114" s="402">
        <f t="shared" si="233"/>
        <v>0.7559150810650128</v>
      </c>
      <c r="S114" s="402">
        <f t="shared" ref="S114" si="234">S112/S28</f>
        <v>0.9501033539848704</v>
      </c>
      <c r="T114" s="403">
        <f t="shared" si="233"/>
        <v>0.7739024976529616</v>
      </c>
      <c r="U114" s="404">
        <f t="shared" si="233"/>
        <v>0.4023078385272591</v>
      </c>
      <c r="V114" s="404">
        <f t="shared" si="233"/>
        <v>0.11359699250163428</v>
      </c>
      <c r="W114" s="404">
        <f t="shared" si="233"/>
        <v>-0.06300313205208215</v>
      </c>
      <c r="X114" s="404">
        <f t="shared" si="233"/>
        <v>0.26032174682511294</v>
      </c>
      <c r="Y114" s="403">
        <f t="shared" ref="Y114:AG114" si="235">Y112/Y28</f>
        <v>0.16222016513921822</v>
      </c>
      <c r="Z114" s="404">
        <f t="shared" si="235"/>
        <v>0.1988446544732024</v>
      </c>
      <c r="AA114" s="404">
        <f t="shared" si="235"/>
        <v>0.11766187579171584</v>
      </c>
      <c r="AB114" s="404">
        <f t="shared" si="235"/>
        <v>-0.049165060844591976</v>
      </c>
      <c r="AC114" s="404">
        <f t="shared" si="235"/>
        <v>0.28681466236103986</v>
      </c>
      <c r="AD114" s="403">
        <f t="shared" si="235"/>
        <v>0.12262049181259649</v>
      </c>
      <c r="AE114" s="403">
        <f t="shared" si="235"/>
        <v>0.12933377170168545</v>
      </c>
      <c r="AF114" s="403">
        <f t="shared" si="235"/>
        <v>0.1339058182963915</v>
      </c>
      <c r="AG114" s="403">
        <f t="shared" si="235"/>
        <v>0.11573032505107542</v>
      </c>
      <c r="AH114" s="8"/>
      <c r="AI114" s="8"/>
      <c r="AJ114" s="8"/>
      <c r="AK114" s="8"/>
    </row>
    <row r="115" ht="15.75" customHeight="1" spans="1:37" x14ac:dyDescent="0.25">
      <c r="A115" s="260"/>
      <c r="B115" s="8"/>
      <c r="C115" s="8" t="s">
        <v>314</v>
      </c>
      <c r="D115" s="8"/>
      <c r="E115" s="8"/>
      <c r="F115" s="376">
        <f t="shared" ref="F115:X115" si="236">F112/F285</f>
        <v>7.4532608695652165</v>
      </c>
      <c r="G115" s="376">
        <f t="shared" si="236"/>
        <v>6.2968366118024885</v>
      </c>
      <c r="H115" s="376">
        <f t="shared" si="236"/>
        <v>7.716227962279622</v>
      </c>
      <c r="I115" s="376">
        <f t="shared" si="236"/>
        <v>194.89626865671644</v>
      </c>
      <c r="J115" s="117">
        <f t="shared" si="236"/>
        <v>34.075133404482386</v>
      </c>
      <c r="K115" s="376">
        <f t="shared" si="236"/>
        <v>6.8009201171058145</v>
      </c>
      <c r="L115" s="376">
        <f t="shared" si="236"/>
        <v>5.618837592745261</v>
      </c>
      <c r="M115" s="376">
        <f t="shared" si="236"/>
        <v>11.848861646234676</v>
      </c>
      <c r="N115" s="376">
        <f t="shared" si="236"/>
        <v>400.5294392523365</v>
      </c>
      <c r="O115" s="117">
        <f t="shared" si="236"/>
        <v>46.10242494226328</v>
      </c>
      <c r="P115" s="376">
        <f t="shared" si="236"/>
        <v>11.91347272727273</v>
      </c>
      <c r="Q115" s="376">
        <f t="shared" si="236"/>
        <v>11.174613636363638</v>
      </c>
      <c r="R115" s="376">
        <f t="shared" si="236"/>
        <v>14.771440559440562</v>
      </c>
      <c r="S115" s="376">
        <f t="shared" ref="S115" si="237">S112/S285</f>
        <v>12.231533826756422</v>
      </c>
      <c r="T115" s="117">
        <f t="shared" si="236"/>
        <v>50.04074075777718</v>
      </c>
      <c r="U115" s="377">
        <f t="shared" si="236"/>
        <v>6.811950875277525</v>
      </c>
      <c r="V115" s="377">
        <f t="shared" si="236"/>
        <v>1.9204465766256664</v>
      </c>
      <c r="W115" s="377">
        <f t="shared" si="236"/>
        <v>-1.2370986902452983</v>
      </c>
      <c r="X115" s="377">
        <f t="shared" si="236"/>
        <v>3.46019364025174</v>
      </c>
      <c r="Y115" s="117">
        <f t="shared" ref="Y115:AG115" si="238">Y112/Y285</f>
        <v>10.83211178701395</v>
      </c>
      <c r="Z115" s="377">
        <f t="shared" si="238"/>
        <v>3.4944213841882448</v>
      </c>
      <c r="AA115" s="377">
        <f t="shared" si="238"/>
        <v>2.1847369066981854</v>
      </c>
      <c r="AB115" s="377">
        <f t="shared" si="238"/>
        <v>-1.044531176949653</v>
      </c>
      <c r="AC115" s="377">
        <f t="shared" si="238"/>
        <v>4.1761994655990184</v>
      </c>
      <c r="AD115" s="117">
        <f t="shared" si="238"/>
        <v>8.820903844217936</v>
      </c>
      <c r="AE115" s="117">
        <f t="shared" si="238"/>
        <v>9.877609834858614</v>
      </c>
      <c r="AF115" s="117">
        <f t="shared" si="238"/>
        <v>10.807775064425138</v>
      </c>
      <c r="AG115" s="117">
        <f t="shared" si="238"/>
        <v>9.738313631468754</v>
      </c>
      <c r="AH115" s="8"/>
      <c r="AI115" s="8"/>
      <c r="AJ115" s="8"/>
      <c r="AK115" s="8"/>
    </row>
    <row r="116" ht="15.75" customHeight="1" spans="1:37" x14ac:dyDescent="0.25">
      <c r="A116" s="260"/>
      <c r="B116" s="8"/>
      <c r="C116" s="8" t="s">
        <v>315</v>
      </c>
      <c r="D116" s="8"/>
      <c r="E116" s="8"/>
      <c r="F116" s="402">
        <f t="shared" ref="F116:I116" si="239">F115*4/F242</f>
        <v>0.7843473685414593</v>
      </c>
      <c r="G116" s="402">
        <f t="shared" si="239"/>
        <v>0.724815725099567</v>
      </c>
      <c r="H116" s="402">
        <f t="shared" si="239"/>
        <v>0.8884545725134855</v>
      </c>
      <c r="I116" s="402">
        <f t="shared" si="239"/>
        <v>21.861611739396125</v>
      </c>
      <c r="J116" s="403">
        <f>J115/J242</f>
        <v>0.9187348224172669</v>
      </c>
      <c r="K116" s="402">
        <f t="shared" ref="K116:N116" si="240">K115*4/K242</f>
        <v>0.6695466519424872</v>
      </c>
      <c r="L116" s="402">
        <f t="shared" si="240"/>
        <v>0.5527631670187173</v>
      </c>
      <c r="M116" s="402">
        <f t="shared" si="240"/>
        <v>1.1639353287067462</v>
      </c>
      <c r="N116" s="402">
        <f t="shared" si="240"/>
        <v>39.34473862989553</v>
      </c>
      <c r="O116" s="403">
        <f>O115/O242</f>
        <v>1.1325516243659346</v>
      </c>
      <c r="P116" s="402">
        <f t="shared" ref="P116:S116" si="241">P115*4/P242</f>
        <v>0.5891196799244767</v>
      </c>
      <c r="Q116" s="402">
        <f t="shared" si="241"/>
        <v>0.5579634820303901</v>
      </c>
      <c r="R116" s="402">
        <f t="shared" si="241"/>
        <v>0.7404230856862437</v>
      </c>
      <c r="S116" s="402">
        <f t="shared" si="241"/>
        <v>1.2015259161843244</v>
      </c>
      <c r="T116" s="403">
        <f>T115/T242</f>
        <v>0.651773443782672</v>
      </c>
      <c r="U116" s="404">
        <f t="shared" ref="U116:X116" si="242">U115*4/U242</f>
        <v>0.6691503806755918</v>
      </c>
      <c r="V116" s="404">
        <f t="shared" si="242"/>
        <v>0.18864897609289455</v>
      </c>
      <c r="W116" s="404">
        <f t="shared" si="242"/>
        <v>-0.12152246466063835</v>
      </c>
      <c r="X116" s="404">
        <f t="shared" si="242"/>
        <v>0.33990114344319644</v>
      </c>
      <c r="Y116" s="403">
        <f>Y115/Y242</f>
        <v>0.26601453307991035</v>
      </c>
      <c r="Z116" s="404">
        <f t="shared" ref="Z116:AC116" si="243">Z115*4/Z242</f>
        <v>0.3432633972680005</v>
      </c>
      <c r="AA116" s="404">
        <f t="shared" si="243"/>
        <v>0.2146106981039475</v>
      </c>
      <c r="AB116" s="404">
        <f t="shared" si="243"/>
        <v>-0.10260620598719578</v>
      </c>
      <c r="AC116" s="404">
        <f t="shared" si="243"/>
        <v>0.41023570388988395</v>
      </c>
      <c r="AD116" s="403">
        <f t="shared" ref="AD116:AG116" si="244">AD115/AD242</f>
        <v>0.21662337534916346</v>
      </c>
      <c r="AE116" s="403">
        <f t="shared" si="244"/>
        <v>0.24257391539436676</v>
      </c>
      <c r="AF116" s="403">
        <f t="shared" si="244"/>
        <v>0.2654168728984563</v>
      </c>
      <c r="AG116" s="403">
        <f t="shared" si="244"/>
        <v>0.23915308525217963</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9703.1</v>
      </c>
      <c r="K120" s="405">
        <v>7615.691</v>
      </c>
      <c r="L120" s="405">
        <v>10841.622</v>
      </c>
      <c r="M120" s="405">
        <v>10573.471</v>
      </c>
      <c r="N120" s="405">
        <v>12153.414</v>
      </c>
      <c r="O120" s="278">
        <f>N120</f>
        <v>8526.4</v>
      </c>
      <c r="P120" s="405">
        <v>11176.343</v>
      </c>
      <c r="Q120" s="405">
        <v>11260.403</v>
      </c>
      <c r="R120" s="405">
        <v>11458.472</v>
      </c>
      <c r="S120" s="405">
        <v>14043.889</v>
      </c>
      <c r="T120" s="278">
        <f t="shared" ref="T120:T124" si="247">S120</f>
        <v>12153.4</v>
      </c>
      <c r="U120" s="277">
        <f t="shared" ref="U120:X120" si="248">U104</f>
        <v>47353.80495603409</v>
      </c>
      <c r="V120" s="277">
        <f t="shared" si="248"/>
        <v>5735.333174152962</v>
      </c>
      <c r="W120" s="277">
        <f t="shared" si="248"/>
        <v>2743.1906515573983</v>
      </c>
      <c r="X120" s="277">
        <f t="shared" si="248"/>
        <v>0</v>
      </c>
      <c r="Y120" s="278">
        <f t="shared" ref="Y120:Y124" si="249">X120</f>
        <v>0</v>
      </c>
      <c r="Z120" s="277">
        <f t="shared" ref="Z120:AC120" si="250">Z104</f>
        <v>4876.231731871641</v>
      </c>
      <c r="AA120" s="277">
        <f t="shared" si="250"/>
        <v>2869.530160759268</v>
      </c>
      <c r="AB120" s="277">
        <f t="shared" si="250"/>
        <v>0</v>
      </c>
      <c r="AC120" s="277">
        <f t="shared" si="250"/>
        <v>0</v>
      </c>
      <c r="AD120" s="278">
        <f t="shared" ref="AD120:AD124" si="251">AC120</f>
        <v>0</v>
      </c>
      <c r="AE120" s="278">
        <f t="shared" ref="AE120:AG120" si="252">AE104</f>
        <v>1.3642420526593924e-12</v>
      </c>
      <c r="AF120" s="278">
        <f t="shared" si="252"/>
        <v>-4.547473508864641e-13</v>
      </c>
      <c r="AG120" s="278">
        <f t="shared" si="252"/>
        <v>-4.547473508864641e-13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0</v>
      </c>
      <c r="K121" s="405">
        <v>5480.747</v>
      </c>
      <c r="L121" s="405">
        <v>6114.367</v>
      </c>
      <c r="M121" s="405">
        <v>5305.207</v>
      </c>
      <c r="N121" s="405">
        <v>5824.844</v>
      </c>
      <c r="O121" s="157">
        <f>N121</f>
        <v>0</v>
      </c>
      <c r="P121" s="405">
        <v>6703.258</v>
      </c>
      <c r="Q121" s="405">
        <v>6225.189</v>
      </c>
      <c r="R121" s="405">
        <v>6627.64</v>
      </c>
      <c r="S121" s="405">
        <v>8556.388</v>
      </c>
      <c r="T121" s="157">
        <f t="shared" si="247"/>
        <v>0</v>
      </c>
      <c r="U121" s="355">
        <f t="shared" ref="U121:X121" si="253">U163</f>
        <v>9519.684325200002</v>
      </c>
      <c r="V121" s="355">
        <f t="shared" si="253"/>
        <v>9669.1610944</v>
      </c>
      <c r="W121" s="355">
        <f t="shared" si="253"/>
        <v>11002.21071</v>
      </c>
      <c r="X121" s="355">
        <f t="shared" si="253"/>
        <v>7294.363127999998</v>
      </c>
      <c r="Y121" s="157">
        <f t="shared" si="249"/>
        <v>7294.363127999998</v>
      </c>
      <c r="Z121" s="355">
        <f t="shared" ref="Z121:AC121" si="254">Z163</f>
        <v>10038.448771092002</v>
      </c>
      <c r="AA121" s="355">
        <f t="shared" si="254"/>
        <v>10369.801093824002</v>
      </c>
      <c r="AB121" s="355">
        <f t="shared" si="254"/>
        <v>11700.576089580001</v>
      </c>
      <c r="AC121" s="355">
        <f t="shared" si="254"/>
        <v>7905.669575999997</v>
      </c>
      <c r="AD121" s="157">
        <f t="shared" si="251"/>
        <v>7905.669575999997</v>
      </c>
      <c r="AE121" s="157">
        <f t="shared" ref="AE121:AG121" si="255">AE163</f>
        <v>11304.737930035442</v>
      </c>
      <c r="AF121" s="157">
        <f t="shared" si="255"/>
        <v>11559.805768124408</v>
      </c>
      <c r="AG121" s="157">
        <f t="shared" si="255"/>
        <v>11836.841636921088</v>
      </c>
      <c r="AH121" s="8"/>
      <c r="AI121" s="8"/>
      <c r="AJ121" s="8"/>
      <c r="AK121" s="8"/>
    </row>
    <row r="122" ht="15.75" customHeight="1" spans="1:37" x14ac:dyDescent="0.25">
      <c r="A122" s="260"/>
      <c r="B122" s="8"/>
      <c r="C122" s="8" t="s">
        <v>319</v>
      </c>
      <c r="D122" s="8"/>
      <c r="E122" s="8"/>
      <c r="F122" s="405"/>
      <c r="G122" s="405"/>
      <c r="H122" s="405"/>
      <c r="I122" s="405"/>
      <c r="J122" s="157">
        <f>I122</f>
        <v>0</v>
      </c>
      <c r="K122" s="405"/>
      <c r="L122" s="405"/>
      <c r="M122" s="405"/>
      <c r="N122" s="405"/>
      <c r="O122" s="157">
        <f>N122</f>
        <v>0</v>
      </c>
      <c r="P122" s="405"/>
      <c r="Q122" s="405"/>
      <c r="R122" s="405"/>
      <c r="S122" s="405"/>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0</v>
      </c>
      <c r="K123" s="406">
        <v>40121.199</v>
      </c>
      <c r="L123" s="406">
        <v>39184.116</v>
      </c>
      <c r="M123" s="406">
        <v>41070.805</v>
      </c>
      <c r="N123" s="406">
        <v>40235.206</v>
      </c>
      <c r="O123" s="357">
        <f>N123</f>
        <v>0</v>
      </c>
      <c r="P123" s="406">
        <v>45950.985</v>
      </c>
      <c r="Q123" s="406">
        <v>43438.891</v>
      </c>
      <c r="R123" s="406">
        <v>44833.717</v>
      </c>
      <c r="S123" s="406">
        <v>36777.958</v>
      </c>
      <c r="T123" s="350">
        <f t="shared" si="247"/>
        <v>0</v>
      </c>
      <c r="U123" s="351">
        <f t="shared" ref="U123:X123" si="259">U165</f>
        <v>11669.427000000001</v>
      </c>
      <c r="V123" s="351">
        <f t="shared" si="259"/>
        <v>55125.362848325</v>
      </c>
      <c r="W123" s="351">
        <f t="shared" si="259"/>
        <v>57251.35960273307</v>
      </c>
      <c r="X123" s="351">
        <f t="shared" si="259"/>
        <v>58921.12243767631</v>
      </c>
      <c r="Y123" s="350">
        <f t="shared" si="249"/>
        <v>58921.12243767631</v>
      </c>
      <c r="Z123" s="351">
        <f t="shared" ref="Z123:AC123" si="260">Z165</f>
        <v>55259.95253235569</v>
      </c>
      <c r="AA123" s="351">
        <f t="shared" si="260"/>
        <v>59047.24876249105</v>
      </c>
      <c r="AB123" s="351">
        <f t="shared" si="260"/>
        <v>61301.314026242486</v>
      </c>
      <c r="AC123" s="351">
        <f t="shared" si="260"/>
        <v>63159.15135261411</v>
      </c>
      <c r="AD123" s="350">
        <f t="shared" si="251"/>
        <v>63159.15135261411</v>
      </c>
      <c r="AE123" s="350">
        <f t="shared" ref="AE123:AG123" si="261">AE165</f>
        <v>66731.35283236187</v>
      </c>
      <c r="AF123" s="350">
        <f t="shared" si="261"/>
        <v>74238.78704039834</v>
      </c>
      <c r="AG123" s="350">
        <f t="shared" si="261"/>
        <v>84315.9707032736</v>
      </c>
      <c r="AH123" s="8"/>
      <c r="AI123" s="8"/>
      <c r="AJ123" s="8"/>
      <c r="AK123" s="8"/>
    </row>
    <row r="124" ht="15.75" customHeight="1" spans="1:37" x14ac:dyDescent="0.25">
      <c r="A124" s="260"/>
      <c r="B124" s="8"/>
      <c r="C124" s="130" t="s">
        <v>321</v>
      </c>
      <c r="D124" s="8"/>
      <c r="E124" s="8"/>
      <c r="F124" s="348">
        <f t="shared" ref="F124:I124" si="262">SUM(F120:F123)</f>
        <v>7508.5</v>
      </c>
      <c r="G124" s="348">
        <f t="shared" si="262"/>
        <v>8004.9</v>
      </c>
      <c r="H124" s="348">
        <f t="shared" si="262"/>
        <v>8817.4</v>
      </c>
      <c r="I124" s="348">
        <f t="shared" si="262"/>
        <v>9703.1</v>
      </c>
      <c r="J124" s="278">
        <f t="shared" ref="J124" si="263">I124</f>
        <v>9703.1</v>
      </c>
      <c r="K124" s="348">
        <f t="shared" ref="K124:N124" si="264">SUM(K120:K123)</f>
        <v>7615.7</v>
      </c>
      <c r="L124" s="348">
        <f t="shared" si="264"/>
        <v>10841.6</v>
      </c>
      <c r="M124" s="348">
        <f t="shared" si="264"/>
        <v>10573.5</v>
      </c>
      <c r="N124" s="348">
        <f t="shared" si="264"/>
        <v>8526.4</v>
      </c>
      <c r="O124" s="278">
        <f t="shared" ref="O124" si="265">N124</f>
        <v>8526.4</v>
      </c>
      <c r="P124" s="348">
        <f t="shared" ref="P124:S124" si="266">SUM(P120:P123)</f>
        <v>11176.3</v>
      </c>
      <c r="Q124" s="348">
        <f t="shared" si="266"/>
        <v>11260.4</v>
      </c>
      <c r="R124" s="348">
        <f t="shared" si="266"/>
        <v>11458.5</v>
      </c>
      <c r="S124" s="348">
        <f t="shared" si="266"/>
        <v>12153.4</v>
      </c>
      <c r="T124" s="278">
        <f t="shared" si="247"/>
        <v>12153.4</v>
      </c>
      <c r="U124" s="277">
        <f t="shared" ref="U124:X124" si="267">SUM(U120:U123)</f>
        <v>68542.9162812341</v>
      </c>
      <c r="V124" s="277">
        <f t="shared" si="267"/>
        <v>70529.85711687796</v>
      </c>
      <c r="W124" s="277">
        <f t="shared" si="267"/>
        <v>70996.76096429047</v>
      </c>
      <c r="X124" s="277">
        <f t="shared" si="267"/>
        <v>66215.48556567631</v>
      </c>
      <c r="Y124" s="278">
        <f t="shared" si="249"/>
        <v>66215.48556567631</v>
      </c>
      <c r="Z124" s="277">
        <f t="shared" ref="Z124:AC124" si="268">SUM(Z120:Z123)</f>
        <v>70174.63303531933</v>
      </c>
      <c r="AA124" s="277">
        <f t="shared" si="268"/>
        <v>72286.58001707432</v>
      </c>
      <c r="AB124" s="277">
        <f t="shared" si="268"/>
        <v>73001.89011582249</v>
      </c>
      <c r="AC124" s="277">
        <f t="shared" si="268"/>
        <v>71064.8209286141</v>
      </c>
      <c r="AD124" s="278">
        <f t="shared" si="251"/>
        <v>71064.8209286141</v>
      </c>
      <c r="AE124" s="278">
        <f t="shared" ref="AE124:AG124" si="269">SUM(AE120:AE123)</f>
        <v>78036.0907623973</v>
      </c>
      <c r="AF124" s="278">
        <f t="shared" si="269"/>
        <v>85798.59280852275</v>
      </c>
      <c r="AG124" s="278">
        <f t="shared" si="269"/>
        <v>96152.8123401947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0</v>
      </c>
      <c r="K126" s="405">
        <v>1103.49</v>
      </c>
      <c r="L126" s="405">
        <v>1206.489</v>
      </c>
      <c r="M126" s="405">
        <v>1229.028</v>
      </c>
      <c r="N126" s="405">
        <v>1194.72</v>
      </c>
      <c r="O126" s="278">
        <f>N126</f>
        <v>0</v>
      </c>
      <c r="P126" s="405">
        <v>1217.202</v>
      </c>
      <c r="Q126" s="405">
        <v>1235.343</v>
      </c>
      <c r="R126" s="405">
        <v>1255</v>
      </c>
      <c r="S126" s="405">
        <v>1246.47</v>
      </c>
      <c r="T126" s="278">
        <f t="shared" ref="T126:T130" si="270">S126</f>
        <v>0</v>
      </c>
      <c r="U126" s="277">
        <f t="shared" ref="U126:X126" si="271">U199</f>
        <v>-56.66478765000001</v>
      </c>
      <c r="V126" s="277">
        <f t="shared" si="271"/>
        <v>-117.23004779613751</v>
      </c>
      <c r="W126" s="277">
        <f t="shared" si="271"/>
        <v>-189.17479330264555</v>
      </c>
      <c r="X126" s="277">
        <f t="shared" si="271"/>
        <v>-241.85861760149476</v>
      </c>
      <c r="Y126" s="278">
        <f t="shared" ref="Y126:Y130" si="272">X126</f>
        <v>-241.85861760149476</v>
      </c>
      <c r="Z126" s="277">
        <f t="shared" ref="Z126:AC126" si="273">Z199</f>
        <v>-310.3786637460489</v>
      </c>
      <c r="AA126" s="277">
        <f t="shared" si="273"/>
        <v>-384.5056507707162</v>
      </c>
      <c r="AB126" s="277">
        <f t="shared" si="273"/>
        <v>-470.56600447904003</v>
      </c>
      <c r="AC126" s="277">
        <f t="shared" si="273"/>
        <v>-537.2697399936447</v>
      </c>
      <c r="AD126" s="278">
        <f t="shared" ref="AD126:AD130" si="274">AC126</f>
        <v>-537.2697399936447</v>
      </c>
      <c r="AE126" s="278">
        <f t="shared" ref="AE126:AG126" si="275">AE199</f>
        <v>-873.1742538189706</v>
      </c>
      <c r="AF126" s="278">
        <f t="shared" si="275"/>
        <v>-1268.2956176255377</v>
      </c>
      <c r="AG126" s="278">
        <f t="shared" si="275"/>
        <v>-1725.356366110189</v>
      </c>
      <c r="AH126" s="8"/>
      <c r="AI126" s="8"/>
      <c r="AJ126" s="8"/>
      <c r="AK126" s="8"/>
    </row>
    <row r="127" ht="15.75" customHeight="1" spans="1:37" x14ac:dyDescent="0.25">
      <c r="A127" s="260"/>
      <c r="B127" s="8"/>
      <c r="C127" s="8" t="s">
        <v>323</v>
      </c>
      <c r="D127" s="8"/>
      <c r="E127" s="8"/>
      <c r="F127" s="405">
        <v>0</v>
      </c>
      <c r="G127" s="405">
        <v>0</v>
      </c>
      <c r="H127" s="405">
        <v>0</v>
      </c>
      <c r="I127" s="405">
        <v>0</v>
      </c>
      <c r="J127" s="157">
        <f>I127</f>
        <v>139.5</v>
      </c>
      <c r="K127" s="405">
        <v>0</v>
      </c>
      <c r="L127" s="405">
        <v>0</v>
      </c>
      <c r="M127" s="405">
        <v>0</v>
      </c>
      <c r="N127" s="405">
        <v>0</v>
      </c>
      <c r="O127" s="157">
        <f>N127</f>
        <v>196.9</v>
      </c>
      <c r="P127" s="405">
        <v>0</v>
      </c>
      <c r="Q127" s="405">
        <v>0</v>
      </c>
      <c r="R127" s="405">
        <v>0</v>
      </c>
      <c r="S127" s="405">
        <v>0</v>
      </c>
      <c r="T127" s="157">
        <f t="shared" si="270"/>
        <v>226.4</v>
      </c>
      <c r="U127" s="355">
        <f t="shared" ref="U127:X127" si="276">U213</f>
        <v>186.78</v>
      </c>
      <c r="V127" s="355">
        <f t="shared" si="276"/>
        <v>154.0935</v>
      </c>
      <c r="W127" s="355">
        <f t="shared" si="276"/>
        <v>127.1271375</v>
      </c>
      <c r="X127" s="355">
        <f t="shared" si="276"/>
        <v>104.8798884375</v>
      </c>
      <c r="Y127" s="157">
        <f t="shared" si="272"/>
        <v>104.8798884375</v>
      </c>
      <c r="Z127" s="355">
        <f t="shared" ref="Z127:AC127" si="277">Z213</f>
        <v>86.5259079609375</v>
      </c>
      <c r="AA127" s="355">
        <f t="shared" si="277"/>
        <v>71.38387406777343</v>
      </c>
      <c r="AB127" s="355">
        <f t="shared" si="277"/>
        <v>58.891696105913084</v>
      </c>
      <c r="AC127" s="355">
        <f t="shared" si="277"/>
        <v>48.585649287378295</v>
      </c>
      <c r="AD127" s="157">
        <f t="shared" si="274"/>
        <v>48.585649287378295</v>
      </c>
      <c r="AE127" s="157">
        <f t="shared" ref="AE127:AG127" si="278">AE213</f>
        <v>40.083160662087096</v>
      </c>
      <c r="AF127" s="157">
        <f t="shared" si="278"/>
        <v>33.068607546221855</v>
      </c>
      <c r="AG127" s="157">
        <f t="shared" si="278"/>
        <v>27.281601225633032</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1745.1</v>
      </c>
      <c r="K128" s="405">
        <v>1824.037</v>
      </c>
      <c r="L128" s="405">
        <v>1822.809</v>
      </c>
      <c r="M128" s="405">
        <v>1832.958</v>
      </c>
      <c r="N128" s="405">
        <v>1827.938</v>
      </c>
      <c r="O128" s="157">
        <f>N128</f>
        <v>1736.1</v>
      </c>
      <c r="P128" s="405">
        <v>1824.647</v>
      </c>
      <c r="Q128" s="405">
        <v>1842.114</v>
      </c>
      <c r="R128" s="405">
        <v>1840.432</v>
      </c>
      <c r="S128" s="405">
        <v>1837.57</v>
      </c>
      <c r="T128" s="157">
        <f t="shared" si="270"/>
        <v>1847.9</v>
      </c>
      <c r="U128" s="355">
        <f t="shared" ref="U128:X128" si="279">U221</f>
        <v>1847.9</v>
      </c>
      <c r="V128" s="355">
        <f t="shared" si="279"/>
        <v>1847.9</v>
      </c>
      <c r="W128" s="355">
        <f t="shared" si="279"/>
        <v>1847.9</v>
      </c>
      <c r="X128" s="355">
        <f t="shared" si="279"/>
        <v>1847.9</v>
      </c>
      <c r="Y128" s="157">
        <f t="shared" si="272"/>
        <v>1847.9</v>
      </c>
      <c r="Z128" s="355">
        <f t="shared" ref="Z128:AC128" si="280">Z221</f>
        <v>1847.9</v>
      </c>
      <c r="AA128" s="355">
        <f t="shared" si="280"/>
        <v>1847.9</v>
      </c>
      <c r="AB128" s="355">
        <f t="shared" si="280"/>
        <v>1847.9</v>
      </c>
      <c r="AC128" s="355">
        <f t="shared" si="280"/>
        <v>1847.9</v>
      </c>
      <c r="AD128" s="157">
        <f t="shared" si="274"/>
        <v>1847.9</v>
      </c>
      <c r="AE128" s="157">
        <f t="shared" ref="AE128:AG128" si="281">AE221</f>
        <v>1847.9</v>
      </c>
      <c r="AF128" s="157">
        <f t="shared" si="281"/>
        <v>1847.9</v>
      </c>
      <c r="AG128" s="157">
        <f t="shared" si="281"/>
        <v>1847.9</v>
      </c>
      <c r="AH128" s="8"/>
      <c r="AI128" s="8"/>
      <c r="AJ128" s="8"/>
      <c r="AK128" s="8"/>
    </row>
    <row r="129" ht="15.75" customHeight="1" spans="1:37" x14ac:dyDescent="0.25">
      <c r="A129" s="260"/>
      <c r="B129" s="8"/>
      <c r="C129" s="8" t="s">
        <v>325</v>
      </c>
      <c r="D129" s="8"/>
      <c r="E129" s="8"/>
      <c r="F129" s="406">
        <v>41884.514</v>
      </c>
      <c r="G129" s="406">
        <v>43089.686</v>
      </c>
      <c r="H129" s="406">
        <v>44557.788</v>
      </c>
      <c r="I129" s="406">
        <v>45288.525</v>
      </c>
      <c r="J129" s="357">
        <f>I129</f>
        <v>47746.3</v>
      </c>
      <c r="K129" s="406">
        <v>50389.773</v>
      </c>
      <c r="L129" s="406">
        <v>49129.632</v>
      </c>
      <c r="M129" s="406">
        <v>49639.612</v>
      </c>
      <c r="N129" s="406">
        <v>52811.251</v>
      </c>
      <c r="O129" s="357">
        <f>N129</f>
        <v>54732.8</v>
      </c>
      <c r="P129" s="406">
        <v>56000.742</v>
      </c>
      <c r="Q129" s="406">
        <v>52947.487</v>
      </c>
      <c r="R129" s="406">
        <v>54765.777</v>
      </c>
      <c r="S129" s="406">
        <v>60774.907</v>
      </c>
      <c r="T129" s="350">
        <f t="shared" si="270"/>
        <v>60900.4</v>
      </c>
      <c r="U129" s="351">
        <f t="shared" ref="U129:X129" si="282">U222</f>
        <v>62118.408</v>
      </c>
      <c r="V129" s="351">
        <f t="shared" si="282"/>
        <v>63360.77616</v>
      </c>
      <c r="W129" s="351">
        <f t="shared" si="282"/>
        <v>64627.9916832</v>
      </c>
      <c r="X129" s="351">
        <f t="shared" si="282"/>
        <v>65920.551516864</v>
      </c>
      <c r="Y129" s="350">
        <f t="shared" si="272"/>
        <v>65920.551516864</v>
      </c>
      <c r="Z129" s="351">
        <f t="shared" ref="Z129:AC129" si="283">Z222</f>
        <v>67238.96254720128</v>
      </c>
      <c r="AA129" s="351">
        <f t="shared" si="283"/>
        <v>68583.74179814532</v>
      </c>
      <c r="AB129" s="351">
        <f t="shared" si="283"/>
        <v>69955.41663410823</v>
      </c>
      <c r="AC129" s="351">
        <f t="shared" si="283"/>
        <v>71354.5249667904</v>
      </c>
      <c r="AD129" s="350">
        <f t="shared" si="274"/>
        <v>71354.5249667904</v>
      </c>
      <c r="AE129" s="350">
        <f t="shared" ref="AE129:AG129" si="284">AE222</f>
        <v>76706.11433929967</v>
      </c>
      <c r="AF129" s="350">
        <f t="shared" si="284"/>
        <v>84376.72577322964</v>
      </c>
      <c r="AG129" s="350">
        <f t="shared" si="284"/>
        <v>91548.74746395416</v>
      </c>
      <c r="AH129" s="8"/>
      <c r="AI129" s="8"/>
      <c r="AJ129" s="8"/>
      <c r="AK129" s="8"/>
    </row>
    <row r="130" ht="15.75" customHeight="1" spans="1:37" x14ac:dyDescent="0.25">
      <c r="A130" s="260"/>
      <c r="B130" s="8"/>
      <c r="C130" s="130" t="s">
        <v>326</v>
      </c>
      <c r="D130" s="8"/>
      <c r="E130" s="8"/>
      <c r="F130" s="348">
        <f t="shared" ref="F130:I130" si="285">SUM(F126:F129)</f>
        <v>50663.8</v>
      </c>
      <c r="G130" s="348">
        <f t="shared" si="285"/>
        <v>52327.4</v>
      </c>
      <c r="H130" s="348">
        <f t="shared" si="285"/>
        <v>54664.1</v>
      </c>
      <c r="I130" s="348">
        <f t="shared" si="285"/>
        <v>49630.9</v>
      </c>
      <c r="J130" s="278">
        <f t="shared" ref="J130" si="286">I130</f>
        <v>49630.9</v>
      </c>
      <c r="K130" s="348">
        <f t="shared" ref="K130:N130" si="287">SUM(K126:K129)</f>
        <v>59665.4</v>
      </c>
      <c r="L130" s="348">
        <f t="shared" si="287"/>
        <v>61693.2</v>
      </c>
      <c r="M130" s="348">
        <f t="shared" si="287"/>
        <v>61925.5</v>
      </c>
      <c r="N130" s="348">
        <f t="shared" si="287"/>
        <v>56665.8</v>
      </c>
      <c r="O130" s="278">
        <f t="shared" ref="O130" si="288">N130</f>
        <v>56665.8</v>
      </c>
      <c r="P130" s="348">
        <f t="shared" ref="P130:S130" si="289">SUM(P126:P129)</f>
        <v>68835.6</v>
      </c>
      <c r="Q130" s="348">
        <f t="shared" si="289"/>
        <v>65848.7</v>
      </c>
      <c r="R130" s="348">
        <f t="shared" si="289"/>
        <v>67861.5</v>
      </c>
      <c r="S130" s="348">
        <f t="shared" si="289"/>
        <v>62974.700000000004</v>
      </c>
      <c r="T130" s="278">
        <f t="shared" si="270"/>
        <v>62974.700000000004</v>
      </c>
      <c r="U130" s="277">
        <f t="shared" ref="U130:X130" si="290">SUM(U126:U129)</f>
        <v>64096.423212350004</v>
      </c>
      <c r="V130" s="277">
        <f t="shared" si="290"/>
        <v>65245.539612203866</v>
      </c>
      <c r="W130" s="277">
        <f t="shared" si="290"/>
        <v>66413.84402739735</v>
      </c>
      <c r="X130" s="277">
        <f t="shared" si="290"/>
        <v>67631.4727877</v>
      </c>
      <c r="Y130" s="278">
        <f t="shared" si="272"/>
        <v>67631.4727877</v>
      </c>
      <c r="Z130" s="277">
        <f t="shared" ref="Z130:AC130" si="291">SUM(Z126:Z129)</f>
        <v>68863.00979141617</v>
      </c>
      <c r="AA130" s="277">
        <f t="shared" si="291"/>
        <v>70118.52002144238</v>
      </c>
      <c r="AB130" s="277">
        <f t="shared" si="291"/>
        <v>71391.6423257351</v>
      </c>
      <c r="AC130" s="277">
        <f t="shared" si="291"/>
        <v>72713.74087608414</v>
      </c>
      <c r="AD130" s="278">
        <f t="shared" si="274"/>
        <v>72713.74087608414</v>
      </c>
      <c r="AE130" s="278">
        <f t="shared" ref="AE130:AG130" si="292">SUM(AE126:AE129)</f>
        <v>77720.92324614279</v>
      </c>
      <c r="AF130" s="278">
        <f t="shared" si="292"/>
        <v>84989.39876315033</v>
      </c>
      <c r="AG130" s="278">
        <f t="shared" si="292"/>
        <v>91698.5726990696</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58172.3</v>
      </c>
      <c r="G132" s="348">
        <f t="shared" si="293"/>
        <v>60332.3</v>
      </c>
      <c r="H132" s="348">
        <f t="shared" si="293"/>
        <v>63481.5</v>
      </c>
      <c r="I132" s="348">
        <f t="shared" si="293"/>
        <v>59334</v>
      </c>
      <c r="J132" s="278">
        <f t="shared" si="293"/>
        <v>59334</v>
      </c>
      <c r="K132" s="348">
        <f t="shared" si="293"/>
        <v>67281.1</v>
      </c>
      <c r="L132" s="348">
        <f t="shared" si="293"/>
        <v>72534.8</v>
      </c>
      <c r="M132" s="348">
        <f t="shared" si="293"/>
        <v>72499</v>
      </c>
      <c r="N132" s="348">
        <f t="shared" si="293"/>
        <v>65192.200000000004</v>
      </c>
      <c r="O132" s="278">
        <f t="shared" si="293"/>
        <v>65192.200000000004</v>
      </c>
      <c r="P132" s="348">
        <f t="shared" si="293"/>
        <v>80011.90000000001</v>
      </c>
      <c r="Q132" s="348">
        <f t="shared" si="293"/>
        <v>77109.09999999999</v>
      </c>
      <c r="R132" s="348">
        <f t="shared" si="293"/>
        <v>79320</v>
      </c>
      <c r="S132" s="348">
        <f t="shared" ref="S132" si="294">SUM(S124,S130)</f>
        <v>75128.1</v>
      </c>
      <c r="T132" s="278">
        <f t="shared" si="293"/>
        <v>75128.1</v>
      </c>
      <c r="U132" s="277">
        <f t="shared" si="293"/>
        <v>132639.3394935841</v>
      </c>
      <c r="V132" s="277">
        <f t="shared" si="293"/>
        <v>135775.3967290818</v>
      </c>
      <c r="W132" s="277">
        <f t="shared" si="293"/>
        <v>137410.6049916878</v>
      </c>
      <c r="X132" s="277">
        <f t="shared" si="293"/>
        <v>133846.9583533763</v>
      </c>
      <c r="Y132" s="278">
        <f t="shared" ref="Y132:AG132" si="295">SUM(Y124,Y130)</f>
        <v>133846.9583533763</v>
      </c>
      <c r="Z132" s="277">
        <f t="shared" si="295"/>
        <v>139037.6428267355</v>
      </c>
      <c r="AA132" s="277">
        <f t="shared" si="295"/>
        <v>142405.10003851668</v>
      </c>
      <c r="AB132" s="277">
        <f t="shared" si="295"/>
        <v>144393.5324415576</v>
      </c>
      <c r="AC132" s="277">
        <f t="shared" si="295"/>
        <v>143778.56180469826</v>
      </c>
      <c r="AD132" s="278">
        <f t="shared" si="295"/>
        <v>143778.56180469826</v>
      </c>
      <c r="AE132" s="278">
        <f t="shared" si="295"/>
        <v>155757.01400854008</v>
      </c>
      <c r="AF132" s="278">
        <f t="shared" si="295"/>
        <v>170787.99157167308</v>
      </c>
      <c r="AG132" s="278">
        <f t="shared" si="295"/>
        <v>187851.38503926428</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528.4</v>
      </c>
      <c r="K134" s="359">
        <v>1254.31</v>
      </c>
      <c r="L134" s="359">
        <v>1625.31</v>
      </c>
      <c r="M134" s="359">
        <v>1725.864</v>
      </c>
      <c r="N134" s="359">
        <v>443.16</v>
      </c>
      <c r="O134" s="278">
        <f t="shared" ref="O134:O138" si="297">N134</f>
        <v>989.7</v>
      </c>
      <c r="P134" s="359">
        <v>1172.806</v>
      </c>
      <c r="Q134" s="359">
        <v>1315.103</v>
      </c>
      <c r="R134" s="359">
        <v>1231.328</v>
      </c>
      <c r="S134" s="359">
        <v>1767.206</v>
      </c>
      <c r="T134" s="278">
        <f t="shared" ref="T134:T138" si="298">S134</f>
        <v>443.2</v>
      </c>
      <c r="U134" s="277">
        <f t="shared" ref="U134:X134" si="299">U168</f>
        <v>1352.3058</v>
      </c>
      <c r="V134" s="277">
        <f t="shared" si="299"/>
        <v>2387.5081108845134</v>
      </c>
      <c r="W134" s="277">
        <f t="shared" si="299"/>
        <v>2443.9571411234724</v>
      </c>
      <c r="X134" s="277">
        <f t="shared" si="299"/>
        <v>2473.3908898503805</v>
      </c>
      <c r="Y134" s="278">
        <f t="shared" ref="Y134:Y138" si="300">X134</f>
        <v>2473.3908898503805</v>
      </c>
      <c r="Z134" s="277">
        <f t="shared" ref="Z134:AC134" si="301">Z168</f>
        <v>2409.2452503607733</v>
      </c>
      <c r="AA134" s="277">
        <f t="shared" si="301"/>
        <v>2502.677570881239</v>
      </c>
      <c r="AB134" s="277">
        <f t="shared" si="301"/>
        <v>2563.2918006933</v>
      </c>
      <c r="AC134" s="277">
        <f t="shared" si="301"/>
        <v>2599.0835839480364</v>
      </c>
      <c r="AD134" s="278">
        <f t="shared" ref="AD134:AD138" si="302">AC134</f>
        <v>2599.0835839480364</v>
      </c>
      <c r="AE134" s="278">
        <f t="shared" ref="AE134:AG134" si="303">AE168</f>
        <v>2588.0141124845686</v>
      </c>
      <c r="AF134" s="278">
        <f t="shared" si="303"/>
        <v>2803.626252153721</v>
      </c>
      <c r="AG134" s="278">
        <f t="shared" si="303"/>
        <v>3074.1838482901153</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0</v>
      </c>
      <c r="K135" s="359">
        <v>8149.941</v>
      </c>
      <c r="L135" s="359">
        <v>8178.388</v>
      </c>
      <c r="M135" s="359">
        <v>8319.522</v>
      </c>
      <c r="N135" s="359">
        <v>7760.342</v>
      </c>
      <c r="O135" s="278">
        <f t="shared" si="297"/>
        <v>0</v>
      </c>
      <c r="P135" s="359">
        <v>8344.09</v>
      </c>
      <c r="Q135" s="359">
        <v>8076.672</v>
      </c>
      <c r="R135" s="359">
        <v>8128.541</v>
      </c>
      <c r="S135" s="359">
        <v>12171.814</v>
      </c>
      <c r="T135" s="278">
        <f t="shared" si="298"/>
        <v>0</v>
      </c>
      <c r="U135" s="277">
        <f t="shared" ref="U135:X135" si="304">U169</f>
        <v>10577.427028000002</v>
      </c>
      <c r="V135" s="277">
        <f t="shared" si="304"/>
        <v>10721.85202</v>
      </c>
      <c r="W135" s="277">
        <f t="shared" si="304"/>
        <v>11272.756875</v>
      </c>
      <c r="X135" s="277">
        <f t="shared" si="304"/>
        <v>8054.192620499997</v>
      </c>
      <c r="Y135" s="278">
        <f t="shared" si="300"/>
        <v>8054.192620499997</v>
      </c>
      <c r="Z135" s="277">
        <f t="shared" ref="Z135:AC135" si="305">Z169</f>
        <v>11153.83196788</v>
      </c>
      <c r="AA135" s="277">
        <f t="shared" si="305"/>
        <v>11498.771374200001</v>
      </c>
      <c r="AB135" s="277">
        <f t="shared" si="305"/>
        <v>11988.295173750003</v>
      </c>
      <c r="AC135" s="277">
        <f t="shared" si="305"/>
        <v>8729.176823499996</v>
      </c>
      <c r="AD135" s="278">
        <f t="shared" si="302"/>
        <v>8729.176823499996</v>
      </c>
      <c r="AE135" s="278">
        <f t="shared" ref="AE135:AG135" si="306">AE169</f>
        <v>12503.725286251321</v>
      </c>
      <c r="AF135" s="278">
        <f t="shared" si="306"/>
        <v>13160.39425909548</v>
      </c>
      <c r="AG135" s="278">
        <f t="shared" si="306"/>
        <v>13566.841568471093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0</v>
      </c>
      <c r="K136" s="359">
        <v>2709.17</v>
      </c>
      <c r="L136" s="359">
        <v>2244.127</v>
      </c>
      <c r="M136" s="359">
        <v>2550.101</v>
      </c>
      <c r="N136" s="359">
        <v>2540.861</v>
      </c>
      <c r="O136" s="157">
        <f t="shared" si="297"/>
        <v>0</v>
      </c>
      <c r="P136" s="359">
        <v>2501.643</v>
      </c>
      <c r="Q136" s="359">
        <v>2041.795</v>
      </c>
      <c r="R136" s="359">
        <v>2498.013</v>
      </c>
      <c r="S136" s="359">
        <v>2540.759</v>
      </c>
      <c r="T136" s="278">
        <f t="shared" si="298"/>
        <v>0</v>
      </c>
      <c r="U136" s="277">
        <f t="shared" ref="U136:X136" si="307">U170</f>
        <v>3588.7698845000004</v>
      </c>
      <c r="V136" s="277">
        <f t="shared" si="307"/>
        <v>3586.9468576000004</v>
      </c>
      <c r="W136" s="277">
        <f t="shared" si="307"/>
        <v>3968.01042</v>
      </c>
      <c r="X136" s="277">
        <f t="shared" si="307"/>
        <v>2674.5998135999994</v>
      </c>
      <c r="Y136" s="157">
        <f t="shared" si="300"/>
        <v>2674.5998135999994</v>
      </c>
      <c r="Z136" s="277">
        <f t="shared" ref="Z136:AC136" si="308">Z170</f>
        <v>3784.335846245</v>
      </c>
      <c r="AA136" s="277">
        <f t="shared" si="308"/>
        <v>3846.8616960960007</v>
      </c>
      <c r="AB136" s="277">
        <f t="shared" si="308"/>
        <v>4219.879901160001</v>
      </c>
      <c r="AC136" s="277">
        <f t="shared" si="308"/>
        <v>2898.745511199999</v>
      </c>
      <c r="AD136" s="157">
        <f t="shared" si="302"/>
        <v>2898.745511199999</v>
      </c>
      <c r="AE136" s="278">
        <f t="shared" ref="AE136:AG136" si="309">AE170</f>
        <v>4367.739654786421</v>
      </c>
      <c r="AF136" s="278">
        <f t="shared" si="309"/>
        <v>4623.922307249763</v>
      </c>
      <c r="AG136" s="278">
        <f t="shared" si="309"/>
        <v>4734.736654768435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0</v>
      </c>
      <c r="K137" s="349">
        <v>29034.426</v>
      </c>
      <c r="L137" s="349">
        <v>28333.513</v>
      </c>
      <c r="M137" s="349">
        <v>27641.832</v>
      </c>
      <c r="N137" s="349">
        <v>29859.988</v>
      </c>
      <c r="O137" s="350">
        <f t="shared" si="297"/>
        <v>0</v>
      </c>
      <c r="P137" s="349">
        <v>33145.954</v>
      </c>
      <c r="Q137" s="349">
        <v>30117.227</v>
      </c>
      <c r="R137" s="349">
        <v>30946.877</v>
      </c>
      <c r="S137" s="349">
        <v>32994.068</v>
      </c>
      <c r="T137" s="407">
        <f t="shared" si="298"/>
        <v>0</v>
      </c>
      <c r="U137" s="351">
        <f t="shared" ref="U137:X137" si="310">U171</f>
        <v>41554.177610000006</v>
      </c>
      <c r="V137" s="351">
        <f t="shared" si="310"/>
        <v>42887.40808</v>
      </c>
      <c r="W137" s="351">
        <f t="shared" si="310"/>
        <v>42836.476125</v>
      </c>
      <c r="X137" s="351">
        <f t="shared" si="310"/>
        <v>27353.861729999993</v>
      </c>
      <c r="Y137" s="350">
        <f t="shared" si="300"/>
        <v>27353.861729999993</v>
      </c>
      <c r="Z137" s="351">
        <f t="shared" ref="Z137:AC137" si="311">Z171</f>
        <v>43818.6255881</v>
      </c>
      <c r="AA137" s="351">
        <f t="shared" si="311"/>
        <v>45995.085496800006</v>
      </c>
      <c r="AB137" s="351">
        <f t="shared" si="311"/>
        <v>45555.52166025001</v>
      </c>
      <c r="AC137" s="351">
        <f t="shared" si="311"/>
        <v>29646.26090999999</v>
      </c>
      <c r="AD137" s="350">
        <f t="shared" si="302"/>
        <v>29646.26090999999</v>
      </c>
      <c r="AE137" s="350">
        <f t="shared" ref="AE137:AG137" si="312">AE171</f>
        <v>43334.828731802525</v>
      </c>
      <c r="AF137" s="350">
        <f t="shared" si="312"/>
        <v>44816.47774719001</v>
      </c>
      <c r="AG137" s="350">
        <f t="shared" si="312"/>
        <v>46618.94552387382</v>
      </c>
      <c r="AH137" s="8"/>
      <c r="AI137" s="8"/>
      <c r="AJ137" s="8"/>
      <c r="AK137" s="8"/>
    </row>
    <row r="138" ht="15.75" customHeight="1" spans="1:37" x14ac:dyDescent="0.25">
      <c r="A138" s="260"/>
      <c r="B138" s="8"/>
      <c r="C138" s="130" t="s">
        <v>332</v>
      </c>
      <c r="D138" s="8"/>
      <c r="E138" s="8"/>
      <c r="F138" s="348">
        <f t="shared" ref="F138:I138" si="313">SUM(F134:F137)</f>
        <v>477.8</v>
      </c>
      <c r="G138" s="348">
        <f t="shared" si="313"/>
        <v>846.9</v>
      </c>
      <c r="H138" s="348">
        <f t="shared" si="313"/>
        <v>924.9</v>
      </c>
      <c r="I138" s="348">
        <f t="shared" si="313"/>
        <v>528.4</v>
      </c>
      <c r="J138" s="278">
        <f t="shared" si="296"/>
        <v>528.4</v>
      </c>
      <c r="K138" s="348">
        <f t="shared" ref="K138:N138" si="314">SUM(K134:K137)</f>
        <v>1250</v>
      </c>
      <c r="L138" s="348">
        <f t="shared" si="314"/>
        <v>1625.3</v>
      </c>
      <c r="M138" s="348">
        <f t="shared" si="314"/>
        <v>1718.5</v>
      </c>
      <c r="N138" s="348">
        <f t="shared" si="314"/>
        <v>989.7</v>
      </c>
      <c r="O138" s="278">
        <f t="shared" si="297"/>
        <v>989.7</v>
      </c>
      <c r="P138" s="348">
        <f t="shared" ref="P138:S138" si="315">SUM(P134:P137)</f>
        <v>1172.8</v>
      </c>
      <c r="Q138" s="348">
        <f t="shared" si="315"/>
        <v>1315.1</v>
      </c>
      <c r="R138" s="348">
        <f t="shared" si="315"/>
        <v>1231.3</v>
      </c>
      <c r="S138" s="348">
        <f t="shared" si="315"/>
        <v>443.2</v>
      </c>
      <c r="T138" s="278">
        <f t="shared" si="298"/>
        <v>443.2</v>
      </c>
      <c r="U138" s="277">
        <f t="shared" ref="U138:X138" si="316">SUM(U134:U137)</f>
        <v>57072.680322500004</v>
      </c>
      <c r="V138" s="277">
        <f t="shared" si="316"/>
        <v>59583.71506848451</v>
      </c>
      <c r="W138" s="277">
        <f t="shared" si="316"/>
        <v>60521.20056112347</v>
      </c>
      <c r="X138" s="277">
        <f t="shared" si="316"/>
        <v>40556.04505395037</v>
      </c>
      <c r="Y138" s="278">
        <f t="shared" si="300"/>
        <v>40556.04505395037</v>
      </c>
      <c r="Z138" s="277">
        <f t="shared" ref="Z138:AC138" si="317">SUM(Z134:Z137)</f>
        <v>61166.038652585776</v>
      </c>
      <c r="AA138" s="277">
        <f t="shared" si="317"/>
        <v>63843.396137977245</v>
      </c>
      <c r="AB138" s="277">
        <f t="shared" si="317"/>
        <v>64326.98853585331</v>
      </c>
      <c r="AC138" s="277">
        <f t="shared" si="317"/>
        <v>43873.26682864802</v>
      </c>
      <c r="AD138" s="278">
        <f t="shared" si="302"/>
        <v>43873.26682864802</v>
      </c>
      <c r="AE138" s="278">
        <f t="shared" ref="AE138:AG138" si="318">SUM(AE134:AE137)</f>
        <v>62794.30778532484</v>
      </c>
      <c r="AF138" s="278">
        <f t="shared" si="318"/>
        <v>65404.42056568897</v>
      </c>
      <c r="AG138" s="278">
        <f t="shared" si="318"/>
        <v>67994.70759540347</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477.8</v>
      </c>
      <c r="G140" s="359">
        <v>846.9</v>
      </c>
      <c r="H140" s="359">
        <v>924.9</v>
      </c>
      <c r="I140" s="359">
        <v>528.4</v>
      </c>
      <c r="J140" s="278">
        <f t="shared" ref="J140:J144" si="319">I140</f>
        <v>528.4</v>
      </c>
      <c r="K140" s="359">
        <v>1250</v>
      </c>
      <c r="L140" s="359">
        <v>1625.3</v>
      </c>
      <c r="M140" s="359">
        <v>1718.5</v>
      </c>
      <c r="N140" s="359">
        <v>989.7</v>
      </c>
      <c r="O140" s="278">
        <f t="shared" ref="O140:O144" si="320">N140</f>
        <v>989.7</v>
      </c>
      <c r="P140" s="359">
        <v>1172.8</v>
      </c>
      <c r="Q140" s="359">
        <v>1315.1</v>
      </c>
      <c r="R140" s="359">
        <v>1231.3</v>
      </c>
      <c r="S140" s="359">
        <v>443.2</v>
      </c>
      <c r="T140" s="278">
        <f t="shared" ref="T140:T144" si="321">S140</f>
        <v>443.2</v>
      </c>
      <c r="U140" s="277">
        <f t="shared" ref="U140:X140" si="322">U307</f>
        <v>0</v>
      </c>
      <c r="V140" s="277">
        <f t="shared" si="322"/>
        <v>0</v>
      </c>
      <c r="W140" s="277">
        <f t="shared" si="322"/>
        <v>0</v>
      </c>
      <c r="X140" s="277">
        <f t="shared" si="322"/>
        <v>15941.427065992077</v>
      </c>
      <c r="Y140" s="278">
        <f t="shared" ref="Y140:Y144" si="323">X140</f>
        <v>15941.427065992077</v>
      </c>
      <c r="Z140" s="277">
        <f t="shared" ref="Z140:AC140" si="324">Z307</f>
        <v>0</v>
      </c>
      <c r="AA140" s="277">
        <f t="shared" si="324"/>
        <v>0</v>
      </c>
      <c r="AB140" s="277">
        <f t="shared" si="324"/>
        <v>627.5824290365777</v>
      </c>
      <c r="AC140" s="277">
        <f t="shared" si="324"/>
        <v>19871.64568017916</v>
      </c>
      <c r="AD140" s="278">
        <f t="shared" ref="AD140:AD144" si="325">AC140</f>
        <v>19871.64568017916</v>
      </c>
      <c r="AE140" s="278">
        <f t="shared" ref="AE140:AG140" si="326">AE307</f>
        <v>9972.098361502412</v>
      </c>
      <c r="AF140" s="278">
        <f t="shared" si="326"/>
        <v>19420.670426006844</v>
      </c>
      <c r="AG140" s="278">
        <f t="shared" si="326"/>
        <v>31038.66946028697</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8774.1</v>
      </c>
      <c r="K141" s="359">
        <v>9917.278</v>
      </c>
      <c r="L141" s="359">
        <v>12666.6</v>
      </c>
      <c r="M141" s="359">
        <v>12922.012</v>
      </c>
      <c r="N141" s="359">
        <v>13530.565</v>
      </c>
      <c r="O141" s="157">
        <f t="shared" si="320"/>
        <v>9698.8</v>
      </c>
      <c r="P141" s="359">
        <v>14785.553</v>
      </c>
      <c r="Q141" s="359">
        <v>15351.967</v>
      </c>
      <c r="R141" s="359">
        <v>16013.634</v>
      </c>
      <c r="S141" s="359">
        <v>15895.891</v>
      </c>
      <c r="T141" s="157">
        <f t="shared" si="321"/>
        <v>13530.6</v>
      </c>
      <c r="U141" s="355">
        <f t="shared" ref="U141:X141" si="327">U313</f>
        <v>13780.6</v>
      </c>
      <c r="V141" s="355">
        <f t="shared" si="327"/>
        <v>14030.6</v>
      </c>
      <c r="W141" s="355">
        <f t="shared" si="327"/>
        <v>14280.6</v>
      </c>
      <c r="X141" s="355">
        <f t="shared" si="327"/>
        <v>14530.6</v>
      </c>
      <c r="Y141" s="157">
        <f t="shared" si="323"/>
        <v>14530.6</v>
      </c>
      <c r="Z141" s="355">
        <f t="shared" ref="Z141:AC141" si="328">Z313</f>
        <v>14780.6</v>
      </c>
      <c r="AA141" s="355">
        <f t="shared" si="328"/>
        <v>15030.6</v>
      </c>
      <c r="AB141" s="355">
        <f t="shared" si="328"/>
        <v>15280.6</v>
      </c>
      <c r="AC141" s="355">
        <f t="shared" si="328"/>
        <v>15530.6</v>
      </c>
      <c r="AD141" s="157">
        <f t="shared" si="325"/>
        <v>15530.6</v>
      </c>
      <c r="AE141" s="157">
        <f t="shared" ref="AE141:AG141" si="329">AE313</f>
        <v>17030.6</v>
      </c>
      <c r="AF141" s="157">
        <f t="shared" si="329"/>
        <v>18530.6</v>
      </c>
      <c r="AG141" s="157">
        <f t="shared" si="329"/>
        <v>20030.6</v>
      </c>
      <c r="AH141" s="8"/>
      <c r="AI141" s="8"/>
      <c r="AJ141" s="8"/>
      <c r="AK141" s="8"/>
    </row>
    <row r="142" ht="15.75" customHeight="1" spans="1:37" x14ac:dyDescent="0.25">
      <c r="A142" s="260"/>
      <c r="B142" s="8"/>
      <c r="C142" s="8" t="s">
        <v>335</v>
      </c>
      <c r="D142" s="8"/>
      <c r="E142" s="8"/>
      <c r="F142" s="359"/>
      <c r="G142" s="359"/>
      <c r="H142" s="359"/>
      <c r="I142" s="359">
        <v>603.1</v>
      </c>
      <c r="J142" s="157">
        <f t="shared" si="319"/>
        <v>603.1</v>
      </c>
      <c r="K142" s="359"/>
      <c r="L142" s="359"/>
      <c r="M142" s="359"/>
      <c r="N142" s="359">
        <v>687.1</v>
      </c>
      <c r="O142" s="157">
        <f t="shared" si="320"/>
        <v>687.1</v>
      </c>
      <c r="P142" s="359"/>
      <c r="Q142" s="359"/>
      <c r="R142" s="359"/>
      <c r="S142" s="359">
        <v>738.1</v>
      </c>
      <c r="T142" s="157">
        <f t="shared" si="321"/>
        <v>738.1</v>
      </c>
      <c r="U142" s="355">
        <f t="shared" ref="U142:X142" si="330">U226</f>
        <v>738.1</v>
      </c>
      <c r="V142" s="355">
        <f t="shared" si="330"/>
        <v>738.1</v>
      </c>
      <c r="W142" s="355">
        <f t="shared" si="330"/>
        <v>738.1</v>
      </c>
      <c r="X142" s="355">
        <f t="shared" si="330"/>
        <v>738.1</v>
      </c>
      <c r="Y142" s="157">
        <f t="shared" si="323"/>
        <v>738.1</v>
      </c>
      <c r="Z142" s="355">
        <f t="shared" ref="Z142:AC142" si="331">Z226</f>
        <v>738.1</v>
      </c>
      <c r="AA142" s="355">
        <f t="shared" si="331"/>
        <v>738.1</v>
      </c>
      <c r="AB142" s="355">
        <f t="shared" si="331"/>
        <v>738.1</v>
      </c>
      <c r="AC142" s="355">
        <f t="shared" si="331"/>
        <v>738.1</v>
      </c>
      <c r="AD142" s="157">
        <f t="shared" si="325"/>
        <v>738.1</v>
      </c>
      <c r="AE142" s="157">
        <f t="shared" ref="AE142:AG142" si="332">AE226</f>
        <v>738.1</v>
      </c>
      <c r="AF142" s="157">
        <f t="shared" si="332"/>
        <v>738.1</v>
      </c>
      <c r="AG142" s="157">
        <f t="shared" si="332"/>
        <v>738.1</v>
      </c>
      <c r="AH142" s="8"/>
      <c r="AI142" s="8"/>
      <c r="AJ142" s="8"/>
      <c r="AK142" s="8"/>
    </row>
    <row r="143" ht="15.75" customHeight="1" spans="1:37" x14ac:dyDescent="0.25">
      <c r="A143" s="260"/>
      <c r="B143" s="8"/>
      <c r="C143" s="8" t="s">
        <v>336</v>
      </c>
      <c r="D143" s="8"/>
      <c r="E143" s="8"/>
      <c r="F143" s="349"/>
      <c r="G143" s="349"/>
      <c r="H143" s="349"/>
      <c r="I143" s="349"/>
      <c r="J143" s="350">
        <f t="shared" si="319"/>
        <v>0</v>
      </c>
      <c r="K143" s="349"/>
      <c r="L143" s="349"/>
      <c r="M143" s="349"/>
      <c r="N143" s="349"/>
      <c r="O143" s="350">
        <f t="shared" si="320"/>
        <v>0</v>
      </c>
      <c r="P143" s="349"/>
      <c r="Q143" s="349"/>
      <c r="R143" s="349"/>
      <c r="S143" s="349"/>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9103.4</v>
      </c>
      <c r="G144" s="348">
        <f t="shared" si="336"/>
        <v>9632.4</v>
      </c>
      <c r="H144" s="348">
        <f t="shared" si="336"/>
        <v>10387.4</v>
      </c>
      <c r="I144" s="348">
        <f t="shared" si="336"/>
        <v>9905.6</v>
      </c>
      <c r="J144" s="278">
        <f t="shared" si="319"/>
        <v>9905.6</v>
      </c>
      <c r="K144" s="348">
        <f t="shared" ref="K144:N144" si="337">SUM(K140:K143)</f>
        <v>11167.3</v>
      </c>
      <c r="L144" s="348">
        <f t="shared" si="337"/>
        <v>14291.9</v>
      </c>
      <c r="M144" s="348">
        <f t="shared" si="337"/>
        <v>14640.5</v>
      </c>
      <c r="N144" s="348">
        <f t="shared" si="337"/>
        <v>11375.6</v>
      </c>
      <c r="O144" s="278">
        <f t="shared" si="320"/>
        <v>11375.6</v>
      </c>
      <c r="P144" s="348">
        <f t="shared" ref="P144:S144" si="338">SUM(P140:P143)</f>
        <v>15958.4</v>
      </c>
      <c r="Q144" s="348">
        <f t="shared" si="338"/>
        <v>16667.1</v>
      </c>
      <c r="R144" s="348">
        <f t="shared" si="338"/>
        <v>17244.9</v>
      </c>
      <c r="S144" s="348">
        <f t="shared" si="338"/>
        <v>14711.900000000001</v>
      </c>
      <c r="T144" s="278">
        <f t="shared" si="321"/>
        <v>14711.900000000001</v>
      </c>
      <c r="U144" s="277">
        <f t="shared" ref="U144:X144" si="339">SUM(U140:U143)</f>
        <v>14518.7</v>
      </c>
      <c r="V144" s="277">
        <f t="shared" si="339"/>
        <v>14768.7</v>
      </c>
      <c r="W144" s="277">
        <f t="shared" si="339"/>
        <v>15018.7</v>
      </c>
      <c r="X144" s="277">
        <f t="shared" si="339"/>
        <v>31210.127065992077</v>
      </c>
      <c r="Y144" s="278">
        <f t="shared" si="323"/>
        <v>31210.127065992077</v>
      </c>
      <c r="Z144" s="277">
        <f t="shared" ref="Z144:AC144" si="340">SUM(Z140:Z143)</f>
        <v>15518.7</v>
      </c>
      <c r="AA144" s="277">
        <f t="shared" si="340"/>
        <v>15768.7</v>
      </c>
      <c r="AB144" s="277">
        <f t="shared" si="340"/>
        <v>16646.28242903658</v>
      </c>
      <c r="AC144" s="277">
        <f t="shared" si="340"/>
        <v>36140.34568017916</v>
      </c>
      <c r="AD144" s="278">
        <f t="shared" si="325"/>
        <v>36140.34568017916</v>
      </c>
      <c r="AE144" s="278">
        <f t="shared" ref="AE144:AG144" si="341">SUM(AE140:AE143)</f>
        <v>27740.79836150241</v>
      </c>
      <c r="AF144" s="278">
        <f t="shared" si="341"/>
        <v>38689.37042600684</v>
      </c>
      <c r="AG144" s="278">
        <f t="shared" si="341"/>
        <v>51807.369460286965</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9581.199999999999</v>
      </c>
      <c r="G146" s="348">
        <f t="shared" si="342"/>
        <v>10479.3</v>
      </c>
      <c r="H146" s="348">
        <f t="shared" si="342"/>
        <v>11312.3</v>
      </c>
      <c r="I146" s="348">
        <f t="shared" si="342"/>
        <v>10434</v>
      </c>
      <c r="J146" s="278">
        <f t="shared" si="342"/>
        <v>10434</v>
      </c>
      <c r="K146" s="348">
        <f t="shared" si="342"/>
        <v>12417.3</v>
      </c>
      <c r="L146" s="348">
        <f t="shared" si="342"/>
        <v>15917.199999999999</v>
      </c>
      <c r="M146" s="348">
        <f t="shared" si="342"/>
        <v>16359</v>
      </c>
      <c r="N146" s="348">
        <f t="shared" si="342"/>
        <v>12365.300000000001</v>
      </c>
      <c r="O146" s="278">
        <f t="shared" si="342"/>
        <v>12365.300000000001</v>
      </c>
      <c r="P146" s="348">
        <f t="shared" si="342"/>
        <v>17131.2</v>
      </c>
      <c r="Q146" s="348">
        <f t="shared" si="342"/>
        <v>17982.199999999997</v>
      </c>
      <c r="R146" s="348">
        <f t="shared" si="342"/>
        <v>18476.2</v>
      </c>
      <c r="S146" s="348">
        <f t="shared" ref="S146" si="343">SUM(S138,S144)</f>
        <v>15155.100000000002</v>
      </c>
      <c r="T146" s="278">
        <f t="shared" si="342"/>
        <v>15155.100000000002</v>
      </c>
      <c r="U146" s="277">
        <f t="shared" si="342"/>
        <v>71591.3803225</v>
      </c>
      <c r="V146" s="277">
        <f t="shared" si="342"/>
        <v>74352.41506848451</v>
      </c>
      <c r="W146" s="277">
        <f t="shared" si="342"/>
        <v>75539.90056112348</v>
      </c>
      <c r="X146" s="277">
        <f t="shared" si="342"/>
        <v>71766.17211994245</v>
      </c>
      <c r="Y146" s="278">
        <f t="shared" ref="Y146:AG146" si="344">SUM(Y138,Y144)</f>
        <v>71766.17211994245</v>
      </c>
      <c r="Z146" s="277">
        <f t="shared" si="344"/>
        <v>76684.73865258577</v>
      </c>
      <c r="AA146" s="277">
        <f t="shared" si="344"/>
        <v>79612.09613797725</v>
      </c>
      <c r="AB146" s="277">
        <f t="shared" si="344"/>
        <v>80973.27096488989</v>
      </c>
      <c r="AC146" s="277">
        <f t="shared" si="344"/>
        <v>80013.61250882718</v>
      </c>
      <c r="AD146" s="278">
        <f t="shared" si="344"/>
        <v>80013.61250882718</v>
      </c>
      <c r="AE146" s="278">
        <f t="shared" si="344"/>
        <v>90535.10614682725</v>
      </c>
      <c r="AF146" s="278">
        <f t="shared" si="344"/>
        <v>104093.7909916958</v>
      </c>
      <c r="AG146" s="278">
        <f t="shared" si="344"/>
        <v>119802.07705569043</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v>
      </c>
      <c r="K147" s="405">
        <v>0.406</v>
      </c>
      <c r="L147" s="405">
        <v>0.406</v>
      </c>
      <c r="M147" s="405">
        <v>0.406</v>
      </c>
      <c r="N147" s="405">
        <v>0.406</v>
      </c>
      <c r="O147" s="278">
        <f>N147</f>
        <v>0</v>
      </c>
      <c r="P147" s="405">
        <v>0.406</v>
      </c>
      <c r="Q147" s="405">
        <v>0.406</v>
      </c>
      <c r="R147" s="405">
        <v>0.406</v>
      </c>
      <c r="S147" s="405">
        <v>0.406</v>
      </c>
      <c r="T147" s="278">
        <f>S147</f>
        <v>0</v>
      </c>
      <c r="U147" s="277">
        <f>T147</f>
        <v>0</v>
      </c>
      <c r="V147" s="277">
        <f t="shared" ref="V147" si="345">U147</f>
        <v>0</v>
      </c>
      <c r="W147" s="277">
        <f t="shared" ref="W147" si="346">V147</f>
        <v>0</v>
      </c>
      <c r="X147" s="277">
        <f t="shared" ref="X147" si="347">W147</f>
        <v>0</v>
      </c>
      <c r="Y147" s="278">
        <f>X147</f>
        <v>0</v>
      </c>
      <c r="Z147" s="277">
        <f>Y147</f>
        <v>0</v>
      </c>
      <c r="AA147" s="277">
        <f t="shared" ref="AA147:AC147" si="348">Z147</f>
        <v>0</v>
      </c>
      <c r="AB147" s="277">
        <f t="shared" si="348"/>
        <v>0</v>
      </c>
      <c r="AC147" s="277">
        <f t="shared" si="348"/>
        <v>0</v>
      </c>
      <c r="AD147" s="278">
        <f>AC147</f>
        <v>0</v>
      </c>
      <c r="AE147" s="278">
        <f>AD147</f>
        <v>0</v>
      </c>
      <c r="AF147" s="278">
        <f t="shared" ref="AF147:AG147" si="349">AE147</f>
        <v>0</v>
      </c>
      <c r="AG147" s="278">
        <f t="shared" si="349"/>
        <v>0</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2193.9</v>
      </c>
      <c r="K148" s="405">
        <v>2238.627</v>
      </c>
      <c r="L148" s="405">
        <v>2263.244</v>
      </c>
      <c r="M148" s="405">
        <v>2291.777</v>
      </c>
      <c r="N148" s="405">
        <v>2309.758</v>
      </c>
      <c r="O148" s="278">
        <f>N148</f>
        <v>2255.5</v>
      </c>
      <c r="P148" s="405">
        <v>2300.443</v>
      </c>
      <c r="Q148" s="405">
        <v>2335.685</v>
      </c>
      <c r="R148" s="405">
        <v>2351.744</v>
      </c>
      <c r="S148" s="405">
        <v>2384.305</v>
      </c>
      <c r="T148" s="278">
        <f t="shared" ref="T148:T151" si="350">S148</f>
        <v>2309.8</v>
      </c>
      <c r="U148" s="277">
        <f t="shared" ref="U148:X148" si="351">U250</f>
        <v>3056.9178702289137</v>
      </c>
      <c r="V148" s="277">
        <f t="shared" si="351"/>
        <v>3113.5564502811467</v>
      </c>
      <c r="W148" s="277">
        <f t="shared" si="351"/>
        <v>3179.060081149338</v>
      </c>
      <c r="X148" s="277">
        <f t="shared" si="351"/>
        <v>3223.212182672849</v>
      </c>
      <c r="Y148" s="278">
        <f t="shared" ref="Y148:Y152" si="352">X148</f>
        <v>3223.212182672849</v>
      </c>
      <c r="Z148" s="277">
        <f t="shared" ref="Z148:AC148" si="353">Z250</f>
        <v>3199.640560461522</v>
      </c>
      <c r="AA148" s="277">
        <f t="shared" si="353"/>
        <v>3301.103245751815</v>
      </c>
      <c r="AB148" s="277">
        <f t="shared" si="353"/>
        <v>3452.204719915405</v>
      </c>
      <c r="AC148" s="277">
        <f t="shared" si="353"/>
        <v>3540.777002507564</v>
      </c>
      <c r="AD148" s="278">
        <f t="shared" ref="AD148:AD152" si="354">AC148</f>
        <v>3540.777002507564</v>
      </c>
      <c r="AE148" s="278">
        <f t="shared" ref="AE148:AG148" si="355">AE250</f>
        <v>3789.600737680009</v>
      </c>
      <c r="AF148" s="278">
        <f t="shared" si="355"/>
        <v>4047.953091173161</v>
      </c>
      <c r="AG148" s="278">
        <f t="shared" si="355"/>
        <v>4312.496973325297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8418.4</v>
      </c>
      <c r="K149" s="405">
        <v>7937.908</v>
      </c>
      <c r="L149" s="405">
        <v>8022.546</v>
      </c>
      <c r="M149" s="405">
        <v>8124.134</v>
      </c>
      <c r="N149" s="405">
        <v>8270.145</v>
      </c>
      <c r="O149" s="157">
        <f>N149</f>
        <v>7849.8</v>
      </c>
      <c r="P149" s="405">
        <v>8311.857</v>
      </c>
      <c r="Q149" s="405">
        <v>8309.035</v>
      </c>
      <c r="R149" s="405">
        <v>8461.907</v>
      </c>
      <c r="S149" s="405">
        <v>8574.825</v>
      </c>
      <c r="T149" s="157">
        <f t="shared" si="350"/>
        <v>8270.1</v>
      </c>
      <c r="U149" s="355">
        <f t="shared" ref="U149:X149" si="356">U259</f>
        <v>8637.941300855176</v>
      </c>
      <c r="V149" s="355">
        <f t="shared" si="356"/>
        <v>8996.325210316156</v>
      </c>
      <c r="W149" s="355">
        <f t="shared" si="356"/>
        <v>9418.544349414991</v>
      </c>
      <c r="X149" s="355">
        <f t="shared" si="356"/>
        <v>9624.474050760999</v>
      </c>
      <c r="Y149" s="157">
        <f t="shared" si="352"/>
        <v>9624.474050760999</v>
      </c>
      <c r="Z149" s="355">
        <f t="shared" ref="Z149:AC149" si="357">Z259</f>
        <v>9960.16361368819</v>
      </c>
      <c r="AA149" s="355">
        <f t="shared" si="357"/>
        <v>10338.800654787616</v>
      </c>
      <c r="AB149" s="355">
        <f t="shared" si="357"/>
        <v>10854.956756752292</v>
      </c>
      <c r="AC149" s="355">
        <f t="shared" si="357"/>
        <v>11151.07229336348</v>
      </c>
      <c r="AD149" s="157">
        <f t="shared" si="354"/>
        <v>11151.07229336348</v>
      </c>
      <c r="AE149" s="157">
        <f t="shared" ref="AE149:AG149" si="358">AE259</f>
        <v>12519.207124032819</v>
      </c>
      <c r="AF149" s="157">
        <f t="shared" si="358"/>
        <v>13893.147488804083</v>
      </c>
      <c r="AG149" s="157">
        <f t="shared" si="358"/>
        <v>15143.711010248546</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-379.4</v>
      </c>
      <c r="K151" s="406">
        <v>-396.438</v>
      </c>
      <c r="L151" s="406">
        <v>-410.734</v>
      </c>
      <c r="M151" s="406">
        <v>-369.965</v>
      </c>
      <c r="N151" s="406">
        <v>-423.131</v>
      </c>
      <c r="O151" s="357">
        <f>N151</f>
        <v>-395.5</v>
      </c>
      <c r="P151" s="406">
        <v>-408.072</v>
      </c>
      <c r="Q151" s="406">
        <v>-339.695</v>
      </c>
      <c r="R151" s="406">
        <v>-374.927</v>
      </c>
      <c r="S151" s="406">
        <v>-384.434</v>
      </c>
      <c r="T151" s="350">
        <f t="shared" si="350"/>
        <v>-423.1</v>
      </c>
      <c r="U151" s="351">
        <f t="shared" ref="U151:X151" si="365">U264</f>
        <v>-423.1</v>
      </c>
      <c r="V151" s="351">
        <f t="shared" si="365"/>
        <v>-423.1</v>
      </c>
      <c r="W151" s="351">
        <f t="shared" si="365"/>
        <v>-423.1</v>
      </c>
      <c r="X151" s="351">
        <f t="shared" si="365"/>
        <v>-423.1</v>
      </c>
      <c r="Y151" s="350">
        <f t="shared" si="352"/>
        <v>-423.1</v>
      </c>
      <c r="Z151" s="351">
        <f t="shared" ref="Z151:AC151" si="366">Z264</f>
        <v>-423.1</v>
      </c>
      <c r="AA151" s="351">
        <f t="shared" si="366"/>
        <v>-423.1</v>
      </c>
      <c r="AB151" s="351">
        <f t="shared" si="366"/>
        <v>-423.1</v>
      </c>
      <c r="AC151" s="351">
        <f t="shared" si="366"/>
        <v>-423.1</v>
      </c>
      <c r="AD151" s="350">
        <f t="shared" si="354"/>
        <v>-423.1</v>
      </c>
      <c r="AE151" s="350">
        <f t="shared" ref="AE151:AG151" si="367">AE264</f>
        <v>-423.1</v>
      </c>
      <c r="AF151" s="350">
        <f t="shared" si="367"/>
        <v>-423.1</v>
      </c>
      <c r="AG151" s="350">
        <f t="shared" si="367"/>
        <v>-423.1</v>
      </c>
      <c r="AH151" s="8"/>
      <c r="AI151" s="8"/>
      <c r="AJ151" s="8"/>
      <c r="AK151" s="8"/>
    </row>
    <row r="152" ht="15.75" customHeight="1" spans="1:37" x14ac:dyDescent="0.25">
      <c r="A152" s="260"/>
      <c r="B152" s="8"/>
      <c r="C152" s="130" t="s">
        <v>344</v>
      </c>
      <c r="D152" s="8"/>
      <c r="E152" s="8"/>
      <c r="F152" s="348">
        <f>SUM(F147:F151)</f>
        <v>9755.199999999999</v>
      </c>
      <c r="G152" s="348">
        <f t="shared" ref="G152:I152" si="368">SUM(G147:G151)</f>
        <v>9695.6</v>
      </c>
      <c r="H152" s="348">
        <f t="shared" si="368"/>
        <v>9698.9</v>
      </c>
      <c r="I152" s="348">
        <f t="shared" si="368"/>
        <v>10232.9</v>
      </c>
      <c r="J152" s="278">
        <f t="shared" ref="J152" si="369">I152</f>
        <v>10232.9</v>
      </c>
      <c r="K152" s="348">
        <f>SUM(K147:K151)</f>
        <v>9780.1</v>
      </c>
      <c r="L152" s="348">
        <f t="shared" ref="L152:N152" si="370">SUM(L147:L151)</f>
        <v>9875</v>
      </c>
      <c r="M152" s="348">
        <f t="shared" si="370"/>
        <v>10045.900000000001</v>
      </c>
      <c r="N152" s="348">
        <f t="shared" si="370"/>
        <v>9709.8</v>
      </c>
      <c r="O152" s="278">
        <f t="shared" ref="O152" si="371">N152</f>
        <v>9709.8</v>
      </c>
      <c r="P152" s="348">
        <f>SUM(P147:P151)</f>
        <v>10204.199999999999</v>
      </c>
      <c r="Q152" s="348">
        <f t="shared" ref="Q152:S152" si="372">SUM(Q147:Q151)</f>
        <v>10305</v>
      </c>
      <c r="R152" s="348">
        <f t="shared" si="372"/>
        <v>10438.699999999999</v>
      </c>
      <c r="S152" s="348">
        <f t="shared" si="372"/>
        <v>10156.800000000001</v>
      </c>
      <c r="T152" s="278">
        <f>S152-0.055</f>
        <v>10156.745</v>
      </c>
      <c r="U152" s="277">
        <f>SUM(U147:U151)</f>
        <v>11231.75917108409</v>
      </c>
      <c r="V152" s="277">
        <f t="shared" ref="V152:X152" si="373">SUM(V147:V151)</f>
        <v>11606.781660597302</v>
      </c>
      <c r="W152" s="277">
        <f t="shared" si="373"/>
        <v>12054.50443056433</v>
      </c>
      <c r="X152" s="277">
        <f t="shared" si="373"/>
        <v>12264.586233433847</v>
      </c>
      <c r="Y152" s="278">
        <f t="shared" si="352"/>
        <v>12264.586233433847</v>
      </c>
      <c r="Z152" s="277">
        <f>SUM(Z147:Z151)</f>
        <v>12536.70417414971</v>
      </c>
      <c r="AA152" s="277">
        <f t="shared" ref="AA152:AC152" si="374">SUM(AA147:AA151)</f>
        <v>12976.80390053943</v>
      </c>
      <c r="AB152" s="277">
        <f t="shared" si="374"/>
        <v>13604.061476667697</v>
      </c>
      <c r="AC152" s="277">
        <f t="shared" si="374"/>
        <v>13948.749295871045</v>
      </c>
      <c r="AD152" s="278">
        <f t="shared" si="354"/>
        <v>13948.749295871045</v>
      </c>
      <c r="AE152" s="278">
        <f>SUM(AE147:AE151)</f>
        <v>15405.707861712826</v>
      </c>
      <c r="AF152" s="278">
        <f t="shared" ref="AF152:AG152" si="375">SUM(AF147:AF151)</f>
        <v>16878.000579977244</v>
      </c>
      <c r="AG152" s="278">
        <f t="shared" si="375"/>
        <v>18233.107983573846</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62.6</v>
      </c>
      <c r="K154" s="406">
        <v>87.372</v>
      </c>
      <c r="L154" s="406">
        <v>77.13</v>
      </c>
      <c r="M154" s="406">
        <v>69.415</v>
      </c>
      <c r="N154" s="406">
        <v>68.215</v>
      </c>
      <c r="O154" s="357">
        <f>N154</f>
        <v>92.3</v>
      </c>
      <c r="P154" s="406">
        <v>64.211</v>
      </c>
      <c r="Q154" s="406">
        <v>77.149</v>
      </c>
      <c r="R154" s="406">
        <v>62.186</v>
      </c>
      <c r="S154" s="406">
        <v>67.507</v>
      </c>
      <c r="T154" s="407">
        <f t="shared" ref="T154:T155" si="376">S154</f>
        <v>68.2</v>
      </c>
      <c r="U154" s="351">
        <f>T154+Drivers!U106</f>
        <v>68.2</v>
      </c>
      <c r="V154" s="351">
        <f>U154+Drivers!V106</f>
        <v>68.2</v>
      </c>
      <c r="W154" s="351">
        <f>V154+Drivers!W106</f>
        <v>68.2</v>
      </c>
      <c r="X154" s="351">
        <f>W154+Drivers!X106</f>
        <v>68.2</v>
      </c>
      <c r="Y154" s="350">
        <f t="shared" ref="Y154:Y155" si="377">X154</f>
        <v>68.2</v>
      </c>
      <c r="Z154" s="351">
        <f>Y154+Drivers!Z106</f>
        <v>68.2</v>
      </c>
      <c r="AA154" s="351">
        <f>Z154+Drivers!AA106</f>
        <v>68.2</v>
      </c>
      <c r="AB154" s="351">
        <f>AA154+Drivers!AB106</f>
        <v>68.2</v>
      </c>
      <c r="AC154" s="351">
        <f>AB154+Drivers!AC106</f>
        <v>68.2</v>
      </c>
      <c r="AD154" s="350">
        <f t="shared" ref="AD154:AD155" si="378">AC154</f>
        <v>68.2</v>
      </c>
      <c r="AE154" s="350">
        <f>AD154+Drivers!AE106</f>
        <v>68.2</v>
      </c>
      <c r="AF154" s="350">
        <f>AE154+Drivers!AF106</f>
        <v>68.2</v>
      </c>
      <c r="AG154" s="350">
        <f>AF154+Drivers!AG106</f>
        <v>68.2</v>
      </c>
      <c r="AH154" s="8"/>
      <c r="AI154" s="8"/>
      <c r="AJ154" s="8"/>
      <c r="AK154" s="8"/>
    </row>
    <row r="155" ht="15.75" customHeight="1" spans="1:37" x14ac:dyDescent="0.25">
      <c r="A155" s="260"/>
      <c r="B155" s="8"/>
      <c r="C155" s="130" t="s">
        <v>346</v>
      </c>
      <c r="D155" s="8"/>
      <c r="E155" s="8"/>
      <c r="F155" s="348">
        <f t="shared" ref="F155:I155" si="379">SUM(F152:F154)</f>
        <v>9811.4</v>
      </c>
      <c r="G155" s="348">
        <f t="shared" si="379"/>
        <v>9765.2</v>
      </c>
      <c r="H155" s="348">
        <f t="shared" si="379"/>
        <v>9765.199999999999</v>
      </c>
      <c r="I155" s="348">
        <f t="shared" si="379"/>
        <v>10295.5</v>
      </c>
      <c r="J155" s="278">
        <f t="shared" ref="J155" si="380">I155</f>
        <v>10295.5</v>
      </c>
      <c r="K155" s="348">
        <f t="shared" ref="K155:N155" si="381">SUM(K152:K154)</f>
        <v>9867.5</v>
      </c>
      <c r="L155" s="348">
        <f t="shared" si="381"/>
        <v>9952.1</v>
      </c>
      <c r="M155" s="348">
        <f t="shared" si="381"/>
        <v>10115.300000000001</v>
      </c>
      <c r="N155" s="348">
        <f t="shared" si="381"/>
        <v>9802.099999999999</v>
      </c>
      <c r="O155" s="278">
        <f t="shared" ref="O155" si="382">N155</f>
        <v>9802.099999999999</v>
      </c>
      <c r="P155" s="348">
        <f t="shared" ref="P155:S155" si="383">SUM(P152:P154)</f>
        <v>10268.4</v>
      </c>
      <c r="Q155" s="348">
        <f t="shared" si="383"/>
        <v>10382.1</v>
      </c>
      <c r="R155" s="348">
        <f t="shared" si="383"/>
        <v>10500.9</v>
      </c>
      <c r="S155" s="348">
        <f t="shared" si="383"/>
        <v>10225.000000000002</v>
      </c>
      <c r="T155" s="278">
        <f t="shared" si="376"/>
        <v>10225.000000000002</v>
      </c>
      <c r="U155" s="277">
        <f t="shared" ref="U155:X155" si="384">SUM(U152:U154)</f>
        <v>11299.95917108409</v>
      </c>
      <c r="V155" s="277">
        <f t="shared" si="384"/>
        <v>11674.981660597303</v>
      </c>
      <c r="W155" s="277">
        <f t="shared" si="384"/>
        <v>12122.70443056433</v>
      </c>
      <c r="X155" s="277">
        <f t="shared" si="384"/>
        <v>12332.786233433848</v>
      </c>
      <c r="Y155" s="278">
        <f t="shared" si="377"/>
        <v>12332.786233433848</v>
      </c>
      <c r="Z155" s="277">
        <f t="shared" ref="Z155:AC155" si="385">SUM(Z152:Z154)</f>
        <v>12604.904174149711</v>
      </c>
      <c r="AA155" s="277">
        <f t="shared" si="385"/>
        <v>13045.00390053943</v>
      </c>
      <c r="AB155" s="277">
        <f t="shared" si="385"/>
        <v>13672.261476667698</v>
      </c>
      <c r="AC155" s="277">
        <f t="shared" si="385"/>
        <v>14016.949295871045</v>
      </c>
      <c r="AD155" s="278">
        <f t="shared" si="378"/>
        <v>14016.949295871045</v>
      </c>
      <c r="AE155" s="278">
        <f t="shared" ref="AE155:AG155" si="386">SUM(AE152:AE154)</f>
        <v>15473.907861712827</v>
      </c>
      <c r="AF155" s="278">
        <f t="shared" si="386"/>
        <v>16946.200579977245</v>
      </c>
      <c r="AG155" s="278">
        <f t="shared" si="386"/>
        <v>18301.307983573846</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19392.6</v>
      </c>
      <c r="G157" s="348">
        <f t="shared" si="387"/>
        <v>20244.5</v>
      </c>
      <c r="H157" s="348">
        <f t="shared" si="387"/>
        <v>21077.5</v>
      </c>
      <c r="I157" s="348">
        <f t="shared" si="387"/>
        <v>20729.5</v>
      </c>
      <c r="J157" s="278">
        <f t="shared" si="387"/>
        <v>20729.5</v>
      </c>
      <c r="K157" s="348">
        <f t="shared" si="387"/>
        <v>22284.8</v>
      </c>
      <c r="L157" s="348">
        <f t="shared" si="387"/>
        <v>25869.3</v>
      </c>
      <c r="M157" s="348">
        <f t="shared" si="387"/>
        <v>26474.300000000003</v>
      </c>
      <c r="N157" s="348">
        <f t="shared" si="387"/>
        <v>22167.4</v>
      </c>
      <c r="O157" s="278">
        <f t="shared" si="387"/>
        <v>22167.4</v>
      </c>
      <c r="P157" s="348">
        <f t="shared" si="387"/>
        <v>27399.6</v>
      </c>
      <c r="Q157" s="348">
        <f t="shared" si="387"/>
        <v>28364.299999999996</v>
      </c>
      <c r="R157" s="348">
        <f t="shared" si="387"/>
        <v>28977.1</v>
      </c>
      <c r="S157" s="348">
        <f t="shared" ref="S157" si="388">SUM(S146,S155)</f>
        <v>25380.100000000006</v>
      </c>
      <c r="T157" s="278">
        <f>SUM(T146,T155)</f>
        <v>25380.100000000006</v>
      </c>
      <c r="U157" s="277">
        <f t="shared" si="387"/>
        <v>82891.33949358409</v>
      </c>
      <c r="V157" s="277">
        <f t="shared" si="387"/>
        <v>86027.39672908181</v>
      </c>
      <c r="W157" s="277">
        <f t="shared" si="387"/>
        <v>87662.60499168781</v>
      </c>
      <c r="X157" s="277">
        <f t="shared" si="387"/>
        <v>84098.95835337629</v>
      </c>
      <c r="Y157" s="278">
        <f t="shared" ref="Y157:AG157" si="389">SUM(Y146,Y155)</f>
        <v>84098.95835337629</v>
      </c>
      <c r="Z157" s="277">
        <f t="shared" si="389"/>
        <v>89289.64282673548</v>
      </c>
      <c r="AA157" s="277">
        <f t="shared" si="389"/>
        <v>92657.10003851668</v>
      </c>
      <c r="AB157" s="277">
        <f t="shared" si="389"/>
        <v>94645.53244155759</v>
      </c>
      <c r="AC157" s="277">
        <f t="shared" si="389"/>
        <v>94030.56180469823</v>
      </c>
      <c r="AD157" s="278">
        <f t="shared" si="389"/>
        <v>94030.56180469823</v>
      </c>
      <c r="AE157" s="278">
        <f t="shared" si="389"/>
        <v>106009.01400854008</v>
      </c>
      <c r="AF157" s="278">
        <f t="shared" si="389"/>
        <v>121039.99157167305</v>
      </c>
      <c r="AG157" s="278">
        <f t="shared" si="389"/>
        <v>138103.38503926428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38779.700000000004</v>
      </c>
      <c r="G159" s="411">
        <f t="shared" si="390"/>
        <v>40087.8</v>
      </c>
      <c r="H159" s="411">
        <f t="shared" si="390"/>
        <v>42404</v>
      </c>
      <c r="I159" s="411">
        <f t="shared" si="390"/>
        <v>38604.5</v>
      </c>
      <c r="J159" s="412">
        <f t="shared" si="390"/>
        <v>38604.5</v>
      </c>
      <c r="K159" s="411">
        <f t="shared" si="390"/>
        <v>44996.3</v>
      </c>
      <c r="L159" s="411">
        <f t="shared" si="390"/>
        <v>46665.5</v>
      </c>
      <c r="M159" s="411">
        <f t="shared" si="390"/>
        <v>46024.7</v>
      </c>
      <c r="N159" s="411">
        <f t="shared" si="390"/>
        <v>43024.8</v>
      </c>
      <c r="O159" s="412">
        <f t="shared" si="390"/>
        <v>43024.8</v>
      </c>
      <c r="P159" s="411">
        <f t="shared" si="390"/>
        <v>52612.30000000001</v>
      </c>
      <c r="Q159" s="411">
        <f t="shared" si="390"/>
        <v>48744.799999999996</v>
      </c>
      <c r="R159" s="411">
        <f t="shared" si="390"/>
        <v>50342.9</v>
      </c>
      <c r="S159" s="411">
        <f t="shared" ref="S159" si="391">S132-S157</f>
        <v>49748</v>
      </c>
      <c r="T159" s="412">
        <f t="shared" si="390"/>
        <v>49748</v>
      </c>
      <c r="U159" s="413">
        <f t="shared" si="390"/>
        <v>49748</v>
      </c>
      <c r="V159" s="413">
        <f t="shared" si="390"/>
        <v>49748</v>
      </c>
      <c r="W159" s="413">
        <f t="shared" si="390"/>
        <v>49748</v>
      </c>
      <c r="X159" s="413">
        <f t="shared" si="390"/>
        <v>49748.000000000015</v>
      </c>
      <c r="Y159" s="412">
        <f t="shared" ref="Y159:AG159" si="392">Y132-Y157</f>
        <v>49748.000000000015</v>
      </c>
      <c r="Z159" s="413">
        <f t="shared" si="392"/>
        <v>49748.00000000003</v>
      </c>
      <c r="AA159" s="413">
        <f t="shared" si="392"/>
        <v>49748</v>
      </c>
      <c r="AB159" s="413">
        <f t="shared" si="392"/>
        <v>49748</v>
      </c>
      <c r="AC159" s="413">
        <f t="shared" si="392"/>
        <v>49748.00000000003</v>
      </c>
      <c r="AD159" s="412">
        <f t="shared" si="392"/>
        <v>49748.00000000003</v>
      </c>
      <c r="AE159" s="412">
        <f t="shared" si="392"/>
        <v>49748</v>
      </c>
      <c r="AF159" s="412">
        <f t="shared" si="392"/>
        <v>49748.00000000003</v>
      </c>
      <c r="AG159" s="414">
        <f t="shared" si="392"/>
        <v>49748</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0</v>
      </c>
      <c r="G163" s="348">
        <f t="shared" si="396"/>
        <v>0</v>
      </c>
      <c r="H163" s="348">
        <f t="shared" si="396"/>
        <v>0</v>
      </c>
      <c r="I163" s="348">
        <f t="shared" si="396"/>
        <v>0</v>
      </c>
      <c r="J163" s="278">
        <f t="shared" si="396"/>
        <v>0</v>
      </c>
      <c r="K163" s="348">
        <f t="shared" si="396"/>
        <v>0</v>
      </c>
      <c r="L163" s="348">
        <f t="shared" si="396"/>
        <v>0</v>
      </c>
      <c r="M163" s="348">
        <f t="shared" si="396"/>
        <v>0</v>
      </c>
      <c r="N163" s="348">
        <f t="shared" si="396"/>
        <v>0</v>
      </c>
      <c r="O163" s="278">
        <f t="shared" si="396"/>
        <v>0</v>
      </c>
      <c r="P163" s="348">
        <f t="shared" si="396"/>
        <v>0</v>
      </c>
      <c r="Q163" s="348">
        <f t="shared" si="396"/>
        <v>0</v>
      </c>
      <c r="R163" s="348">
        <f t="shared" si="396"/>
        <v>0</v>
      </c>
      <c r="S163" s="348">
        <f t="shared" ref="S163" si="397">S121</f>
        <v>0</v>
      </c>
      <c r="T163" s="278">
        <f t="shared" ref="T163:T165" si="398">S163</f>
        <v>0</v>
      </c>
      <c r="U163" s="377">
        <f t="shared" ref="U163:X163" si="399">U184*U28*4</f>
        <v>9519.684325200002</v>
      </c>
      <c r="V163" s="377">
        <f t="shared" si="399"/>
        <v>9669.1610944</v>
      </c>
      <c r="W163" s="377">
        <f t="shared" si="399"/>
        <v>11002.21071</v>
      </c>
      <c r="X163" s="377">
        <f t="shared" si="399"/>
        <v>7294.363127999998</v>
      </c>
      <c r="Y163" s="278">
        <f t="shared" ref="Y163:Y165" si="400">X163</f>
        <v>7294.363127999998</v>
      </c>
      <c r="Z163" s="377">
        <f t="shared" ref="Z163:AC163" si="401">Z184*Z28*4</f>
        <v>10038.448771092002</v>
      </c>
      <c r="AA163" s="377">
        <f t="shared" si="401"/>
        <v>10369.801093824002</v>
      </c>
      <c r="AB163" s="377">
        <f t="shared" si="401"/>
        <v>11700.576089580001</v>
      </c>
      <c r="AC163" s="377">
        <f t="shared" si="401"/>
        <v>7905.669575999997</v>
      </c>
      <c r="AD163" s="278">
        <f t="shared" ref="AD163:AD165" si="402">AC163</f>
        <v>7905.669575999997</v>
      </c>
      <c r="AE163" s="117">
        <f t="shared" ref="AE163:AG163" si="403">AE184*AE28</f>
        <v>11304.737930035442</v>
      </c>
      <c r="AF163" s="117">
        <f t="shared" si="403"/>
        <v>11559.805768124408</v>
      </c>
      <c r="AG163" s="117">
        <f t="shared" si="403"/>
        <v>11836.841636921088</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0</v>
      </c>
      <c r="G165" s="378">
        <f t="shared" si="412"/>
        <v>0</v>
      </c>
      <c r="H165" s="378">
        <f t="shared" si="412"/>
        <v>0</v>
      </c>
      <c r="I165" s="378">
        <f t="shared" si="412"/>
        <v>0</v>
      </c>
      <c r="J165" s="350">
        <f t="shared" si="412"/>
        <v>0</v>
      </c>
      <c r="K165" s="378">
        <f t="shared" si="412"/>
        <v>0</v>
      </c>
      <c r="L165" s="378">
        <f t="shared" si="412"/>
        <v>0</v>
      </c>
      <c r="M165" s="378">
        <f t="shared" si="412"/>
        <v>0</v>
      </c>
      <c r="N165" s="378">
        <f t="shared" si="412"/>
        <v>0</v>
      </c>
      <c r="O165" s="350">
        <f t="shared" si="412"/>
        <v>0</v>
      </c>
      <c r="P165" s="378">
        <f t="shared" si="412"/>
        <v>0</v>
      </c>
      <c r="Q165" s="378">
        <f t="shared" si="412"/>
        <v>0</v>
      </c>
      <c r="R165" s="378">
        <f t="shared" si="412"/>
        <v>0</v>
      </c>
      <c r="S165" s="378">
        <f t="shared" ref="S165" si="413">S123</f>
        <v>0</v>
      </c>
      <c r="T165" s="350">
        <f t="shared" si="398"/>
        <v>0</v>
      </c>
      <c r="U165" s="351">
        <f t="shared" ref="U165" si="414">U186*T146</f>
        <v>11669.427000000001</v>
      </c>
      <c r="V165" s="351">
        <f t="shared" ref="V165" si="415">V186*U146</f>
        <v>55125.362848325</v>
      </c>
      <c r="W165" s="351">
        <f t="shared" ref="W165" si="416">W186*V146</f>
        <v>57251.35960273307</v>
      </c>
      <c r="X165" s="351">
        <f t="shared" ref="X165" si="417">X186*W146</f>
        <v>58921.12243767631</v>
      </c>
      <c r="Y165" s="350">
        <f t="shared" si="400"/>
        <v>58921.12243767631</v>
      </c>
      <c r="Z165" s="351">
        <f t="shared" ref="Z165:AC165" si="418">Z186*Y146</f>
        <v>55259.95253235569</v>
      </c>
      <c r="AA165" s="351">
        <f t="shared" si="418"/>
        <v>59047.24876249105</v>
      </c>
      <c r="AB165" s="351">
        <f t="shared" si="418"/>
        <v>61301.314026242486</v>
      </c>
      <c r="AC165" s="351">
        <f t="shared" si="418"/>
        <v>63159.15135261411</v>
      </c>
      <c r="AD165" s="350">
        <f t="shared" si="402"/>
        <v>63159.15135261411</v>
      </c>
      <c r="AE165" s="350">
        <f>AE186*AD146</f>
        <v>66731.35283236187</v>
      </c>
      <c r="AF165" s="350">
        <f t="shared" ref="AF165:AG165" si="419">AF186*AE146</f>
        <v>74238.78704039834</v>
      </c>
      <c r="AG165" s="350">
        <f t="shared" si="419"/>
        <v>84315.9707032736</v>
      </c>
      <c r="AH165" s="8"/>
      <c r="AI165" s="8"/>
      <c r="AJ165" s="8"/>
      <c r="AK165" s="8"/>
    </row>
    <row r="166" ht="15.75" customHeight="1" spans="1:37" x14ac:dyDescent="0.25">
      <c r="A166" s="260"/>
      <c r="B166" s="8"/>
      <c r="C166" s="8" t="s">
        <v>350</v>
      </c>
      <c r="D166" s="8"/>
      <c r="E166" s="8"/>
      <c r="F166" s="348">
        <f t="shared" ref="F166:X166" si="420">SUM(F163:F165)</f>
        <v>0</v>
      </c>
      <c r="G166" s="348">
        <f t="shared" si="420"/>
        <v>0</v>
      </c>
      <c r="H166" s="348">
        <f t="shared" si="420"/>
        <v>0</v>
      </c>
      <c r="I166" s="348">
        <f t="shared" si="420"/>
        <v>0</v>
      </c>
      <c r="J166" s="278">
        <f t="shared" si="420"/>
        <v>0</v>
      </c>
      <c r="K166" s="348">
        <f t="shared" si="420"/>
        <v>0</v>
      </c>
      <c r="L166" s="348">
        <f t="shared" si="420"/>
        <v>0</v>
      </c>
      <c r="M166" s="348">
        <f t="shared" si="420"/>
        <v>0</v>
      </c>
      <c r="N166" s="348">
        <f t="shared" si="420"/>
        <v>0</v>
      </c>
      <c r="O166" s="278">
        <f t="shared" si="420"/>
        <v>0</v>
      </c>
      <c r="P166" s="348">
        <f t="shared" si="420"/>
        <v>0</v>
      </c>
      <c r="Q166" s="348">
        <f t="shared" si="420"/>
        <v>0</v>
      </c>
      <c r="R166" s="348">
        <f t="shared" si="420"/>
        <v>0</v>
      </c>
      <c r="S166" s="348">
        <f t="shared" ref="S166" si="421">SUM(S163:S165)</f>
        <v>0</v>
      </c>
      <c r="T166" s="278">
        <f t="shared" si="420"/>
        <v>0</v>
      </c>
      <c r="U166" s="277">
        <f t="shared" si="420"/>
        <v>21189.111325200003</v>
      </c>
      <c r="V166" s="277">
        <f t="shared" si="420"/>
        <v>64794.523942725</v>
      </c>
      <c r="W166" s="277">
        <f t="shared" si="420"/>
        <v>68253.57031273306</v>
      </c>
      <c r="X166" s="277">
        <f t="shared" si="420"/>
        <v>66215.48556567631</v>
      </c>
      <c r="Y166" s="278">
        <f t="shared" ref="Y166:AG166" si="422">SUM(Y163:Y165)</f>
        <v>66215.48556567631</v>
      </c>
      <c r="Z166" s="277">
        <f t="shared" si="422"/>
        <v>65298.40130344769</v>
      </c>
      <c r="AA166" s="277">
        <f t="shared" si="422"/>
        <v>69417.04985631505</v>
      </c>
      <c r="AB166" s="277">
        <f t="shared" si="422"/>
        <v>73001.89011582249</v>
      </c>
      <c r="AC166" s="277">
        <f t="shared" si="422"/>
        <v>71064.8209286141</v>
      </c>
      <c r="AD166" s="278">
        <f t="shared" si="422"/>
        <v>71064.8209286141</v>
      </c>
      <c r="AE166" s="278">
        <f t="shared" si="422"/>
        <v>78036.0907623973</v>
      </c>
      <c r="AF166" s="278">
        <f t="shared" si="422"/>
        <v>85798.59280852275</v>
      </c>
      <c r="AG166" s="278">
        <f t="shared" si="422"/>
        <v>96152.8123401947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477.8</v>
      </c>
      <c r="G168" s="348">
        <f t="shared" si="424"/>
        <v>846.9</v>
      </c>
      <c r="H168" s="348">
        <f t="shared" si="424"/>
        <v>924.9</v>
      </c>
      <c r="I168" s="348">
        <f t="shared" si="424"/>
        <v>528.4</v>
      </c>
      <c r="J168" s="278">
        <f t="shared" si="424"/>
        <v>528.4</v>
      </c>
      <c r="K168" s="348">
        <f t="shared" si="424"/>
        <v>1250</v>
      </c>
      <c r="L168" s="348">
        <f t="shared" si="424"/>
        <v>1625.3</v>
      </c>
      <c r="M168" s="348">
        <f t="shared" si="424"/>
        <v>1718.5</v>
      </c>
      <c r="N168" s="348">
        <f t="shared" si="424"/>
        <v>989.7</v>
      </c>
      <c r="O168" s="278">
        <f t="shared" si="424"/>
        <v>989.7</v>
      </c>
      <c r="P168" s="348">
        <f t="shared" si="424"/>
        <v>1172.8</v>
      </c>
      <c r="Q168" s="348">
        <f t="shared" si="424"/>
        <v>1315.1</v>
      </c>
      <c r="R168" s="348">
        <f t="shared" si="424"/>
        <v>1231.3</v>
      </c>
      <c r="S168" s="348">
        <f t="shared" ref="S168" si="425">S134</f>
        <v>443.2</v>
      </c>
      <c r="T168" s="117">
        <f t="shared" ref="T168:T171" si="426">S168</f>
        <v>443.2</v>
      </c>
      <c r="U168" s="277">
        <f t="shared" ref="U168" si="427">T132*U188</f>
        <v>1352.3058</v>
      </c>
      <c r="V168" s="277">
        <f t="shared" ref="V168" si="428">U132*V188</f>
        <v>2387.5081108845134</v>
      </c>
      <c r="W168" s="277">
        <f t="shared" ref="W168" si="429">V132*W188</f>
        <v>2443.9571411234724</v>
      </c>
      <c r="X168" s="277">
        <f t="shared" ref="X168" si="430">W132*X188</f>
        <v>2473.3908898503805</v>
      </c>
      <c r="Y168" s="117">
        <f t="shared" ref="Y168:Y171" si="431">X168</f>
        <v>2473.3908898503805</v>
      </c>
      <c r="Z168" s="277">
        <f t="shared" ref="Z168:AC168" si="432">Y132*Z188</f>
        <v>2409.2452503607733</v>
      </c>
      <c r="AA168" s="277">
        <f t="shared" si="432"/>
        <v>2502.677570881239</v>
      </c>
      <c r="AB168" s="277">
        <f t="shared" si="432"/>
        <v>2563.2918006933</v>
      </c>
      <c r="AC168" s="277">
        <f t="shared" si="432"/>
        <v>2599.0835839480364</v>
      </c>
      <c r="AD168" s="278">
        <f t="shared" ref="AD168:AD171" si="433">AC168</f>
        <v>2599.0835839480364</v>
      </c>
      <c r="AE168" s="117">
        <f t="shared" ref="AE168:AG168" si="434">AE188*AD132</f>
        <v>2588.0141124845686</v>
      </c>
      <c r="AF168" s="117">
        <f t="shared" si="434"/>
        <v>2803.626252153721</v>
      </c>
      <c r="AG168" s="117">
        <f t="shared" si="434"/>
        <v>3074.1838482901153</v>
      </c>
      <c r="AH168" s="8"/>
      <c r="AI168" s="8"/>
      <c r="AJ168" s="8"/>
      <c r="AK168" s="8"/>
    </row>
    <row r="169" ht="15.75" customHeight="1" spans="1:37" x14ac:dyDescent="0.25">
      <c r="A169" s="260"/>
      <c r="B169" s="8"/>
      <c r="C169" s="130" t="str">
        <f t="shared" si="423"/>
        <v>Accounts Payable</v>
      </c>
      <c r="D169" s="8"/>
      <c r="E169" s="8"/>
      <c r="F169" s="348">
        <f t="shared" ref="F169:R169" si="435">F135</f>
        <v>0</v>
      </c>
      <c r="G169" s="348">
        <f t="shared" si="435"/>
        <v>0</v>
      </c>
      <c r="H169" s="348">
        <f t="shared" si="435"/>
        <v>0</v>
      </c>
      <c r="I169" s="348">
        <f t="shared" si="435"/>
        <v>0</v>
      </c>
      <c r="J169" s="278">
        <f t="shared" si="435"/>
        <v>0</v>
      </c>
      <c r="K169" s="348">
        <f t="shared" si="435"/>
        <v>0</v>
      </c>
      <c r="L169" s="348">
        <f t="shared" si="435"/>
        <v>0</v>
      </c>
      <c r="M169" s="348">
        <f t="shared" si="435"/>
        <v>0</v>
      </c>
      <c r="N169" s="348">
        <f t="shared" si="435"/>
        <v>0</v>
      </c>
      <c r="O169" s="278">
        <f t="shared" si="435"/>
        <v>0</v>
      </c>
      <c r="P169" s="348">
        <f t="shared" si="435"/>
        <v>0</v>
      </c>
      <c r="Q169" s="348">
        <f t="shared" si="435"/>
        <v>0</v>
      </c>
      <c r="R169" s="348">
        <f t="shared" si="435"/>
        <v>0</v>
      </c>
      <c r="S169" s="348">
        <f t="shared" ref="S169" si="436">S135</f>
        <v>0</v>
      </c>
      <c r="T169" s="278">
        <f t="shared" si="426"/>
        <v>0</v>
      </c>
      <c r="U169" s="277">
        <f t="shared" ref="U169:X169" si="437">U28*U189</f>
        <v>10577.427028000002</v>
      </c>
      <c r="V169" s="277">
        <f t="shared" si="437"/>
        <v>10721.85202</v>
      </c>
      <c r="W169" s="277">
        <f t="shared" si="437"/>
        <v>11272.756875</v>
      </c>
      <c r="X169" s="277">
        <f t="shared" si="437"/>
        <v>8054.192620499997</v>
      </c>
      <c r="Y169" s="278">
        <f t="shared" si="431"/>
        <v>8054.192620499997</v>
      </c>
      <c r="Z169" s="277">
        <f t="shared" ref="Z169:AC169" si="438">Z28*Z189</f>
        <v>11153.83196788</v>
      </c>
      <c r="AA169" s="277">
        <f t="shared" si="438"/>
        <v>11498.771374200001</v>
      </c>
      <c r="AB169" s="277">
        <f t="shared" si="438"/>
        <v>11988.295173750003</v>
      </c>
      <c r="AC169" s="277">
        <f t="shared" si="438"/>
        <v>8729.176823499996</v>
      </c>
      <c r="AD169" s="278">
        <f t="shared" si="433"/>
        <v>8729.176823499996</v>
      </c>
      <c r="AE169" s="278">
        <f t="shared" ref="AE169:AG169" si="439">AE28*AE189</f>
        <v>12503.725286251321</v>
      </c>
      <c r="AF169" s="278">
        <f t="shared" si="439"/>
        <v>13160.39425909548</v>
      </c>
      <c r="AG169" s="278">
        <f t="shared" si="439"/>
        <v>13566.841568471093</v>
      </c>
      <c r="AH169" s="8"/>
      <c r="AI169" s="8"/>
      <c r="AJ169" s="8"/>
      <c r="AK169" s="8"/>
    </row>
    <row r="170" ht="15.75" customHeight="1" spans="1:37" x14ac:dyDescent="0.25">
      <c r="A170" s="260"/>
      <c r="B170" s="8"/>
      <c r="C170" s="130" t="str">
        <f t="shared" si="423"/>
        <v>Securities Loaned</v>
      </c>
      <c r="D170" s="8"/>
      <c r="E170" s="8"/>
      <c r="F170" s="353">
        <f t="shared" ref="F170:R170" si="440">F136</f>
        <v>0</v>
      </c>
      <c r="G170" s="353">
        <f t="shared" si="440"/>
        <v>0</v>
      </c>
      <c r="H170" s="353">
        <f t="shared" si="440"/>
        <v>0</v>
      </c>
      <c r="I170" s="353">
        <f t="shared" si="440"/>
        <v>0</v>
      </c>
      <c r="J170" s="157">
        <f t="shared" si="440"/>
        <v>0</v>
      </c>
      <c r="K170" s="353">
        <f t="shared" si="440"/>
        <v>0</v>
      </c>
      <c r="L170" s="353">
        <f t="shared" si="440"/>
        <v>0</v>
      </c>
      <c r="M170" s="353">
        <f t="shared" si="440"/>
        <v>0</v>
      </c>
      <c r="N170" s="353">
        <f t="shared" si="440"/>
        <v>0</v>
      </c>
      <c r="O170" s="157">
        <f t="shared" si="440"/>
        <v>0</v>
      </c>
      <c r="P170" s="353">
        <f t="shared" si="440"/>
        <v>0</v>
      </c>
      <c r="Q170" s="353">
        <f t="shared" si="440"/>
        <v>0</v>
      </c>
      <c r="R170" s="353">
        <f t="shared" si="440"/>
        <v>0</v>
      </c>
      <c r="S170" s="353">
        <f t="shared" ref="S170" si="441">S136</f>
        <v>0</v>
      </c>
      <c r="T170" s="157">
        <f t="shared" si="426"/>
        <v>0</v>
      </c>
      <c r="U170" s="355">
        <f t="shared" ref="U170:X170" si="442">U190*U28</f>
        <v>3588.7698845000004</v>
      </c>
      <c r="V170" s="355">
        <f t="shared" si="442"/>
        <v>3586.9468576000004</v>
      </c>
      <c r="W170" s="355">
        <f t="shared" si="442"/>
        <v>3968.01042</v>
      </c>
      <c r="X170" s="355">
        <f t="shared" si="442"/>
        <v>2674.5998135999994</v>
      </c>
      <c r="Y170" s="157">
        <f t="shared" si="431"/>
        <v>2674.5998135999994</v>
      </c>
      <c r="Z170" s="355">
        <f t="shared" ref="Z170:AC170" si="443">Z190*Z28</f>
        <v>3784.335846245</v>
      </c>
      <c r="AA170" s="355">
        <f t="shared" si="443"/>
        <v>3846.8616960960007</v>
      </c>
      <c r="AB170" s="355">
        <f t="shared" si="443"/>
        <v>4219.879901160001</v>
      </c>
      <c r="AC170" s="355">
        <f t="shared" si="443"/>
        <v>2898.745511199999</v>
      </c>
      <c r="AD170" s="157">
        <f t="shared" si="433"/>
        <v>2898.745511199999</v>
      </c>
      <c r="AE170" s="157">
        <f t="shared" ref="AE170:AG170" si="444">AE190*AE28</f>
        <v>4367.739654786421</v>
      </c>
      <c r="AF170" s="157">
        <f t="shared" si="444"/>
        <v>4623.922307249763</v>
      </c>
      <c r="AG170" s="157">
        <f t="shared" si="444"/>
        <v>4734.736654768435</v>
      </c>
      <c r="AH170" s="8"/>
      <c r="AI170" s="8"/>
      <c r="AJ170" s="8"/>
      <c r="AK170" s="8"/>
    </row>
    <row r="171" ht="15.75" customHeight="1" spans="1:37" x14ac:dyDescent="0.25">
      <c r="A171" s="260"/>
      <c r="B171" s="8"/>
      <c r="C171" s="130" t="str">
        <f t="shared" si="423"/>
        <v>Other Current Liabilities</v>
      </c>
      <c r="D171" s="8"/>
      <c r="E171" s="8"/>
      <c r="F171" s="378">
        <f t="shared" ref="F171:R171" si="445">F137</f>
        <v>0</v>
      </c>
      <c r="G171" s="378">
        <f t="shared" si="445"/>
        <v>0</v>
      </c>
      <c r="H171" s="378">
        <f t="shared" si="445"/>
        <v>0</v>
      </c>
      <c r="I171" s="378">
        <f t="shared" si="445"/>
        <v>0</v>
      </c>
      <c r="J171" s="350">
        <f t="shared" si="445"/>
        <v>0</v>
      </c>
      <c r="K171" s="378">
        <f t="shared" si="445"/>
        <v>0</v>
      </c>
      <c r="L171" s="378">
        <f t="shared" si="445"/>
        <v>0</v>
      </c>
      <c r="M171" s="378">
        <f t="shared" si="445"/>
        <v>0</v>
      </c>
      <c r="N171" s="378">
        <f t="shared" si="445"/>
        <v>0</v>
      </c>
      <c r="O171" s="350">
        <f t="shared" si="445"/>
        <v>0</v>
      </c>
      <c r="P171" s="378">
        <f t="shared" si="445"/>
        <v>0</v>
      </c>
      <c r="Q171" s="378">
        <f t="shared" si="445"/>
        <v>0</v>
      </c>
      <c r="R171" s="378">
        <f t="shared" si="445"/>
        <v>0</v>
      </c>
      <c r="S171" s="378">
        <f t="shared" ref="S171" si="446">S137</f>
        <v>0</v>
      </c>
      <c r="T171" s="350">
        <f t="shared" si="426"/>
        <v>0</v>
      </c>
      <c r="U171" s="351">
        <f t="shared" ref="U171:X171" si="447">U191*U28</f>
        <v>41554.177610000006</v>
      </c>
      <c r="V171" s="351">
        <f t="shared" si="447"/>
        <v>42887.40808</v>
      </c>
      <c r="W171" s="351">
        <f t="shared" si="447"/>
        <v>42836.476125</v>
      </c>
      <c r="X171" s="351">
        <f t="shared" si="447"/>
        <v>27353.861729999993</v>
      </c>
      <c r="Y171" s="350">
        <f t="shared" si="431"/>
        <v>27353.861729999993</v>
      </c>
      <c r="Z171" s="351">
        <f t="shared" ref="Z171:AC171" si="448">Z191*Z28</f>
        <v>43818.6255881</v>
      </c>
      <c r="AA171" s="351">
        <f t="shared" si="448"/>
        <v>45995.085496800006</v>
      </c>
      <c r="AB171" s="351">
        <f t="shared" si="448"/>
        <v>45555.52166025001</v>
      </c>
      <c r="AC171" s="351">
        <f t="shared" si="448"/>
        <v>29646.26090999999</v>
      </c>
      <c r="AD171" s="350">
        <f t="shared" si="433"/>
        <v>29646.26090999999</v>
      </c>
      <c r="AE171" s="350">
        <f t="shared" ref="AE171:AG171" si="449">AE191*AE28</f>
        <v>43334.828731802525</v>
      </c>
      <c r="AF171" s="350">
        <f t="shared" si="449"/>
        <v>44816.47774719001</v>
      </c>
      <c r="AG171" s="350">
        <f t="shared" si="449"/>
        <v>46618.94552387382</v>
      </c>
      <c r="AH171" s="8"/>
      <c r="AI171" s="8"/>
      <c r="AJ171" s="8"/>
      <c r="AK171" s="8"/>
    </row>
    <row r="172" ht="15.75" customHeight="1" spans="1:37" x14ac:dyDescent="0.25">
      <c r="A172" s="260"/>
      <c r="B172" s="8"/>
      <c r="C172" s="8" t="s">
        <v>351</v>
      </c>
      <c r="D172" s="8"/>
      <c r="E172" s="8"/>
      <c r="F172" s="348">
        <f t="shared" ref="F172:X172" si="450">SUM(F168:F171)</f>
        <v>477.8</v>
      </c>
      <c r="G172" s="348">
        <f t="shared" si="450"/>
        <v>846.9</v>
      </c>
      <c r="H172" s="348">
        <f t="shared" si="450"/>
        <v>924.9</v>
      </c>
      <c r="I172" s="348">
        <f t="shared" si="450"/>
        <v>528.4</v>
      </c>
      <c r="J172" s="278">
        <f t="shared" si="450"/>
        <v>528.4</v>
      </c>
      <c r="K172" s="348">
        <f t="shared" si="450"/>
        <v>1250</v>
      </c>
      <c r="L172" s="348">
        <f t="shared" si="450"/>
        <v>1625.3</v>
      </c>
      <c r="M172" s="348">
        <f t="shared" si="450"/>
        <v>1718.5</v>
      </c>
      <c r="N172" s="348">
        <f t="shared" si="450"/>
        <v>989.7</v>
      </c>
      <c r="O172" s="278">
        <f t="shared" si="450"/>
        <v>989.7</v>
      </c>
      <c r="P172" s="348">
        <f t="shared" si="450"/>
        <v>1172.8</v>
      </c>
      <c r="Q172" s="348">
        <f t="shared" si="450"/>
        <v>1315.1</v>
      </c>
      <c r="R172" s="348">
        <f t="shared" si="450"/>
        <v>1231.3</v>
      </c>
      <c r="S172" s="348">
        <f t="shared" ref="S172" si="451">SUM(S168:S171)</f>
        <v>443.2</v>
      </c>
      <c r="T172" s="278">
        <f t="shared" si="450"/>
        <v>443.2</v>
      </c>
      <c r="U172" s="277">
        <f t="shared" si="450"/>
        <v>57072.680322500004</v>
      </c>
      <c r="V172" s="277">
        <f t="shared" si="450"/>
        <v>59583.71506848451</v>
      </c>
      <c r="W172" s="277">
        <f t="shared" si="450"/>
        <v>60521.20056112347</v>
      </c>
      <c r="X172" s="277">
        <f t="shared" si="450"/>
        <v>40556.04505395037</v>
      </c>
      <c r="Y172" s="278">
        <f t="shared" ref="Y172:AG172" si="452">SUM(Y168:Y171)</f>
        <v>40556.04505395037</v>
      </c>
      <c r="Z172" s="277">
        <f t="shared" si="452"/>
        <v>61166.038652585776</v>
      </c>
      <c r="AA172" s="277">
        <f t="shared" si="452"/>
        <v>63843.396137977245</v>
      </c>
      <c r="AB172" s="277">
        <f t="shared" si="452"/>
        <v>64326.98853585331</v>
      </c>
      <c r="AC172" s="277">
        <f t="shared" si="452"/>
        <v>43873.26682864802</v>
      </c>
      <c r="AD172" s="278">
        <f t="shared" si="452"/>
        <v>43873.26682864802</v>
      </c>
      <c r="AE172" s="278">
        <f t="shared" si="452"/>
        <v>62794.30778532484</v>
      </c>
      <c r="AF172" s="278">
        <f t="shared" si="452"/>
        <v>65404.42056568897</v>
      </c>
      <c r="AG172" s="278">
        <f t="shared" si="452"/>
        <v>67994.70759540347</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-477.8</v>
      </c>
      <c r="G174" s="348">
        <f t="shared" si="453"/>
        <v>-846.9</v>
      </c>
      <c r="H174" s="348">
        <f t="shared" si="453"/>
        <v>-924.9</v>
      </c>
      <c r="I174" s="348">
        <f t="shared" si="453"/>
        <v>-528.4</v>
      </c>
      <c r="J174" s="278">
        <f t="shared" si="453"/>
        <v>-528.4</v>
      </c>
      <c r="K174" s="348">
        <f t="shared" si="453"/>
        <v>-1250</v>
      </c>
      <c r="L174" s="348">
        <f t="shared" si="453"/>
        <v>-1625.3</v>
      </c>
      <c r="M174" s="348">
        <f t="shared" si="453"/>
        <v>-1718.5</v>
      </c>
      <c r="N174" s="348">
        <f t="shared" si="453"/>
        <v>-989.7</v>
      </c>
      <c r="O174" s="278">
        <f t="shared" si="453"/>
        <v>-989.7</v>
      </c>
      <c r="P174" s="348">
        <f t="shared" si="453"/>
        <v>-1172.8</v>
      </c>
      <c r="Q174" s="348">
        <f t="shared" si="453"/>
        <v>-1315.1</v>
      </c>
      <c r="R174" s="348">
        <f t="shared" si="453"/>
        <v>-1231.3</v>
      </c>
      <c r="S174" s="348">
        <f t="shared" ref="S174" si="454">S166-S172</f>
        <v>-443.2</v>
      </c>
      <c r="T174" s="278">
        <f t="shared" si="453"/>
        <v>-443.2</v>
      </c>
      <c r="U174" s="277">
        <f>U166-U172</f>
        <v>-35883.5689973</v>
      </c>
      <c r="V174" s="277">
        <f t="shared" ref="V174:X174" si="455">V166-V172</f>
        <v>5210.808874240487</v>
      </c>
      <c r="W174" s="277">
        <f t="shared" si="455"/>
        <v>7732.369751609593</v>
      </c>
      <c r="X174" s="277">
        <f t="shared" si="455"/>
        <v>25659.440511725938</v>
      </c>
      <c r="Y174" s="278">
        <f t="shared" ref="Y174:AG174" si="456">Y166-Y172</f>
        <v>25659.440511725938</v>
      </c>
      <c r="Z174" s="277">
        <f>Z166-Z172</f>
        <v>4132.362650861913</v>
      </c>
      <c r="AA174" s="277">
        <f t="shared" si="456"/>
        <v>5573.653718337802</v>
      </c>
      <c r="AB174" s="277">
        <f t="shared" si="456"/>
        <v>8674.901579969184</v>
      </c>
      <c r="AC174" s="277">
        <f t="shared" si="456"/>
        <v>27191.554099966088</v>
      </c>
      <c r="AD174" s="278">
        <f t="shared" si="456"/>
        <v>27191.554099966088</v>
      </c>
      <c r="AE174" s="278">
        <f t="shared" si="456"/>
        <v>15241.782977072464</v>
      </c>
      <c r="AF174" s="278">
        <f t="shared" si="456"/>
        <v>20394.17224283378</v>
      </c>
      <c r="AG174" s="278">
        <f t="shared" si="456"/>
        <v>28158.104744791228</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477.8</v>
      </c>
      <c r="G176" s="393">
        <f t="shared" ref="G176" si="457">F174-G174</f>
        <v>369.09999999999997</v>
      </c>
      <c r="H176" s="393">
        <f t="shared" ref="H176" si="458">G174-H174</f>
        <v>78</v>
      </c>
      <c r="I176" s="393">
        <f t="shared" ref="I176" si="459">H174-I174</f>
        <v>-396.5</v>
      </c>
      <c r="J176" s="394">
        <f>-(J174-E174)</f>
        <v>528.4</v>
      </c>
      <c r="K176" s="393">
        <f>I174-K174</f>
        <v>721.6</v>
      </c>
      <c r="L176" s="393">
        <f t="shared" ref="L176" si="460">K174-L174</f>
        <v>375.29999999999995</v>
      </c>
      <c r="M176" s="393">
        <f t="shared" ref="M176" si="461">L174-M174</f>
        <v>93.20000000000005</v>
      </c>
      <c r="N176" s="393">
        <f t="shared" ref="N176" si="462">M174-N174</f>
        <v>-728.8</v>
      </c>
      <c r="O176" s="394">
        <f>-(O174-J174)</f>
        <v>461.30000000000007</v>
      </c>
      <c r="P176" s="393">
        <f>N174-P174</f>
        <v>183.0999999999999</v>
      </c>
      <c r="Q176" s="393">
        <f t="shared" ref="Q176" si="463">-(Q174-P174)</f>
        <v>142.29999999999995</v>
      </c>
      <c r="R176" s="393">
        <f t="shared" ref="R176" si="464">-(R174-Q174)</f>
        <v>-83.79999999999995</v>
      </c>
      <c r="S176" s="393">
        <f t="shared" ref="S176" si="465">R174-S174</f>
        <v>-788.0999999999999</v>
      </c>
      <c r="T176" s="394">
        <f>-(T174-O174)</f>
        <v>-546.5</v>
      </c>
      <c r="U176" s="395">
        <f>-(U174-S174)</f>
        <v>35440.3689973</v>
      </c>
      <c r="V176" s="395">
        <f>-(V174-U174)</f>
        <v>-41094.377871540484</v>
      </c>
      <c r="W176" s="395">
        <f t="shared" ref="W176" si="466">-(W174-V174)</f>
        <v>-2521.5608773691056</v>
      </c>
      <c r="X176" s="395">
        <f t="shared" ref="X176" si="467">-(X174-W174)</f>
        <v>-17927.070760116345</v>
      </c>
      <c r="Y176" s="394">
        <f>-(Y174-T174)</f>
        <v>-26102.64051172594</v>
      </c>
      <c r="Z176" s="395">
        <f>-(Z174-X174)</f>
        <v>21527.077860864025</v>
      </c>
      <c r="AA176" s="395">
        <f>-(AA174-Z174)</f>
        <v>-1441.2910674758896</v>
      </c>
      <c r="AB176" s="395">
        <f t="shared" ref="AB176:AC176" si="468">-(AB174-AA174)</f>
        <v>-3101.247861631382</v>
      </c>
      <c r="AC176" s="395">
        <f t="shared" si="468"/>
        <v>-18516.652519996904</v>
      </c>
      <c r="AD176" s="394">
        <f>-(AD174-Y174)</f>
        <v>-1532.1135882401504</v>
      </c>
      <c r="AE176" s="394">
        <f t="shared" ref="AE176:AG176" si="469">-(AE174-AD174)</f>
        <v>11949.771122893624</v>
      </c>
      <c r="AF176" s="394">
        <f t="shared" si="469"/>
        <v>-5152.389265761318</v>
      </c>
      <c r="AG176" s="416">
        <f t="shared" si="469"/>
        <v>-7763.932501957446</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0</v>
      </c>
      <c r="G178" s="348">
        <f t="shared" si="470"/>
        <v>0</v>
      </c>
      <c r="H178" s="348">
        <f t="shared" si="470"/>
        <v>0</v>
      </c>
      <c r="I178" s="348">
        <f t="shared" si="470"/>
        <v>0</v>
      </c>
      <c r="J178" s="278">
        <f t="shared" si="470"/>
        <v>0</v>
      </c>
      <c r="K178" s="348">
        <f t="shared" si="470"/>
        <v>0</v>
      </c>
      <c r="L178" s="348">
        <f t="shared" si="470"/>
        <v>0</v>
      </c>
      <c r="M178" s="348">
        <f t="shared" si="470"/>
        <v>0</v>
      </c>
      <c r="N178" s="348">
        <f t="shared" si="470"/>
        <v>0</v>
      </c>
      <c r="O178" s="278">
        <f t="shared" si="470"/>
        <v>0</v>
      </c>
      <c r="P178" s="348">
        <f t="shared" si="470"/>
        <v>0</v>
      </c>
      <c r="Q178" s="348">
        <f t="shared" si="470"/>
        <v>0</v>
      </c>
      <c r="R178" s="348">
        <f t="shared" si="470"/>
        <v>0</v>
      </c>
      <c r="S178" s="348">
        <f t="shared" ref="S178" si="471">S163+S164-S169</f>
        <v>0</v>
      </c>
      <c r="T178" s="278">
        <f t="shared" si="470"/>
        <v>0</v>
      </c>
      <c r="U178" s="277">
        <f t="shared" si="470"/>
        <v>-1057.7427028000002</v>
      </c>
      <c r="V178" s="277">
        <f t="shared" si="470"/>
        <v>-1052.6909256</v>
      </c>
      <c r="W178" s="277">
        <f t="shared" si="470"/>
        <v>-270.54616499999975</v>
      </c>
      <c r="X178" s="277">
        <f t="shared" si="470"/>
        <v>-759.8294924999991</v>
      </c>
      <c r="Y178" s="278">
        <f t="shared" ref="Y178:AG178" si="472">Y163+Y164-Y169</f>
        <v>-759.8294924999991</v>
      </c>
      <c r="Z178" s="277">
        <f t="shared" si="472"/>
        <v>-1115.3831967879978</v>
      </c>
      <c r="AA178" s="277">
        <f t="shared" si="472"/>
        <v>-1128.9702803759992</v>
      </c>
      <c r="AB178" s="277">
        <f t="shared" si="472"/>
        <v>-287.7190841700012</v>
      </c>
      <c r="AC178" s="277">
        <f t="shared" si="472"/>
        <v>-823.5072474999997</v>
      </c>
      <c r="AD178" s="278">
        <f t="shared" si="472"/>
        <v>-823.5072474999997</v>
      </c>
      <c r="AE178" s="278">
        <f t="shared" si="472"/>
        <v>-1198.9873562158791</v>
      </c>
      <c r="AF178" s="278">
        <f t="shared" si="472"/>
        <v>-1600.5884909710712</v>
      </c>
      <c r="AG178" s="278">
        <f t="shared" si="472"/>
        <v>-1729.9999315500045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0</v>
      </c>
      <c r="H180" s="393">
        <f t="shared" ref="H180" si="474">-(H178-G178)</f>
        <v>0</v>
      </c>
      <c r="I180" s="393">
        <f t="shared" ref="I180" si="475">-(I178-H178)</f>
        <v>0</v>
      </c>
      <c r="J180" s="394">
        <f>-(J178-E178)</f>
        <v>0</v>
      </c>
      <c r="K180" s="393">
        <f t="shared" ref="K180" si="476">-(K178-J178)</f>
        <v>0</v>
      </c>
      <c r="L180" s="393">
        <f t="shared" ref="L180" si="477">-(L178-K178)</f>
        <v>0</v>
      </c>
      <c r="M180" s="393">
        <f t="shared" ref="M180" si="478">-(M178-L178)</f>
        <v>0</v>
      </c>
      <c r="N180" s="393">
        <f t="shared" ref="N180" si="479">-(N178-M178)</f>
        <v>0</v>
      </c>
      <c r="O180" s="394">
        <f>-(O178-J178)</f>
        <v>0</v>
      </c>
      <c r="P180" s="393">
        <f t="shared" ref="P180" si="480">-(P178-O178)</f>
        <v>0</v>
      </c>
      <c r="Q180" s="393">
        <f t="shared" ref="Q180" si="481">-(Q178-P178)</f>
        <v>0</v>
      </c>
      <c r="R180" s="393">
        <f t="shared" ref="R180:S180" si="482">-(R178-Q178)</f>
        <v>0</v>
      </c>
      <c r="S180" s="393">
        <f t="shared" si="482"/>
        <v>0</v>
      </c>
      <c r="T180" s="394">
        <f>-(T178-O178)</f>
        <v>0</v>
      </c>
      <c r="U180" s="395">
        <f t="shared" ref="U180" si="483">-(U178-T178)</f>
        <v>1057.7427028000002</v>
      </c>
      <c r="V180" s="395">
        <f t="shared" ref="V180" si="484">-(V178-U178)</f>
        <v>-5.051777200000288</v>
      </c>
      <c r="W180" s="395">
        <f t="shared" ref="W180" si="485">-(W178-V178)</f>
        <v>-782.1447606000002</v>
      </c>
      <c r="X180" s="395">
        <f t="shared" ref="X180" si="486">-(X178-W178)</f>
        <v>489.28332749999936</v>
      </c>
      <c r="Y180" s="394">
        <f>-(Y178-T178)</f>
        <v>759.8294924999991</v>
      </c>
      <c r="Z180" s="395">
        <f t="shared" ref="Z180:AC180" si="487">-(Z178-Y178)</f>
        <v>355.5537042879987</v>
      </c>
      <c r="AA180" s="395">
        <f t="shared" si="487"/>
        <v>13.587083588001406</v>
      </c>
      <c r="AB180" s="395">
        <f t="shared" si="487"/>
        <v>-841.251196205998</v>
      </c>
      <c r="AC180" s="395">
        <f t="shared" si="487"/>
        <v>535.7881633299985</v>
      </c>
      <c r="AD180" s="394">
        <f>-(AD178-Y178)</f>
        <v>63.677755000000616</v>
      </c>
      <c r="AE180" s="394">
        <f t="shared" ref="AE180:AG180" si="488">-(AE178-AD178)</f>
        <v>375.4801087158794</v>
      </c>
      <c r="AF180" s="394">
        <f t="shared" si="488"/>
        <v>401.6011347551921</v>
      </c>
      <c r="AG180" s="416">
        <f t="shared" si="488"/>
        <v>129.41144057893325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v>
      </c>
      <c r="G184" s="419">
        <f t="shared" si="489"/>
        <v>0</v>
      </c>
      <c r="H184" s="419">
        <f t="shared" si="489"/>
        <v>0</v>
      </c>
      <c r="I184" s="419">
        <f t="shared" si="489"/>
        <v>0</v>
      </c>
      <c r="J184" s="144">
        <f>J163/J28</f>
        <v>0</v>
      </c>
      <c r="K184" s="419">
        <f t="shared" ref="K184:N184" si="490">K163/(K28*4)</f>
        <v>0</v>
      </c>
      <c r="L184" s="419">
        <f t="shared" si="490"/>
        <v>0</v>
      </c>
      <c r="M184" s="419">
        <f t="shared" si="490"/>
        <v>0</v>
      </c>
      <c r="N184" s="419">
        <f t="shared" si="490"/>
        <v>0</v>
      </c>
      <c r="O184" s="144">
        <f>O163/O28</f>
        <v>0</v>
      </c>
      <c r="P184" s="419">
        <f t="shared" ref="P184:S184" si="491">P163/(P28*4)</f>
        <v>0</v>
      </c>
      <c r="Q184" s="419">
        <f t="shared" si="491"/>
        <v>0</v>
      </c>
      <c r="R184" s="419">
        <f t="shared" si="491"/>
        <v>0</v>
      </c>
      <c r="S184" s="419">
        <f t="shared" si="491"/>
        <v>0</v>
      </c>
      <c r="T184" s="144">
        <f>T163/T28</f>
        <v>0</v>
      </c>
      <c r="U184" s="420">
        <f>Drivers!U113</f>
        <v>0.63</v>
      </c>
      <c r="V184" s="420">
        <f>Drivers!V113</f>
        <v>0.62</v>
      </c>
      <c r="W184" s="420">
        <f>Drivers!W113</f>
        <v>0.61</v>
      </c>
      <c r="X184" s="420">
        <f>Drivers!X113</f>
        <v>0.6</v>
      </c>
      <c r="Y184" s="144">
        <f>Y163/Y28</f>
        <v>0.479106560218587</v>
      </c>
      <c r="Z184" s="420">
        <f>Drivers!Z113</f>
        <v>0.63</v>
      </c>
      <c r="AA184" s="420">
        <f>Drivers!AA113</f>
        <v>0.62</v>
      </c>
      <c r="AB184" s="420">
        <f>Drivers!AB113</f>
        <v>0.61</v>
      </c>
      <c r="AC184" s="420">
        <f>Drivers!AC113</f>
        <v>0.6</v>
      </c>
      <c r="AD184" s="144">
        <f>AD163/AD28</f>
        <v>0.4863761391181681</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v>
      </c>
      <c r="H185" s="422">
        <f t="shared" ref="H185" si="493">H147/G146</f>
        <v>0</v>
      </c>
      <c r="I185" s="422">
        <f t="shared" ref="I185" si="494">I147/H146</f>
        <v>0</v>
      </c>
      <c r="J185" s="423">
        <f>J147/I146</f>
        <v>0</v>
      </c>
      <c r="K185" s="422">
        <f>K147/J146</f>
        <v>0</v>
      </c>
      <c r="L185" s="422">
        <f t="shared" ref="L185" si="495">L147/K146</f>
        <v>0</v>
      </c>
      <c r="M185" s="422">
        <f t="shared" ref="M185" si="496">M147/L146</f>
        <v>0</v>
      </c>
      <c r="N185" s="422">
        <f t="shared" ref="N185" si="497">N147/M146</f>
        <v>0</v>
      </c>
      <c r="O185" s="423">
        <f>O147/N146</f>
        <v>0</v>
      </c>
      <c r="P185" s="422">
        <f>P147/O146</f>
        <v>0</v>
      </c>
      <c r="Q185" s="422">
        <f t="shared" ref="Q185" si="498">Q147/P146</f>
        <v>0</v>
      </c>
      <c r="R185" s="422">
        <f t="shared" ref="R185:S185" si="499">R147/Q146</f>
        <v>0</v>
      </c>
      <c r="S185" s="422">
        <f t="shared" si="499"/>
        <v>0</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v>
      </c>
      <c r="G186" s="419">
        <f t="shared" ref="G186" si="500">G165/F146</f>
        <v>0</v>
      </c>
      <c r="H186" s="419">
        <f t="shared" ref="H186" si="501">H165/G146</f>
        <v>0</v>
      </c>
      <c r="I186" s="419">
        <f t="shared" ref="I186" si="502">I165/H146</f>
        <v>0</v>
      </c>
      <c r="J186" s="144">
        <f t="shared" ref="J186" si="503">J165/I146</f>
        <v>0</v>
      </c>
      <c r="K186" s="419">
        <f t="shared" ref="K186" si="504">K165/J146</f>
        <v>0</v>
      </c>
      <c r="L186" s="419">
        <f t="shared" ref="L186" si="505">L165/K146</f>
        <v>0</v>
      </c>
      <c r="M186" s="419">
        <f t="shared" ref="M186" si="506">M165/L146</f>
        <v>0</v>
      </c>
      <c r="N186" s="419">
        <f t="shared" ref="N186" si="507">N165/M146</f>
        <v>0</v>
      </c>
      <c r="O186" s="144">
        <f t="shared" ref="O186" si="508">O165/N146</f>
        <v>0</v>
      </c>
      <c r="P186" s="419">
        <f t="shared" ref="P186" si="509">P165/O146</f>
        <v>0</v>
      </c>
      <c r="Q186" s="419">
        <f t="shared" ref="Q186" si="510">Q165/P146</f>
        <v>0</v>
      </c>
      <c r="R186" s="419">
        <f t="shared" ref="R186:S186" si="511">R165/Q146</f>
        <v>0</v>
      </c>
      <c r="S186" s="419">
        <f t="shared" si="511"/>
        <v>0</v>
      </c>
      <c r="T186" s="144">
        <f>T165/S146</f>
        <v>0</v>
      </c>
      <c r="U186" s="420">
        <f>Drivers!U135</f>
        <v>0.77</v>
      </c>
      <c r="V186" s="420">
        <f>Drivers!V135</f>
        <v>0.77</v>
      </c>
      <c r="W186" s="420">
        <f>Drivers!W135</f>
        <v>0.77</v>
      </c>
      <c r="X186" s="420">
        <f>Drivers!X135</f>
        <v>0.78</v>
      </c>
      <c r="Y186" s="144">
        <f>Y165/X146</f>
        <v>0.8210152596574571</v>
      </c>
      <c r="Z186" s="420">
        <f>Drivers!Z135</f>
        <v>0.77</v>
      </c>
      <c r="AA186" s="420">
        <f>Drivers!AA135</f>
        <v>0.77</v>
      </c>
      <c r="AB186" s="420">
        <f>Drivers!AB135</f>
        <v>0.77</v>
      </c>
      <c r="AC186" s="420">
        <f>Drivers!AC135</f>
        <v>0.78</v>
      </c>
      <c r="AD186" s="144">
        <f>AD165/AC146</f>
        <v>0.7893550781205677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v>
      </c>
      <c r="H187" s="353">
        <f t="shared" si="512"/>
        <v>0</v>
      </c>
      <c r="I187" s="353">
        <f t="shared" si="512"/>
        <v>0</v>
      </c>
      <c r="J187" s="157">
        <f t="shared" si="512"/>
        <v>0</v>
      </c>
      <c r="K187" s="388">
        <f t="shared" si="512"/>
        <v>0</v>
      </c>
      <c r="L187" s="353">
        <f t="shared" si="512"/>
        <v>0</v>
      </c>
      <c r="M187" s="353">
        <f t="shared" si="512"/>
        <v>0</v>
      </c>
      <c r="N187" s="353">
        <f t="shared" si="512"/>
        <v>0</v>
      </c>
      <c r="O187" s="157">
        <f t="shared" si="512"/>
        <v>0</v>
      </c>
      <c r="P187" s="388">
        <f t="shared" si="512"/>
        <v>0</v>
      </c>
      <c r="Q187" s="353">
        <f t="shared" si="512"/>
        <v>0</v>
      </c>
      <c r="R187" s="353">
        <f t="shared" si="512"/>
        <v>0</v>
      </c>
      <c r="S187" s="353">
        <f t="shared" ref="S187" si="513">SUM(S184:S185)-S186</f>
        <v>0</v>
      </c>
      <c r="T187" s="157">
        <f t="shared" si="512"/>
        <v>0</v>
      </c>
      <c r="U187" s="355">
        <f t="shared" si="512"/>
        <v>-0.14</v>
      </c>
      <c r="V187" s="355">
        <f t="shared" si="512"/>
        <v>-0.15000000000000002</v>
      </c>
      <c r="W187" s="355">
        <f t="shared" si="512"/>
        <v>-0.16000000000000003</v>
      </c>
      <c r="X187" s="355">
        <f t="shared" si="512"/>
        <v>-0.18000000000000005</v>
      </c>
      <c r="Y187" s="157">
        <f t="shared" ref="Y187:AG187" si="514">SUM(Y184:Y185)-Y186</f>
        <v>-0.34190869943887015</v>
      </c>
      <c r="Z187" s="355">
        <f t="shared" si="514"/>
        <v>-0.14</v>
      </c>
      <c r="AA187" s="355">
        <f t="shared" si="514"/>
        <v>-0.15000000000000002</v>
      </c>
      <c r="AB187" s="355">
        <f t="shared" si="514"/>
        <v>-0.16000000000000003</v>
      </c>
      <c r="AC187" s="355">
        <f t="shared" si="514"/>
        <v>-0.18000000000000005</v>
      </c>
      <c r="AD187" s="157">
        <f t="shared" si="514"/>
        <v>-0.3029789390023996</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0.008213531182366864</v>
      </c>
      <c r="G188" s="429">
        <f t="shared" ref="G188" si="515">G168/F132</f>
        <v>0.014558475425589154</v>
      </c>
      <c r="H188" s="429">
        <f t="shared" ref="H188" si="516">H168/G132</f>
        <v>0.015330096813812833</v>
      </c>
      <c r="I188" s="429">
        <f t="shared" ref="I188" si="517">I168/H132</f>
        <v>0.008323684853067429</v>
      </c>
      <c r="J188" s="430">
        <f t="shared" ref="J188" si="518">J168/I132</f>
        <v>0.008905517915529038</v>
      </c>
      <c r="K188" s="429">
        <f t="shared" ref="K188" si="519">K168/J132</f>
        <v>0.021067179020460444</v>
      </c>
      <c r="L188" s="429">
        <f t="shared" ref="L188" si="520">L168/K132</f>
        <v>0.024156858315336698</v>
      </c>
      <c r="M188" s="429">
        <f t="shared" ref="M188" si="521">M168/L132</f>
        <v>0.023692076079343982</v>
      </c>
      <c r="N188" s="429">
        <f t="shared" ref="N188" si="522">N168/M132</f>
        <v>0.01365122277548656</v>
      </c>
      <c r="O188" s="430">
        <f t="shared" ref="O188" si="523">O168/N132</f>
        <v>0.015181264016247342</v>
      </c>
      <c r="P188" s="429">
        <f t="shared" ref="P188" si="524">P168/O132</f>
        <v>0.017989882225174177</v>
      </c>
      <c r="Q188" s="429">
        <f t="shared" ref="Q188" si="525">Q168/P132</f>
        <v>0.016436305099616428</v>
      </c>
      <c r="R188" s="429">
        <f t="shared" ref="R188:S188" si="526">R168/Q132</f>
        <v>0.015968283899046937</v>
      </c>
      <c r="S188" s="429">
        <f t="shared" si="526"/>
        <v>0.005587493696419566</v>
      </c>
      <c r="T188" s="430">
        <f>T168/S132</f>
        <v>0.005899257401691244</v>
      </c>
      <c r="U188" s="431">
        <f>Drivers!U123</f>
        <v>0.018</v>
      </c>
      <c r="V188" s="431">
        <f>Drivers!V123</f>
        <v>0.018</v>
      </c>
      <c r="W188" s="431">
        <f>Drivers!W123</f>
        <v>0.018</v>
      </c>
      <c r="X188" s="431">
        <f>Drivers!X123</f>
        <v>0.018</v>
      </c>
      <c r="Y188" s="430">
        <f>Y168/X132</f>
        <v>0.018479246150071283</v>
      </c>
      <c r="Z188" s="431">
        <f>Drivers!Z123</f>
        <v>0.018</v>
      </c>
      <c r="AA188" s="431">
        <f>Drivers!AA123</f>
        <v>0.018</v>
      </c>
      <c r="AB188" s="431">
        <f>Drivers!AB123</f>
        <v>0.018</v>
      </c>
      <c r="AC188" s="431">
        <f>Drivers!AC123</f>
        <v>0.018</v>
      </c>
      <c r="AD188" s="430">
        <f>AD168/AC132</f>
        <v>0.01807698972172572</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0</v>
      </c>
      <c r="G189" s="429">
        <f t="shared" si="527"/>
        <v>0</v>
      </c>
      <c r="H189" s="429">
        <f t="shared" si="527"/>
        <v>0</v>
      </c>
      <c r="I189" s="429">
        <f t="shared" si="527"/>
        <v>0</v>
      </c>
      <c r="J189" s="430">
        <f t="shared" si="527"/>
        <v>0</v>
      </c>
      <c r="K189" s="429">
        <f t="shared" si="527"/>
        <v>0</v>
      </c>
      <c r="L189" s="429">
        <f t="shared" si="527"/>
        <v>0</v>
      </c>
      <c r="M189" s="429">
        <f t="shared" si="527"/>
        <v>0</v>
      </c>
      <c r="N189" s="429">
        <f t="shared" si="527"/>
        <v>0</v>
      </c>
      <c r="O189" s="430">
        <f t="shared" si="527"/>
        <v>0</v>
      </c>
      <c r="P189" s="429">
        <f t="shared" si="527"/>
        <v>0</v>
      </c>
      <c r="Q189" s="429">
        <f t="shared" si="527"/>
        <v>0</v>
      </c>
      <c r="R189" s="429">
        <f t="shared" si="527"/>
        <v>0</v>
      </c>
      <c r="S189" s="429">
        <f t="shared" ref="S189" si="528">S169/S28</f>
        <v>0</v>
      </c>
      <c r="T189" s="430">
        <f>T169/T28</f>
        <v>0</v>
      </c>
      <c r="U189" s="431">
        <f>Drivers!U140</f>
        <v>2.8</v>
      </c>
      <c r="V189" s="431">
        <f>Drivers!V140</f>
        <v>2.75</v>
      </c>
      <c r="W189" s="431">
        <f>Drivers!W140</f>
        <v>2.5</v>
      </c>
      <c r="X189" s="431">
        <f>Drivers!X140</f>
        <v>2.65</v>
      </c>
      <c r="Y189" s="430">
        <f>Y169/Y28</f>
        <v>0.5290134935746897</v>
      </c>
      <c r="Z189" s="431">
        <f>Drivers!Z140</f>
        <v>2.8</v>
      </c>
      <c r="AA189" s="431">
        <f>Drivers!AA140</f>
        <v>2.75</v>
      </c>
      <c r="AB189" s="431">
        <f>Drivers!AB140</f>
        <v>2.5</v>
      </c>
      <c r="AC189" s="431">
        <f>Drivers!AC140</f>
        <v>2.65</v>
      </c>
      <c r="AD189" s="430">
        <f>AD169/AD28</f>
        <v>0.5370403202763107</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v>
      </c>
      <c r="G190" s="429">
        <f t="shared" si="529"/>
        <v>0</v>
      </c>
      <c r="H190" s="429">
        <f t="shared" si="529"/>
        <v>0</v>
      </c>
      <c r="I190" s="429">
        <f t="shared" si="529"/>
        <v>0</v>
      </c>
      <c r="J190" s="430">
        <f t="shared" si="529"/>
        <v>0</v>
      </c>
      <c r="K190" s="429">
        <f t="shared" si="529"/>
        <v>0</v>
      </c>
      <c r="L190" s="429">
        <f t="shared" si="529"/>
        <v>0</v>
      </c>
      <c r="M190" s="429">
        <f t="shared" si="529"/>
        <v>0</v>
      </c>
      <c r="N190" s="429">
        <f t="shared" si="529"/>
        <v>0</v>
      </c>
      <c r="O190" s="430">
        <f t="shared" si="529"/>
        <v>0</v>
      </c>
      <c r="P190" s="429">
        <f t="shared" si="529"/>
        <v>0</v>
      </c>
      <c r="Q190" s="429">
        <f t="shared" si="529"/>
        <v>0</v>
      </c>
      <c r="R190" s="429">
        <f t="shared" si="529"/>
        <v>0</v>
      </c>
      <c r="S190" s="429">
        <f t="shared" ref="S190" si="530">S170/S28</f>
        <v>0</v>
      </c>
      <c r="T190" s="430">
        <f>T170/T28</f>
        <v>0</v>
      </c>
      <c r="U190" s="431">
        <f>Drivers!U145</f>
        <v>0.95</v>
      </c>
      <c r="V190" s="431">
        <f>Drivers!V145</f>
        <v>0.92</v>
      </c>
      <c r="W190" s="431">
        <f>Drivers!W145</f>
        <v>0.88</v>
      </c>
      <c r="X190" s="431">
        <f>Drivers!X145</f>
        <v>0.88</v>
      </c>
      <c r="Y190" s="430">
        <f>Y170/Y28</f>
        <v>0.17567240541348192</v>
      </c>
      <c r="Z190" s="431">
        <f>Drivers!Z145</f>
        <v>0.95</v>
      </c>
      <c r="AA190" s="431">
        <f>Drivers!AA145</f>
        <v>0.92</v>
      </c>
      <c r="AB190" s="431">
        <f>Drivers!AB145</f>
        <v>0.88</v>
      </c>
      <c r="AC190" s="431">
        <f>Drivers!AC145</f>
        <v>0.88</v>
      </c>
      <c r="AD190" s="430">
        <f>AD170/AD28</f>
        <v>0.17833791767666166</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0</v>
      </c>
      <c r="G191" s="429">
        <f t="shared" si="531"/>
        <v>0</v>
      </c>
      <c r="H191" s="429">
        <f t="shared" si="531"/>
        <v>0</v>
      </c>
      <c r="I191" s="429">
        <f t="shared" si="531"/>
        <v>0</v>
      </c>
      <c r="J191" s="430">
        <f t="shared" si="531"/>
        <v>0</v>
      </c>
      <c r="K191" s="429">
        <f t="shared" si="531"/>
        <v>0</v>
      </c>
      <c r="L191" s="429">
        <f t="shared" si="531"/>
        <v>0</v>
      </c>
      <c r="M191" s="429">
        <f t="shared" si="531"/>
        <v>0</v>
      </c>
      <c r="N191" s="429">
        <f t="shared" si="531"/>
        <v>0</v>
      </c>
      <c r="O191" s="430">
        <f t="shared" si="531"/>
        <v>0</v>
      </c>
      <c r="P191" s="429">
        <f t="shared" si="531"/>
        <v>0</v>
      </c>
      <c r="Q191" s="429">
        <f t="shared" si="531"/>
        <v>0</v>
      </c>
      <c r="R191" s="429">
        <f t="shared" si="531"/>
        <v>0</v>
      </c>
      <c r="S191" s="429">
        <f t="shared" ref="S191" si="532">S171/S28</f>
        <v>0</v>
      </c>
      <c r="T191" s="430">
        <f>T171/T28</f>
        <v>0</v>
      </c>
      <c r="U191" s="431">
        <f>Drivers!U150</f>
        <v>11</v>
      </c>
      <c r="V191" s="431">
        <f>Drivers!V150</f>
        <v>11</v>
      </c>
      <c r="W191" s="431">
        <f>Drivers!W152</f>
        <v>9.5</v>
      </c>
      <c r="X191" s="431">
        <f>Drivers!X150</f>
        <v>9</v>
      </c>
      <c r="Y191" s="430">
        <f>Y171/Y28</f>
        <v>1.7966496008197013</v>
      </c>
      <c r="Z191" s="431">
        <f>Drivers!Z150</f>
        <v>11</v>
      </c>
      <c r="AA191" s="431">
        <f>Drivers!AA150</f>
        <v>11</v>
      </c>
      <c r="AB191" s="431">
        <f>Drivers!AB152</f>
        <v>9.5</v>
      </c>
      <c r="AC191" s="431">
        <f>Drivers!AC150</f>
        <v>9</v>
      </c>
      <c r="AD191" s="430">
        <f>AD171/AD28</f>
        <v>1.8239105216931306</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0</v>
      </c>
      <c r="V195" s="277">
        <f t="shared" ref="V195" si="536">U199</f>
        <v>-56.66478765000001</v>
      </c>
      <c r="W195" s="277">
        <f t="shared" ref="W195" si="537">V199</f>
        <v>-117.23004779613751</v>
      </c>
      <c r="X195" s="277">
        <f t="shared" ref="X195" si="538">W199</f>
        <v>-189.17479330264555</v>
      </c>
      <c r="Y195" s="278">
        <f>U195</f>
        <v>0</v>
      </c>
      <c r="Z195" s="277">
        <f t="shared" ref="Z195:AC195" si="539">Y199</f>
        <v>-241.85861760149476</v>
      </c>
      <c r="AA195" s="277">
        <f t="shared" si="539"/>
        <v>-310.3786637460489</v>
      </c>
      <c r="AB195" s="277">
        <f t="shared" si="539"/>
        <v>-384.5056507707162</v>
      </c>
      <c r="AC195" s="277">
        <f t="shared" si="539"/>
        <v>-470.56600447904003</v>
      </c>
      <c r="AD195" s="278">
        <f>Y199</f>
        <v>-241.85861760149476</v>
      </c>
      <c r="AE195" s="278">
        <f t="shared" ref="AE195:AG195" si="540">AD199</f>
        <v>-537.2697399936447</v>
      </c>
      <c r="AF195" s="278">
        <f t="shared" si="540"/>
        <v>-873.1742538189706</v>
      </c>
      <c r="AG195" s="278">
        <f t="shared" si="540"/>
        <v>-1268.2956176255377</v>
      </c>
      <c r="AH195" s="8"/>
      <c r="AI195" s="8"/>
      <c r="AJ195" s="8"/>
      <c r="AK195" s="8"/>
    </row>
    <row r="196" ht="15.75" customHeight="1" spans="1:37" x14ac:dyDescent="0.25">
      <c r="A196" s="260"/>
      <c r="B196" s="8"/>
      <c r="C196" s="130" t="s">
        <v>118</v>
      </c>
      <c r="D196" s="8"/>
      <c r="E196" s="8"/>
      <c r="F196" s="433">
        <v>27.6</v>
      </c>
      <c r="G196" s="433">
        <f>-42-F196</f>
        <v>-69.6</v>
      </c>
      <c r="H196" s="433">
        <f>-68-SUM(F196:G196)</f>
        <v>-26.000000000000007</v>
      </c>
      <c r="I196" s="433">
        <f>-91-SUM(F196:H196)</f>
        <v>-23</v>
      </c>
      <c r="J196" s="324">
        <f t="shared" ref="J196:J198" si="541">SUM(F196:I196)</f>
        <v>-91</v>
      </c>
      <c r="K196" s="433">
        <v>25.2</v>
      </c>
      <c r="L196" s="433">
        <f>-69-K196</f>
        <v>-94.2</v>
      </c>
      <c r="M196" s="433">
        <f>-122-SUM(K196:L196)</f>
        <v>-53</v>
      </c>
      <c r="N196" s="433">
        <f>-173-SUM(K196:M196)</f>
        <v>-51</v>
      </c>
      <c r="O196" s="324">
        <f t="shared" ref="O196:O198" si="542">SUM(K196:N196)</f>
        <v>-173</v>
      </c>
      <c r="P196" s="433">
        <v>96.2</v>
      </c>
      <c r="Q196" s="433">
        <f>-99-P196</f>
        <v>-195.2</v>
      </c>
      <c r="R196" s="433">
        <f>-155-SUM(P196:Q196)</f>
        <v>-56.000000000000014</v>
      </c>
      <c r="S196" s="433">
        <f>-173-SUM(P196:R196)</f>
        <v>-18</v>
      </c>
      <c r="T196" s="324">
        <f t="shared" ref="T196:T198" si="543">SUM(P196:S196)</f>
        <v>-173</v>
      </c>
      <c r="U196" s="325">
        <f t="shared" ref="U196:X196" si="544">U203*U28</f>
        <v>-56.66478765000001</v>
      </c>
      <c r="V196" s="325">
        <f t="shared" si="544"/>
        <v>-58.4828292</v>
      </c>
      <c r="W196" s="325">
        <f t="shared" si="544"/>
        <v>-67.63654125</v>
      </c>
      <c r="X196" s="325">
        <f t="shared" si="544"/>
        <v>-45.589769549999986</v>
      </c>
      <c r="Y196" s="324">
        <f t="shared" ref="Y196:Y198" si="545">SUM(U196:X196)</f>
        <v>-228.37392764999998</v>
      </c>
      <c r="Z196" s="325">
        <f t="shared" ref="Z196:AC196" si="546">Z203*Z28</f>
        <v>-59.75267125650001</v>
      </c>
      <c r="AA196" s="325">
        <f t="shared" si="546"/>
        <v>-62.720571132</v>
      </c>
      <c r="AB196" s="325">
        <f t="shared" si="546"/>
        <v>-71.92977104250001</v>
      </c>
      <c r="AC196" s="325">
        <f t="shared" si="546"/>
        <v>-49.41043484999998</v>
      </c>
      <c r="AD196" s="324">
        <f t="shared" ref="AD196:AD198" si="547">SUM(Z196:AC196)</f>
        <v>-243.813448281</v>
      </c>
      <c r="AE196" s="324">
        <f t="shared" ref="AE196:AG196" si="548">AE203*AE28</f>
        <v>-256.92586204626</v>
      </c>
      <c r="AF196" s="324">
        <f t="shared" si="548"/>
        <v>-266.7647484951786</v>
      </c>
      <c r="AG196" s="324">
        <f t="shared" si="548"/>
        <v>-273.15788392894814</v>
      </c>
      <c r="AH196" s="8"/>
      <c r="AI196" s="8"/>
      <c r="AJ196" s="8"/>
      <c r="AK196" s="8"/>
    </row>
    <row r="197" ht="15.75" customHeight="1" spans="1:37" x14ac:dyDescent="0.25">
      <c r="A197" s="260"/>
      <c r="B197" s="8"/>
      <c r="C197" s="130" t="s">
        <v>366</v>
      </c>
      <c r="D197" s="8"/>
      <c r="E197" s="8"/>
      <c r="F197" s="359">
        <v>-45.9</v>
      </c>
      <c r="G197" s="359">
        <f>69-F197</f>
        <v>114.9</v>
      </c>
      <c r="H197" s="359">
        <f>105-SUM(F197:G197)</f>
        <v>36</v>
      </c>
      <c r="I197" s="359">
        <f>145-SUM(F197:H197)</f>
        <v>40</v>
      </c>
      <c r="J197" s="372">
        <f t="shared" si="541"/>
        <v>145</v>
      </c>
      <c r="K197" s="359">
        <v>-33.3</v>
      </c>
      <c r="L197" s="359">
        <f>81-K197</f>
        <v>114.3</v>
      </c>
      <c r="M197" s="359">
        <f>123-SUM(K197:L197)</f>
        <v>42</v>
      </c>
      <c r="N197" s="359">
        <f>165-SUM(K197:M197)</f>
        <v>42</v>
      </c>
      <c r="O197" s="372">
        <f t="shared" si="542"/>
        <v>165</v>
      </c>
      <c r="P197" s="359">
        <v>-43.2</v>
      </c>
      <c r="Q197" s="359">
        <f>87-P197</f>
        <v>130.2</v>
      </c>
      <c r="R197" s="359">
        <f>132-SUM(P197:Q197)</f>
        <v>45.000000000000014</v>
      </c>
      <c r="S197" s="359">
        <f>165-SUM(P197:R197)</f>
        <v>33</v>
      </c>
      <c r="T197" s="324">
        <f t="shared" si="543"/>
        <v>165</v>
      </c>
      <c r="U197" s="355">
        <f t="shared" ref="U197:X197" si="549">-U204*U195/4</f>
        <v>0</v>
      </c>
      <c r="V197" s="355">
        <f t="shared" si="549"/>
        <v>-2.0824309461375003</v>
      </c>
      <c r="W197" s="355">
        <f t="shared" si="549"/>
        <v>-4.308204256508053</v>
      </c>
      <c r="X197" s="355">
        <f t="shared" si="549"/>
        <v>-7.094054748849208</v>
      </c>
      <c r="Y197" s="324">
        <f t="shared" si="545"/>
        <v>-13.484689951494762</v>
      </c>
      <c r="Z197" s="355">
        <f t="shared" ref="Z197:AC197" si="550">-Z204*Z195/4</f>
        <v>-8.767374888054185</v>
      </c>
      <c r="AA197" s="355">
        <f t="shared" si="550"/>
        <v>-11.406415892667297</v>
      </c>
      <c r="AB197" s="355">
        <f t="shared" si="550"/>
        <v>-14.13058266582382</v>
      </c>
      <c r="AC197" s="355">
        <f t="shared" si="550"/>
        <v>-17.293300664604722</v>
      </c>
      <c r="AD197" s="324">
        <f t="shared" si="547"/>
        <v>-51.59767411115002</v>
      </c>
      <c r="AE197" s="157">
        <f t="shared" ref="AE197:AG197" si="551">-AE204*AE195</f>
        <v>-78.97865177906577</v>
      </c>
      <c r="AF197" s="157">
        <f t="shared" si="551"/>
        <v>-128.35661531138865</v>
      </c>
      <c r="AG197" s="157">
        <f t="shared" si="551"/>
        <v>-183.90286455570296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1.200000000000001</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0</v>
      </c>
      <c r="G199" s="348">
        <f t="shared" si="552"/>
        <v>0</v>
      </c>
      <c r="H199" s="348">
        <f t="shared" si="552"/>
        <v>0</v>
      </c>
      <c r="I199" s="348">
        <f t="shared" si="552"/>
        <v>0</v>
      </c>
      <c r="J199" s="278">
        <f t="shared" si="552"/>
        <v>0</v>
      </c>
      <c r="K199" s="348">
        <f t="shared" si="552"/>
        <v>0</v>
      </c>
      <c r="L199" s="348">
        <f t="shared" si="552"/>
        <v>0</v>
      </c>
      <c r="M199" s="348">
        <f t="shared" si="552"/>
        <v>0</v>
      </c>
      <c r="N199" s="348">
        <f>N126</f>
        <v>0</v>
      </c>
      <c r="O199" s="278">
        <f t="shared" ref="O199:R199" si="553">O126</f>
        <v>0</v>
      </c>
      <c r="P199" s="348">
        <f t="shared" si="553"/>
        <v>0</v>
      </c>
      <c r="Q199" s="348">
        <f t="shared" si="553"/>
        <v>0</v>
      </c>
      <c r="R199" s="348">
        <f t="shared" si="553"/>
        <v>0</v>
      </c>
      <c r="S199" s="348">
        <f>S126</f>
        <v>0</v>
      </c>
      <c r="T199" s="278">
        <f>S199</f>
        <v>0</v>
      </c>
      <c r="U199" s="277">
        <f t="shared" ref="U199:X199" si="554">SUM(U195:U198)</f>
        <v>-56.66478765000001</v>
      </c>
      <c r="V199" s="277">
        <f t="shared" si="554"/>
        <v>-117.23004779613751</v>
      </c>
      <c r="W199" s="277">
        <f t="shared" si="554"/>
        <v>-189.17479330264555</v>
      </c>
      <c r="X199" s="277">
        <f t="shared" si="554"/>
        <v>-241.85861760149476</v>
      </c>
      <c r="Y199" s="278">
        <f>X199</f>
        <v>-241.85861760149476</v>
      </c>
      <c r="Z199" s="277">
        <f t="shared" ref="Z199:AG199" si="555">SUM(Z195:Z198)</f>
        <v>-310.3786637460489</v>
      </c>
      <c r="AA199" s="277">
        <f t="shared" si="555"/>
        <v>-384.5056507707162</v>
      </c>
      <c r="AB199" s="277">
        <f t="shared" si="555"/>
        <v>-470.56600447904003</v>
      </c>
      <c r="AC199" s="277">
        <f t="shared" si="555"/>
        <v>-537.2697399936447</v>
      </c>
      <c r="AD199" s="278">
        <f t="shared" si="555"/>
        <v>-537.2697399936447</v>
      </c>
      <c r="AE199" s="278">
        <f t="shared" si="555"/>
        <v>-873.1742538189706</v>
      </c>
      <c r="AF199" s="278">
        <f t="shared" si="555"/>
        <v>-1268.2956176255377</v>
      </c>
      <c r="AG199" s="278">
        <f t="shared" si="555"/>
        <v>-1725.356366110189</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0.00865866054286037</v>
      </c>
      <c r="G203" s="429">
        <f t="shared" si="556"/>
        <v>-0.02499782705669981</v>
      </c>
      <c r="H203" s="429">
        <f t="shared" si="556"/>
        <v>-0.00807933157825392</v>
      </c>
      <c r="I203" s="429">
        <f t="shared" si="556"/>
        <v>-0.0052352564934252</v>
      </c>
      <c r="J203" s="430">
        <f t="shared" si="556"/>
        <v>-0.006699462128897651</v>
      </c>
      <c r="K203" s="429">
        <f t="shared" si="556"/>
        <v>0.007574619014698368</v>
      </c>
      <c r="L203" s="429">
        <f t="shared" si="556"/>
        <v>-0.02881059936445408</v>
      </c>
      <c r="M203" s="429">
        <f t="shared" si="556"/>
        <v>-0.015404827233409291</v>
      </c>
      <c r="N203" s="429">
        <f>N196/N28</f>
        <v>-0.009768320341148051</v>
      </c>
      <c r="O203" s="430">
        <f t="shared" ref="O203:R203" si="557">O196/O28</f>
        <v>-0.011338337363249329</v>
      </c>
      <c r="P203" s="429">
        <f t="shared" si="557"/>
        <v>0.027425659926378347</v>
      </c>
      <c r="Q203" s="429">
        <f t="shared" si="557"/>
        <v>-0.05439272831640294</v>
      </c>
      <c r="R203" s="429">
        <f t="shared" si="557"/>
        <v>-0.013360136311562198</v>
      </c>
      <c r="S203" s="429">
        <f>S196/S28</f>
        <v>-0.0065002506207739365</v>
      </c>
      <c r="T203" s="430">
        <f>T196/T28</f>
        <v>-0.01230696822675155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-0.015000000000000001</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t="e">
        <f t="shared" ref="G204" si="558">-G197*4/AVERAGE(F199:G199)</f>
        <v>#DIV/0!</v>
      </c>
      <c r="H204" s="429" t="e">
        <f t="shared" ref="H204" si="559">-H197*4/AVERAGE(G199:H199)</f>
        <v>#DIV/0!</v>
      </c>
      <c r="I204" s="429" t="e">
        <f t="shared" ref="I204" si="560">-I197*4/AVERAGE(H199:I199)</f>
        <v>#DIV/0!</v>
      </c>
      <c r="J204" s="430" t="e">
        <f>-J197/AVERAGE(E199,J199)</f>
        <v>#DIV/0!</v>
      </c>
      <c r="K204" s="429" t="e">
        <f t="shared" ref="K204" si="561">-K197*4/AVERAGE(J199:K199)</f>
        <v>#DIV/0!</v>
      </c>
      <c r="L204" s="429" t="e">
        <f t="shared" ref="L204" si="562">-L197*4/AVERAGE(K199:L199)</f>
        <v>#DIV/0!</v>
      </c>
      <c r="M204" s="429" t="e">
        <f t="shared" ref="M204" si="563">-M197*4/AVERAGE(L199:M199)</f>
        <v>#DIV/0!</v>
      </c>
      <c r="N204" s="429" t="e">
        <f t="shared" ref="N204" si="564">-N197*4/AVERAGE(M199:N199)</f>
        <v>#DIV/0!</v>
      </c>
      <c r="O204" s="430" t="e">
        <f>-O197/AVERAGE(J199,O199)</f>
        <v>#DIV/0!</v>
      </c>
      <c r="P204" s="429" t="e">
        <f t="shared" ref="P204" si="565">-P197*4/AVERAGE(O199:P199)</f>
        <v>#DIV/0!</v>
      </c>
      <c r="Q204" s="429" t="e">
        <f t="shared" ref="Q204" si="566">-Q197*4/AVERAGE(P199:Q199)</f>
        <v>#DIV/0!</v>
      </c>
      <c r="R204" s="429" t="e">
        <f t="shared" ref="R204:S204" si="567">-R197*4/AVERAGE(Q199:R199)</f>
        <v>#DIV/0!</v>
      </c>
      <c r="S204" s="429" t="e">
        <f t="shared" si="567"/>
        <v>#DIV/0!</v>
      </c>
      <c r="T204" s="430" t="e">
        <f>-T197/AVERAGE(O199,T199)</f>
        <v>#DIV/0!</v>
      </c>
      <c r="U204" s="431">
        <f>Drivers!U72</f>
        <v>-0.145</v>
      </c>
      <c r="V204" s="431">
        <f>Drivers!V72</f>
        <v>-0.147</v>
      </c>
      <c r="W204" s="431">
        <f>Drivers!W72</f>
        <v>-0.147</v>
      </c>
      <c r="X204" s="431">
        <f>Drivers!X72</f>
        <v>-0.15</v>
      </c>
      <c r="Y204" s="430">
        <f>-Y197/AVERAGE(T199,Y199)</f>
        <v>-0.11150886485023408</v>
      </c>
      <c r="Z204" s="431">
        <f>Drivers!Z72</f>
        <v>-0.145</v>
      </c>
      <c r="AA204" s="431">
        <f>Drivers!AA72</f>
        <v>-0.147</v>
      </c>
      <c r="AB204" s="431">
        <f>Drivers!AB72</f>
        <v>-0.147</v>
      </c>
      <c r="AC204" s="431">
        <f>Drivers!AC72</f>
        <v>-0.147</v>
      </c>
      <c r="AD204" s="430">
        <f>-AD197/AVERAGE(Y199,AD199)</f>
        <v>-0.132449739784627</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0.014399728946278658</v>
      </c>
      <c r="G205" s="429">
        <f t="shared" si="568"/>
        <v>-0.04126796449446564</v>
      </c>
      <c r="H205" s="429">
        <f t="shared" si="568"/>
        <v>-0.011186766800659272</v>
      </c>
      <c r="I205" s="429">
        <f t="shared" si="568"/>
        <v>-0.009104793901609043</v>
      </c>
      <c r="J205" s="430">
        <f t="shared" si="568"/>
        <v>-0.01067496712846329</v>
      </c>
      <c r="K205" s="429">
        <f t="shared" si="568"/>
        <v>0.010009317983708556</v>
      </c>
      <c r="L205" s="429">
        <f t="shared" si="568"/>
        <v>-0.03495808394221976</v>
      </c>
      <c r="M205" s="429">
        <f t="shared" si="568"/>
        <v>-0.012207598939682835</v>
      </c>
      <c r="N205" s="429">
        <f t="shared" si="568"/>
        <v>-0.008044499104474866</v>
      </c>
      <c r="O205" s="430">
        <f t="shared" si="568"/>
        <v>-0.01081402118460196</v>
      </c>
      <c r="P205" s="429">
        <f t="shared" si="568"/>
        <v>0.012315888865068032</v>
      </c>
      <c r="Q205" s="429">
        <f t="shared" si="568"/>
        <v>-0.03628039562907614</v>
      </c>
      <c r="R205" s="429">
        <f t="shared" si="568"/>
        <v>-0.010735823821791052</v>
      </c>
      <c r="S205" s="429">
        <f t="shared" ref="S205" si="569">-S197/S28</f>
        <v>-0.011917126138085552</v>
      </c>
      <c r="T205" s="430">
        <f t="shared" si="568"/>
        <v>-0.01173785986944512</v>
      </c>
      <c r="U205" s="435">
        <f t="shared" si="568"/>
        <v>0</v>
      </c>
      <c r="V205" s="435">
        <f t="shared" si="568"/>
        <v>0.0005341134247325795</v>
      </c>
      <c r="W205" s="435">
        <f t="shared" si="568"/>
        <v>0.0009554460156198599</v>
      </c>
      <c r="X205" s="435">
        <f t="shared" si="568"/>
        <v>0.002334094299731729</v>
      </c>
      <c r="Y205" s="430">
        <f t="shared" ref="Y205:AG205" si="570">-Y197/Y28</f>
        <v>0.0008856980801346804</v>
      </c>
      <c r="Z205" s="435">
        <f t="shared" si="570"/>
        <v>0.0022009162193984224</v>
      </c>
      <c r="AA205" s="435">
        <f t="shared" si="570"/>
        <v>0.0027279126337980083</v>
      </c>
      <c r="AB205" s="435">
        <f t="shared" si="570"/>
        <v>0.0029467456508671572</v>
      </c>
      <c r="AC205" s="435">
        <f t="shared" si="570"/>
        <v>0.005249893281784605</v>
      </c>
      <c r="AD205" s="430">
        <f t="shared" si="570"/>
        <v>0.0031744151814597187</v>
      </c>
      <c r="AE205" s="430">
        <f t="shared" si="570"/>
        <v>0.004610979086537744</v>
      </c>
      <c r="AF205" s="430">
        <f t="shared" si="570"/>
        <v>0.007217405000217364</v>
      </c>
      <c r="AG205" s="430">
        <f t="shared" si="570"/>
        <v>0.010098712615057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137</v>
      </c>
      <c r="H209" s="348">
        <f t="shared" ref="H209" si="575">G213</f>
        <v>134.9</v>
      </c>
      <c r="I209" s="348">
        <f t="shared" ref="I209" si="576">H213</f>
        <v>132.7</v>
      </c>
      <c r="J209" s="278">
        <f>F209</f>
        <v>0</v>
      </c>
      <c r="K209" s="348">
        <f t="shared" ref="K209" si="577">J213</f>
        <v>139.5</v>
      </c>
      <c r="L209" s="348">
        <f t="shared" ref="L209" si="578">K213</f>
        <v>239.9</v>
      </c>
      <c r="M209" s="348">
        <f t="shared" ref="M209" si="579">L213</f>
        <v>234.5</v>
      </c>
      <c r="N209" s="348">
        <f t="shared" ref="N209" si="580">M213</f>
        <v>239.3</v>
      </c>
      <c r="O209" s="278">
        <f>K209</f>
        <v>139.5</v>
      </c>
      <c r="P209" s="348">
        <f t="shared" ref="P209" si="581">O213</f>
        <v>196.9</v>
      </c>
      <c r="Q209" s="348">
        <f t="shared" ref="Q209" si="582">P213</f>
        <v>213.3</v>
      </c>
      <c r="R209" s="348">
        <f t="shared" ref="R209:S209" si="583">Q213</f>
        <v>217.9</v>
      </c>
      <c r="S209" s="348">
        <f t="shared" si="583"/>
        <v>212.3</v>
      </c>
      <c r="T209" s="278">
        <f>P209</f>
        <v>196.9</v>
      </c>
      <c r="U209" s="277">
        <f t="shared" ref="U209" si="584">T213</f>
        <v>226.4</v>
      </c>
      <c r="V209" s="277">
        <f t="shared" ref="V209" si="585">U213</f>
        <v>186.78</v>
      </c>
      <c r="W209" s="277">
        <f t="shared" ref="W209" si="586">V213</f>
        <v>154.0935</v>
      </c>
      <c r="X209" s="277">
        <f t="shared" ref="X209" si="587">W213</f>
        <v>127.1271375</v>
      </c>
      <c r="Y209" s="278">
        <f>U209</f>
        <v>226.4</v>
      </c>
      <c r="Z209" s="277">
        <f t="shared" ref="Z209:AC209" si="588">Y213</f>
        <v>104.8798884375</v>
      </c>
      <c r="AA209" s="277">
        <f t="shared" si="588"/>
        <v>86.5259079609375</v>
      </c>
      <c r="AB209" s="277">
        <f t="shared" si="588"/>
        <v>71.38387406777343</v>
      </c>
      <c r="AC209" s="277">
        <f t="shared" si="588"/>
        <v>58.891696105913084</v>
      </c>
      <c r="AD209" s="278">
        <f>Z209</f>
        <v>104.8798884375</v>
      </c>
      <c r="AE209" s="278">
        <f t="shared" ref="AE209:AG209" si="589">AD213</f>
        <v>48.585649287378295</v>
      </c>
      <c r="AF209" s="278">
        <f t="shared" si="589"/>
        <v>40.083160662087096</v>
      </c>
      <c r="AG209" s="278">
        <f t="shared" si="589"/>
        <v>33.068607546221855</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-155.2</v>
      </c>
      <c r="H211" s="323">
        <f t="shared" si="601"/>
        <v>-79.2</v>
      </c>
      <c r="I211" s="323">
        <f t="shared" si="601"/>
        <v>-68</v>
      </c>
      <c r="J211" s="324">
        <f t="shared" si="590"/>
        <v>-302.4</v>
      </c>
      <c r="K211" s="323">
        <f t="shared" ref="K211:N211" si="602">K34-K197</f>
        <v>0</v>
      </c>
      <c r="L211" s="323">
        <f t="shared" si="602"/>
        <v>-139.6</v>
      </c>
      <c r="M211" s="323">
        <f t="shared" si="602"/>
        <v>-67.3</v>
      </c>
      <c r="N211" s="323">
        <f t="shared" si="602"/>
        <v>-131</v>
      </c>
      <c r="O211" s="324">
        <f t="shared" si="591"/>
        <v>-337.9</v>
      </c>
      <c r="P211" s="323">
        <f t="shared" ref="P211:S211" si="603">P34-P197</f>
        <v>0</v>
      </c>
      <c r="Q211" s="323">
        <f t="shared" si="603"/>
        <v>-180.1</v>
      </c>
      <c r="R211" s="323">
        <f t="shared" si="603"/>
        <v>-91.00000000000001</v>
      </c>
      <c r="S211" s="323">
        <f t="shared" si="603"/>
        <v>-59.9</v>
      </c>
      <c r="T211" s="324">
        <f t="shared" si="592"/>
        <v>-331</v>
      </c>
      <c r="U211" s="325">
        <f t="shared" ref="U211:X211" si="604">-U217*U209/4</f>
        <v>-39.62</v>
      </c>
      <c r="V211" s="325">
        <f t="shared" si="604"/>
        <v>-32.686499999999995</v>
      </c>
      <c r="W211" s="325">
        <f t="shared" si="604"/>
        <v>-26.9663625</v>
      </c>
      <c r="X211" s="325">
        <f t="shared" si="604"/>
        <v>-22.2472490625</v>
      </c>
      <c r="Y211" s="324">
        <f t="shared" si="597"/>
        <v>-121.5201115625</v>
      </c>
      <c r="Z211" s="325">
        <f t="shared" ref="Z211:AC211" si="605">-Z217*Z209/4</f>
        <v>-18.353980476562498</v>
      </c>
      <c r="AA211" s="325">
        <f t="shared" si="605"/>
        <v>-15.142033893164061</v>
      </c>
      <c r="AB211" s="325">
        <f t="shared" si="605"/>
        <v>-12.49217796186035</v>
      </c>
      <c r="AC211" s="325">
        <f t="shared" si="605"/>
        <v>-10.306046818534789</v>
      </c>
      <c r="AD211" s="324">
        <f t="shared" si="599"/>
        <v>-56.2942391501217</v>
      </c>
      <c r="AE211" s="324">
        <f t="shared" ref="AE211:AG211" si="606">-AE217*AE209/4</f>
        <v>-8.502488625291202</v>
      </c>
      <c r="AF211" s="324">
        <f t="shared" si="606"/>
        <v>-7.014553115865241</v>
      </c>
      <c r="AG211" s="324">
        <f t="shared" si="606"/>
        <v>-5.787006320588825</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137</v>
      </c>
      <c r="G213" s="348">
        <f t="shared" si="613"/>
        <v>134.9</v>
      </c>
      <c r="H213" s="348">
        <f t="shared" si="613"/>
        <v>132.7</v>
      </c>
      <c r="I213" s="348">
        <f t="shared" si="613"/>
        <v>139.5</v>
      </c>
      <c r="J213" s="278">
        <f t="shared" si="613"/>
        <v>139.5</v>
      </c>
      <c r="K213" s="348">
        <f t="shared" si="613"/>
        <v>239.9</v>
      </c>
      <c r="L213" s="348">
        <f t="shared" si="613"/>
        <v>234.5</v>
      </c>
      <c r="M213" s="348">
        <f t="shared" si="613"/>
        <v>239.3</v>
      </c>
      <c r="N213" s="348">
        <f t="shared" si="613"/>
        <v>196.9</v>
      </c>
      <c r="O213" s="278">
        <f t="shared" si="613"/>
        <v>196.9</v>
      </c>
      <c r="P213" s="348">
        <f t="shared" si="613"/>
        <v>213.3</v>
      </c>
      <c r="Q213" s="348">
        <f t="shared" si="613"/>
        <v>217.9</v>
      </c>
      <c r="R213" s="348">
        <f t="shared" si="613"/>
        <v>212.3</v>
      </c>
      <c r="S213" s="348">
        <f t="shared" ref="S213" si="614">S127</f>
        <v>226.4</v>
      </c>
      <c r="T213" s="278">
        <f>S213</f>
        <v>226.4</v>
      </c>
      <c r="U213" s="277">
        <f t="shared" ref="U213:X213" si="615">SUM(U209:U212)</f>
        <v>186.78</v>
      </c>
      <c r="V213" s="277">
        <f t="shared" si="615"/>
        <v>154.0935</v>
      </c>
      <c r="W213" s="277">
        <f t="shared" si="615"/>
        <v>127.1271375</v>
      </c>
      <c r="X213" s="277">
        <f t="shared" si="615"/>
        <v>104.8798884375</v>
      </c>
      <c r="Y213" s="278">
        <f>X213</f>
        <v>104.8798884375</v>
      </c>
      <c r="Z213" s="277">
        <f t="shared" ref="Z213:AC213" si="616">SUM(Z209:Z212)</f>
        <v>86.5259079609375</v>
      </c>
      <c r="AA213" s="277">
        <f t="shared" si="616"/>
        <v>71.38387406777343</v>
      </c>
      <c r="AB213" s="277">
        <f t="shared" si="616"/>
        <v>58.891696105913084</v>
      </c>
      <c r="AC213" s="277">
        <f t="shared" si="616"/>
        <v>48.585649287378295</v>
      </c>
      <c r="AD213" s="278">
        <f>AC213</f>
        <v>48.585649287378295</v>
      </c>
      <c r="AE213" s="278">
        <f t="shared" ref="AE213:AG213" si="617">SUM(AE209:AE212)</f>
        <v>40.083160662087096</v>
      </c>
      <c r="AF213" s="278">
        <f t="shared" si="617"/>
        <v>33.068607546221855</v>
      </c>
      <c r="AG213" s="278">
        <f t="shared" si="617"/>
        <v>27.281601225633032</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f t="shared" ref="G217" si="618">4*-G211/AVERAGE(F213:G213)</f>
        <v>4.566384700257448</v>
      </c>
      <c r="H217" s="402">
        <f t="shared" ref="H217" si="619">4*-H211/AVERAGE(G213:H213)</f>
        <v>2.3677130044843047</v>
      </c>
      <c r="I217" s="402">
        <f t="shared" ref="I217" si="620">4*-I211/AVERAGE(H213:I213)</f>
        <v>1.9985304922850846</v>
      </c>
      <c r="J217" s="403">
        <f>J211/AVERAGE(F209,I213)</f>
        <v>-4.3354838709677415</v>
      </c>
      <c r="K217" s="402">
        <f t="shared" ref="K217" si="621">4*-K211/AVERAGE(J213:K213)</f>
        <v>0</v>
      </c>
      <c r="L217" s="402">
        <f t="shared" ref="L217" si="622">4*-L211/AVERAGE(K213:L213)</f>
        <v>2.354131534569983</v>
      </c>
      <c r="M217" s="402">
        <f t="shared" ref="M217" si="623">4*-M211/AVERAGE(L213:M213)</f>
        <v>1.136344449134656</v>
      </c>
      <c r="N217" s="402">
        <f t="shared" ref="N217" si="624">4*-N211/AVERAGE(M213:N213)</f>
        <v>2.402567629527739</v>
      </c>
      <c r="O217" s="403">
        <f>O211/AVERAGE(K209,N213)</f>
        <v>-2.0089179548156957</v>
      </c>
      <c r="P217" s="402">
        <f t="shared" ref="P217" si="625">4*-P211/AVERAGE(O213:P213)</f>
        <v>0</v>
      </c>
      <c r="Q217" s="402">
        <f t="shared" ref="Q217" si="626">4*-Q211/AVERAGE(P213:Q213)</f>
        <v>3.341372912801484</v>
      </c>
      <c r="R217" s="402">
        <f>4*-R211/AVERAGE(Q213:R213)</f>
        <v>1.692236169223617</v>
      </c>
      <c r="S217" s="402">
        <f t="shared" ref="S217" si="627">4*-S211/AVERAGE(R213:S213)</f>
        <v>1.092318212901755</v>
      </c>
      <c r="T217" s="403">
        <f>T211/AVERAGE(P209,S213)</f>
        <v>-1.5639026695015354</v>
      </c>
      <c r="U217" s="442">
        <f>Drivers!U85</f>
        <v>0.7</v>
      </c>
      <c r="V217" s="442">
        <f>Drivers!V85</f>
        <v>0.7</v>
      </c>
      <c r="W217" s="442">
        <f>Drivers!W85</f>
        <v>0.7</v>
      </c>
      <c r="X217" s="442">
        <f>Drivers!X85</f>
        <v>0.7</v>
      </c>
      <c r="Y217" s="403">
        <f>Y211/AVERAGE(U209,X213)</f>
        <v>-0.7336401381662881</v>
      </c>
      <c r="Z217" s="442">
        <f>Drivers!Z85</f>
        <v>0.7</v>
      </c>
      <c r="AA217" s="442">
        <f>Drivers!AA85</f>
        <v>0.7</v>
      </c>
      <c r="AB217" s="442">
        <f>Drivers!AB85</f>
        <v>0.7</v>
      </c>
      <c r="AC217" s="442">
        <f>Drivers!AC85</f>
        <v>0.7</v>
      </c>
      <c r="AD217" s="403">
        <f>AD211/AVERAGE(Z209,AC213)</f>
        <v>-0.733640138166288</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0</v>
      </c>
      <c r="G221" s="348">
        <f t="shared" si="630"/>
        <v>0</v>
      </c>
      <c r="H221" s="348">
        <f t="shared" si="630"/>
        <v>0</v>
      </c>
      <c r="I221" s="348">
        <f t="shared" si="630"/>
        <v>1745.1</v>
      </c>
      <c r="J221" s="278">
        <f t="shared" si="630"/>
        <v>1745.1</v>
      </c>
      <c r="K221" s="348">
        <f t="shared" si="630"/>
        <v>1735.9</v>
      </c>
      <c r="L221" s="348">
        <f t="shared" si="630"/>
        <v>1738.2</v>
      </c>
      <c r="M221" s="348">
        <f t="shared" si="630"/>
        <v>1739.5</v>
      </c>
      <c r="N221" s="348">
        <f t="shared" si="630"/>
        <v>1736.1</v>
      </c>
      <c r="O221" s="278">
        <f t="shared" si="630"/>
        <v>1736.1</v>
      </c>
      <c r="P221" s="348">
        <f t="shared" si="630"/>
        <v>1824</v>
      </c>
      <c r="Q221" s="348">
        <f t="shared" si="630"/>
        <v>1822.8</v>
      </c>
      <c r="R221" s="348">
        <f t="shared" si="630"/>
        <v>1833</v>
      </c>
      <c r="S221" s="348">
        <f t="shared" ref="S221" si="631">S128</f>
        <v>1847.9</v>
      </c>
      <c r="T221" s="278">
        <f t="shared" ref="T221:T222" si="632">S221</f>
        <v>1847.9</v>
      </c>
      <c r="U221" s="277">
        <f>Drivers!U62+T221</f>
        <v>1847.9</v>
      </c>
      <c r="V221" s="277">
        <f>Drivers!V62+U221</f>
        <v>1847.9</v>
      </c>
      <c r="W221" s="277">
        <f>Drivers!W62+V221</f>
        <v>1847.9</v>
      </c>
      <c r="X221" s="277">
        <f>Drivers!X62+W221</f>
        <v>1847.9</v>
      </c>
      <c r="Y221" s="278">
        <f t="shared" ref="Y221:Y222" si="633">X221</f>
        <v>1847.9</v>
      </c>
      <c r="Z221" s="277">
        <f>Drivers!Z62+Y221</f>
        <v>1847.9</v>
      </c>
      <c r="AA221" s="277">
        <f>Drivers!AA62+Z221</f>
        <v>1847.9</v>
      </c>
      <c r="AB221" s="277">
        <f>Drivers!AB62+AA221</f>
        <v>1847.9</v>
      </c>
      <c r="AC221" s="277">
        <f>Drivers!AC62+AB221</f>
        <v>1847.9</v>
      </c>
      <c r="AD221" s="278">
        <f t="shared" ref="AD221:AD222" si="634">AC221</f>
        <v>1847.9</v>
      </c>
      <c r="AE221" s="278">
        <f>Drivers!AE62+AD221</f>
        <v>1847.9</v>
      </c>
      <c r="AF221" s="278">
        <f>Drivers!AF62+AE221</f>
        <v>1847.9</v>
      </c>
      <c r="AG221" s="278">
        <f>Drivers!AG62+AF221</f>
        <v>1847.9</v>
      </c>
      <c r="AH221" s="8"/>
      <c r="AI221" s="8"/>
      <c r="AJ221" s="8"/>
      <c r="AK221" s="8"/>
    </row>
    <row r="222" ht="15.75" customHeight="1" spans="1:37" x14ac:dyDescent="0.25">
      <c r="A222" s="260"/>
      <c r="B222" s="8"/>
      <c r="C222" s="130" t="s">
        <v>325</v>
      </c>
      <c r="D222" s="8"/>
      <c r="E222" s="8"/>
      <c r="F222" s="378">
        <f t="shared" ref="F222:R222" si="635">F129</f>
        <v>50526.8</v>
      </c>
      <c r="G222" s="378">
        <f t="shared" si="635"/>
        <v>52192.5</v>
      </c>
      <c r="H222" s="378">
        <f t="shared" si="635"/>
        <v>54531.4</v>
      </c>
      <c r="I222" s="378">
        <f t="shared" si="635"/>
        <v>47746.3</v>
      </c>
      <c r="J222" s="350">
        <f t="shared" si="635"/>
        <v>47746.3</v>
      </c>
      <c r="K222" s="378">
        <f t="shared" si="635"/>
        <v>57689.6</v>
      </c>
      <c r="L222" s="378">
        <f t="shared" si="635"/>
        <v>59720.5</v>
      </c>
      <c r="M222" s="378">
        <f t="shared" si="635"/>
        <v>59946.7</v>
      </c>
      <c r="N222" s="378">
        <f t="shared" si="635"/>
        <v>54732.8</v>
      </c>
      <c r="O222" s="350">
        <f t="shared" si="635"/>
        <v>54732.8</v>
      </c>
      <c r="P222" s="378">
        <f t="shared" si="635"/>
        <v>66798.3</v>
      </c>
      <c r="Q222" s="378">
        <f t="shared" si="635"/>
        <v>63808</v>
      </c>
      <c r="R222" s="378">
        <f t="shared" si="635"/>
        <v>65816.2</v>
      </c>
      <c r="S222" s="378">
        <f t="shared" ref="S222" si="636">S129</f>
        <v>60900.4</v>
      </c>
      <c r="T222" s="350">
        <f t="shared" si="632"/>
        <v>60900.4</v>
      </c>
      <c r="U222" s="351">
        <f t="shared" ref="U222" si="637">T222*(1+U235)</f>
        <v>62118.408</v>
      </c>
      <c r="V222" s="351">
        <f t="shared" ref="V222" si="638">U222*(1+V235)</f>
        <v>63360.77616</v>
      </c>
      <c r="W222" s="351">
        <f t="shared" ref="W222" si="639">V222*(1+W235)</f>
        <v>64627.9916832</v>
      </c>
      <c r="X222" s="351">
        <f t="shared" ref="X222" si="640">W222*(1+X235)</f>
        <v>65920.551516864</v>
      </c>
      <c r="Y222" s="350">
        <f t="shared" si="633"/>
        <v>65920.551516864</v>
      </c>
      <c r="Z222" s="351">
        <f t="shared" ref="Z222:AC222" si="641">Y222*(1+Z235)</f>
        <v>67238.96254720128</v>
      </c>
      <c r="AA222" s="351">
        <f t="shared" si="641"/>
        <v>68583.74179814532</v>
      </c>
      <c r="AB222" s="351">
        <f t="shared" si="641"/>
        <v>69955.41663410823</v>
      </c>
      <c r="AC222" s="351">
        <f t="shared" si="641"/>
        <v>71354.5249667904</v>
      </c>
      <c r="AD222" s="350">
        <f t="shared" si="634"/>
        <v>71354.5249667904</v>
      </c>
      <c r="AE222" s="350">
        <f t="shared" ref="AE222:AG222" si="642">AD222*(1+AE235)</f>
        <v>76706.11433929967</v>
      </c>
      <c r="AF222" s="350">
        <f t="shared" si="642"/>
        <v>84376.72577322964</v>
      </c>
      <c r="AG222" s="350">
        <f t="shared" si="642"/>
        <v>91548.74746395416</v>
      </c>
      <c r="AH222" s="8"/>
      <c r="AI222" s="8"/>
      <c r="AJ222" s="8"/>
      <c r="AK222" s="8"/>
    </row>
    <row r="223" ht="15.75" customHeight="1" spans="1:37" x14ac:dyDescent="0.25">
      <c r="A223" s="260"/>
      <c r="B223" s="8"/>
      <c r="C223" s="8" t="s">
        <v>379</v>
      </c>
      <c r="D223" s="8"/>
      <c r="E223" s="8"/>
      <c r="F223" s="348">
        <f t="shared" ref="F223:X223" si="643">SUM(F221:F222)</f>
        <v>50526.8</v>
      </c>
      <c r="G223" s="348">
        <f t="shared" si="643"/>
        <v>52192.5</v>
      </c>
      <c r="H223" s="348">
        <f t="shared" si="643"/>
        <v>54531.4</v>
      </c>
      <c r="I223" s="348">
        <f t="shared" si="643"/>
        <v>49491.4</v>
      </c>
      <c r="J223" s="278">
        <f t="shared" si="643"/>
        <v>49491.4</v>
      </c>
      <c r="K223" s="348">
        <f t="shared" si="643"/>
        <v>59425.5</v>
      </c>
      <c r="L223" s="348">
        <f t="shared" si="643"/>
        <v>61458.7</v>
      </c>
      <c r="M223" s="348">
        <f t="shared" si="643"/>
        <v>61686.2</v>
      </c>
      <c r="N223" s="348">
        <f t="shared" si="643"/>
        <v>56468.9</v>
      </c>
      <c r="O223" s="278">
        <f t="shared" si="643"/>
        <v>56468.9</v>
      </c>
      <c r="P223" s="348">
        <f t="shared" si="643"/>
        <v>68622.3</v>
      </c>
      <c r="Q223" s="348">
        <f t="shared" si="643"/>
        <v>65630.8</v>
      </c>
      <c r="R223" s="348">
        <f t="shared" si="643"/>
        <v>67649.2</v>
      </c>
      <c r="S223" s="348">
        <f t="shared" ref="S223" si="644">SUM(S221:S222)</f>
        <v>62748.3</v>
      </c>
      <c r="T223" s="278">
        <f t="shared" si="643"/>
        <v>62748.3</v>
      </c>
      <c r="U223" s="277">
        <f t="shared" si="643"/>
        <v>63966.308000000005</v>
      </c>
      <c r="V223" s="277">
        <f t="shared" si="643"/>
        <v>65208.67616</v>
      </c>
      <c r="W223" s="277">
        <f t="shared" si="643"/>
        <v>66475.8916832</v>
      </c>
      <c r="X223" s="277">
        <f t="shared" si="643"/>
        <v>67768.45151686399</v>
      </c>
      <c r="Y223" s="278">
        <f t="shared" ref="Y223:AG223" si="645">SUM(Y221:Y222)</f>
        <v>67768.45151686399</v>
      </c>
      <c r="Z223" s="277">
        <f t="shared" si="645"/>
        <v>69086.86254720128</v>
      </c>
      <c r="AA223" s="277">
        <f t="shared" si="645"/>
        <v>70431.64179814531</v>
      </c>
      <c r="AB223" s="277">
        <f t="shared" si="645"/>
        <v>71803.31663410823</v>
      </c>
      <c r="AC223" s="277">
        <f t="shared" si="645"/>
        <v>73202.4249667904</v>
      </c>
      <c r="AD223" s="278">
        <f t="shared" si="645"/>
        <v>73202.4249667904</v>
      </c>
      <c r="AE223" s="278">
        <f t="shared" si="645"/>
        <v>78554.01433929967</v>
      </c>
      <c r="AF223" s="278">
        <f t="shared" si="645"/>
        <v>86224.62577322964</v>
      </c>
      <c r="AG223" s="278">
        <f t="shared" si="645"/>
        <v>93396.64746395416</v>
      </c>
      <c r="AH223" s="8"/>
      <c r="AI223" s="8"/>
      <c r="AJ223" s="8"/>
      <c r="AK223" s="8"/>
    </row>
    <row r="224" ht="15.75" customHeight="1" spans="1:37" x14ac:dyDescent="0.25">
      <c r="A224" s="298"/>
      <c r="B224" s="299"/>
      <c r="C224" s="110" t="s">
        <v>380</v>
      </c>
      <c r="D224" s="299"/>
      <c r="E224" s="299"/>
      <c r="F224" s="444"/>
      <c r="G224" s="445">
        <f t="shared" ref="G224" si="646">G223-F223</f>
        <v>1665.699999999997</v>
      </c>
      <c r="H224" s="445">
        <f t="shared" ref="H224" si="647">H223-G223</f>
        <v>2338.9000000000015</v>
      </c>
      <c r="I224" s="445">
        <f t="shared" ref="I224" si="648">I223-H223</f>
        <v>-5040</v>
      </c>
      <c r="J224" s="446">
        <f>J223-E223</f>
        <v>49491.4</v>
      </c>
      <c r="K224" s="445">
        <f t="shared" ref="K224" si="649">K223-J223</f>
        <v>9934.099999999999</v>
      </c>
      <c r="L224" s="445">
        <f t="shared" ref="L224" si="650">L223-K223</f>
        <v>2033.199999999997</v>
      </c>
      <c r="M224" s="445">
        <f t="shared" ref="M224" si="651">M223-L223</f>
        <v>227.5</v>
      </c>
      <c r="N224" s="445">
        <f t="shared" ref="N224" si="652">N223-M223</f>
        <v>-5217.299999999996</v>
      </c>
      <c r="O224" s="446">
        <f>O223-J223</f>
        <v>6977.5</v>
      </c>
      <c r="P224" s="445">
        <f t="shared" ref="P224" si="653">P223-O223</f>
        <v>12153.400000000001</v>
      </c>
      <c r="Q224" s="445">
        <f t="shared" ref="Q224" si="654">Q223-P223</f>
        <v>-2991.5</v>
      </c>
      <c r="R224" s="445">
        <f t="shared" ref="R224:S224" si="655">R223-Q223</f>
        <v>2018.3999999999942</v>
      </c>
      <c r="S224" s="445">
        <f t="shared" si="655"/>
        <v>-4900.899999999994</v>
      </c>
      <c r="T224" s="446">
        <f>T223-O223</f>
        <v>6279.4000000000015</v>
      </c>
      <c r="U224" s="447">
        <f t="shared" ref="U224" si="656">U223-T223</f>
        <v>1218.0080000000016</v>
      </c>
      <c r="V224" s="447">
        <f t="shared" ref="V224" si="657">V223-U223</f>
        <v>1242.3681599999982</v>
      </c>
      <c r="W224" s="447">
        <f t="shared" ref="W224" si="658">W223-V223</f>
        <v>1267.2155231999932</v>
      </c>
      <c r="X224" s="447">
        <f t="shared" ref="X224" si="659">X223-W223</f>
        <v>1292.559833663996</v>
      </c>
      <c r="Y224" s="446">
        <f>Y223-T223</f>
        <v>5020.151516863989</v>
      </c>
      <c r="Z224" s="447">
        <f t="shared" ref="Z224:AC224" si="660">Z223-Y223</f>
        <v>1318.4110303372872</v>
      </c>
      <c r="AA224" s="447">
        <f t="shared" si="660"/>
        <v>1344.7792509440333</v>
      </c>
      <c r="AB224" s="447">
        <f t="shared" si="660"/>
        <v>1371.6748359629128</v>
      </c>
      <c r="AC224" s="447">
        <f t="shared" si="660"/>
        <v>1399.108332682168</v>
      </c>
      <c r="AD224" s="446">
        <f>AD223-Y223</f>
        <v>5433.973449926401</v>
      </c>
      <c r="AE224" s="446">
        <f t="shared" ref="AE224:AG224" si="661">AE223-AD223</f>
        <v>5351.589372509276</v>
      </c>
      <c r="AF224" s="446">
        <f t="shared" si="661"/>
        <v>7670.6114339299675</v>
      </c>
      <c r="AG224" s="446">
        <f t="shared" si="661"/>
        <v>7172.021690724519</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603.1</v>
      </c>
      <c r="J226" s="278">
        <f t="shared" si="662"/>
        <v>603.1</v>
      </c>
      <c r="K226" s="348">
        <f t="shared" si="662"/>
        <v>0</v>
      </c>
      <c r="L226" s="348">
        <f t="shared" si="662"/>
        <v>0</v>
      </c>
      <c r="M226" s="348">
        <f t="shared" si="662"/>
        <v>0</v>
      </c>
      <c r="N226" s="348">
        <f t="shared" si="662"/>
        <v>687.1</v>
      </c>
      <c r="O226" s="278">
        <f t="shared" si="662"/>
        <v>687.1</v>
      </c>
      <c r="P226" s="348">
        <f t="shared" si="662"/>
        <v>0</v>
      </c>
      <c r="Q226" s="348">
        <f t="shared" si="662"/>
        <v>0</v>
      </c>
      <c r="R226" s="348">
        <f t="shared" si="662"/>
        <v>0</v>
      </c>
      <c r="S226" s="348">
        <f t="shared" ref="S226" si="663">S142</f>
        <v>738.1</v>
      </c>
      <c r="T226" s="278">
        <f t="shared" ref="T226:T227" si="664">S226</f>
        <v>738.1</v>
      </c>
      <c r="U226" s="277">
        <f t="shared" ref="U226:U227" si="665">T226</f>
        <v>738.1</v>
      </c>
      <c r="V226" s="277">
        <f t="shared" ref="V226:V227" si="666">U226</f>
        <v>738.1</v>
      </c>
      <c r="W226" s="277">
        <f t="shared" ref="W226:W227" si="667">V226</f>
        <v>738.1</v>
      </c>
      <c r="X226" s="277">
        <f t="shared" ref="X226:X227" si="668">W226</f>
        <v>738.1</v>
      </c>
      <c r="Y226" s="278">
        <f t="shared" ref="Y226:AG226" si="669">X226</f>
        <v>738.1</v>
      </c>
      <c r="Z226" s="277">
        <f t="shared" si="669"/>
        <v>738.1</v>
      </c>
      <c r="AA226" s="277">
        <f t="shared" si="669"/>
        <v>738.1</v>
      </c>
      <c r="AB226" s="277">
        <f t="shared" si="669"/>
        <v>738.1</v>
      </c>
      <c r="AC226" s="277">
        <f t="shared" si="669"/>
        <v>738.1</v>
      </c>
      <c r="AD226" s="278">
        <f t="shared" si="669"/>
        <v>738.1</v>
      </c>
      <c r="AE226" s="278">
        <f t="shared" si="669"/>
        <v>738.1</v>
      </c>
      <c r="AF226" s="278">
        <f t="shared" si="669"/>
        <v>738.1</v>
      </c>
      <c r="AG226" s="278">
        <f t="shared" si="669"/>
        <v>738.1</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603.1</v>
      </c>
      <c r="J228" s="278">
        <f t="shared" si="673"/>
        <v>603.1</v>
      </c>
      <c r="K228" s="348">
        <f t="shared" si="673"/>
        <v>0</v>
      </c>
      <c r="L228" s="348">
        <f t="shared" si="673"/>
        <v>0</v>
      </c>
      <c r="M228" s="348">
        <f t="shared" si="673"/>
        <v>0</v>
      </c>
      <c r="N228" s="348">
        <f t="shared" si="673"/>
        <v>687.1</v>
      </c>
      <c r="O228" s="278">
        <f t="shared" si="673"/>
        <v>687.1</v>
      </c>
      <c r="P228" s="348">
        <f t="shared" si="673"/>
        <v>0</v>
      </c>
      <c r="Q228" s="348">
        <f t="shared" si="673"/>
        <v>0</v>
      </c>
      <c r="R228" s="348">
        <f t="shared" si="673"/>
        <v>0</v>
      </c>
      <c r="S228" s="348">
        <f t="shared" ref="S228" si="674">SUM(S226:S227)</f>
        <v>738.1</v>
      </c>
      <c r="T228" s="278">
        <f t="shared" si="673"/>
        <v>738.1</v>
      </c>
      <c r="U228" s="277">
        <f t="shared" si="673"/>
        <v>738.1</v>
      </c>
      <c r="V228" s="277">
        <f t="shared" si="673"/>
        <v>738.1</v>
      </c>
      <c r="W228" s="277">
        <f t="shared" si="673"/>
        <v>738.1</v>
      </c>
      <c r="X228" s="277">
        <f t="shared" si="673"/>
        <v>738.1</v>
      </c>
      <c r="Y228" s="278">
        <f t="shared" ref="Y228:AG228" si="675">SUM(Y226:Y227)</f>
        <v>738.1</v>
      </c>
      <c r="Z228" s="277">
        <f t="shared" si="675"/>
        <v>738.1</v>
      </c>
      <c r="AA228" s="277">
        <f t="shared" si="675"/>
        <v>738.1</v>
      </c>
      <c r="AB228" s="277">
        <f t="shared" si="675"/>
        <v>738.1</v>
      </c>
      <c r="AC228" s="277">
        <f t="shared" si="675"/>
        <v>738.1</v>
      </c>
      <c r="AD228" s="278">
        <f t="shared" si="675"/>
        <v>738.1</v>
      </c>
      <c r="AE228" s="278">
        <f t="shared" si="675"/>
        <v>738.1</v>
      </c>
      <c r="AF228" s="278">
        <f t="shared" si="675"/>
        <v>738.1</v>
      </c>
      <c r="AG228" s="278">
        <f t="shared" si="675"/>
        <v>738.1</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603.1</v>
      </c>
      <c r="J229" s="446">
        <f>J228-E228</f>
        <v>603.1</v>
      </c>
      <c r="K229" s="445">
        <f t="shared" ref="K229" si="679">K228-J228</f>
        <v>-603.1</v>
      </c>
      <c r="L229" s="445">
        <f t="shared" ref="L229" si="680">L228-K228</f>
        <v>0</v>
      </c>
      <c r="M229" s="445">
        <f t="shared" ref="M229" si="681">M228-L228</f>
        <v>0</v>
      </c>
      <c r="N229" s="445">
        <f t="shared" ref="N229" si="682">N228-M228</f>
        <v>687.1</v>
      </c>
      <c r="O229" s="446">
        <f>O228-J228</f>
        <v>84</v>
      </c>
      <c r="P229" s="445">
        <f t="shared" ref="P229" si="683">P228-O228</f>
        <v>-687.1</v>
      </c>
      <c r="Q229" s="445">
        <f t="shared" ref="Q229" si="684">Q228-P228</f>
        <v>0</v>
      </c>
      <c r="R229" s="445">
        <f t="shared" ref="R229:S229" si="685">R228-Q228</f>
        <v>0</v>
      </c>
      <c r="S229" s="445">
        <f t="shared" si="685"/>
        <v>738.1</v>
      </c>
      <c r="T229" s="446">
        <f>T228-O228</f>
        <v>51</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-1665.699999999997</v>
      </c>
      <c r="H231" s="393">
        <f t="shared" si="692"/>
        <v>-2338.9000000000015</v>
      </c>
      <c r="I231" s="393">
        <f t="shared" si="692"/>
        <v>5643.1</v>
      </c>
      <c r="J231" s="394">
        <f t="shared" si="692"/>
        <v>-48888.3</v>
      </c>
      <c r="K231" s="393">
        <f t="shared" si="692"/>
        <v>-10537.199999999999</v>
      </c>
      <c r="L231" s="393">
        <f t="shared" si="692"/>
        <v>-2033.199999999997</v>
      </c>
      <c r="M231" s="393">
        <f t="shared" si="692"/>
        <v>-227.5</v>
      </c>
      <c r="N231" s="393">
        <f t="shared" si="692"/>
        <v>5904.399999999996</v>
      </c>
      <c r="O231" s="394">
        <f t="shared" si="692"/>
        <v>-6893.5</v>
      </c>
      <c r="P231" s="393">
        <f t="shared" si="692"/>
        <v>-12840.500000000002</v>
      </c>
      <c r="Q231" s="393">
        <f t="shared" si="692"/>
        <v>2991.5</v>
      </c>
      <c r="R231" s="393">
        <f t="shared" si="692"/>
        <v>-2018.3999999999942</v>
      </c>
      <c r="S231" s="393">
        <f t="shared" ref="S231" si="693">S229-S224</f>
        <v>5638.9999999999945</v>
      </c>
      <c r="T231" s="394">
        <f t="shared" si="692"/>
        <v>-6228.4000000000015</v>
      </c>
      <c r="U231" s="395">
        <f t="shared" si="692"/>
        <v>-1218.0080000000016</v>
      </c>
      <c r="V231" s="395">
        <f t="shared" si="692"/>
        <v>-1242.3681599999982</v>
      </c>
      <c r="W231" s="395">
        <f t="shared" si="692"/>
        <v>-1267.2155231999932</v>
      </c>
      <c r="X231" s="395">
        <f t="shared" si="692"/>
        <v>-1292.559833663996</v>
      </c>
      <c r="Y231" s="394">
        <f t="shared" ref="Y231:AG231" si="694">Y229-Y224</f>
        <v>-5020.151516863989</v>
      </c>
      <c r="Z231" s="395">
        <f t="shared" si="694"/>
        <v>-1318.4110303372872</v>
      </c>
      <c r="AA231" s="395">
        <f t="shared" si="694"/>
        <v>-1344.7792509440333</v>
      </c>
      <c r="AB231" s="395">
        <f t="shared" si="694"/>
        <v>-1371.6748359629128</v>
      </c>
      <c r="AC231" s="395">
        <f t="shared" si="694"/>
        <v>-1399.108332682168</v>
      </c>
      <c r="AD231" s="394">
        <f t="shared" si="694"/>
        <v>-5433.973449926401</v>
      </c>
      <c r="AE231" s="394">
        <f t="shared" si="694"/>
        <v>-5351.589372509276</v>
      </c>
      <c r="AF231" s="394">
        <f t="shared" si="694"/>
        <v>-7670.6114339299675</v>
      </c>
      <c r="AG231" s="416">
        <f t="shared" si="694"/>
        <v>-7172.021690724519</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0.032966663236143834</v>
      </c>
      <c r="H235" s="402">
        <f t="shared" ref="H235" si="696">H222/G222-1</f>
        <v>0.04481295205249802</v>
      </c>
      <c r="I235" s="402">
        <f t="shared" ref="I235" si="697">I222/H222-1</f>
        <v>-0.12442556031937557</v>
      </c>
      <c r="J235" s="403" t="e">
        <f>J222/E222-1</f>
        <v>#DIV/0!</v>
      </c>
      <c r="K235" s="402">
        <f>K222/I222-1</f>
        <v>0.20825278607975894</v>
      </c>
      <c r="L235" s="402">
        <f t="shared" ref="L235" si="698">L222/K222-1</f>
        <v>0.03520391890392727</v>
      </c>
      <c r="M235" s="402">
        <f t="shared" ref="M235" si="699">M222/L222-1</f>
        <v>0.0037876441088067203</v>
      </c>
      <c r="N235" s="402">
        <f t="shared" ref="N235" si="700">N222/M222-1</f>
        <v>-0.08697559665502841</v>
      </c>
      <c r="O235" s="403">
        <f>O222/J222-1</f>
        <v>0.14632547443466826</v>
      </c>
      <c r="P235" s="402">
        <f>P222/N222-1</f>
        <v>0.22044368276426574</v>
      </c>
      <c r="Q235" s="402">
        <f t="shared" ref="Q235" si="701">Q222/P222-1</f>
        <v>-0.0447661093171533</v>
      </c>
      <c r="R235" s="402">
        <f t="shared" ref="R235:S235" si="702">R222/Q222-1</f>
        <v>0.03147254262788368</v>
      </c>
      <c r="S235" s="402">
        <f t="shared" si="702"/>
        <v>-0.07468981800833219</v>
      </c>
      <c r="T235" s="403">
        <f>T222/O222-1</f>
        <v>0.11268562909260993</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0.08243216000000042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7.167934782608695</v>
      </c>
      <c r="G240" s="376">
        <f t="shared" si="705"/>
        <v>6.414460056202328</v>
      </c>
      <c r="H240" s="376">
        <f t="shared" si="705"/>
        <v>7.645707257072569</v>
      </c>
      <c r="I240" s="376">
        <f t="shared" si="705"/>
        <v>194.52313432835825</v>
      </c>
      <c r="J240" s="117">
        <f t="shared" si="705"/>
        <v>33.79167556029883</v>
      </c>
      <c r="K240" s="376">
        <f t="shared" si="705"/>
        <v>6.556252613969051</v>
      </c>
      <c r="L240" s="376">
        <f t="shared" si="705"/>
        <v>5.902844187963728</v>
      </c>
      <c r="M240" s="376">
        <f t="shared" si="705"/>
        <v>11.970140105078809</v>
      </c>
      <c r="N240" s="376">
        <f t="shared" si="705"/>
        <v>396.9780373831776</v>
      </c>
      <c r="O240" s="117">
        <f t="shared" si="705"/>
        <v>46.10288683602772</v>
      </c>
      <c r="P240" s="376">
        <f t="shared" si="705"/>
        <v>11.279836363636367</v>
      </c>
      <c r="Q240" s="376">
        <f t="shared" si="705"/>
        <v>11.835068181818183</v>
      </c>
      <c r="R240" s="376">
        <f t="shared" si="705"/>
        <v>14.818060606060609</v>
      </c>
      <c r="S240" s="376">
        <f t="shared" ref="S240" si="706">S53</f>
        <v>12.190156953174393</v>
      </c>
      <c r="T240" s="117">
        <f t="shared" si="705"/>
        <v>50.07293961793753</v>
      </c>
      <c r="U240" s="377">
        <f t="shared" si="705"/>
        <v>2.147337094968137</v>
      </c>
      <c r="V240" s="377">
        <f t="shared" si="705"/>
        <v>2.045177132559217</v>
      </c>
      <c r="W240" s="377">
        <f t="shared" si="705"/>
        <v>2.3272019839740694</v>
      </c>
      <c r="X240" s="377">
        <f t="shared" si="705"/>
        <v>1.3914486258957692</v>
      </c>
      <c r="Y240" s="117">
        <f t="shared" ref="Y240:AG240" si="707">Y53</f>
        <v>7.909121585087151</v>
      </c>
      <c r="Z240" s="377">
        <f t="shared" si="707"/>
        <v>2.0698197318849676</v>
      </c>
      <c r="AA240" s="377">
        <f t="shared" si="707"/>
        <v>2.2850287129908984</v>
      </c>
      <c r="AB240" s="377">
        <f t="shared" si="707"/>
        <v>2.883316720178032</v>
      </c>
      <c r="AC240" s="377">
        <f t="shared" si="707"/>
        <v>1.9042628205247811</v>
      </c>
      <c r="AD240" s="117">
        <f t="shared" si="707"/>
        <v>9.14063436718136</v>
      </c>
      <c r="AE240" s="117">
        <f t="shared" si="707"/>
        <v>8.9589278939765</v>
      </c>
      <c r="AF240" s="117">
        <f t="shared" si="707"/>
        <v>9.581473855270097</v>
      </c>
      <c r="AG240" s="117">
        <f t="shared" si="707"/>
        <v>9.526019741197373</v>
      </c>
      <c r="AH240" s="8"/>
      <c r="AI240" s="8"/>
      <c r="AJ240" s="8"/>
      <c r="AK240" s="8"/>
    </row>
    <row r="241" ht="15.75" customHeight="1" spans="1:37" x14ac:dyDescent="0.25">
      <c r="A241" s="260"/>
      <c r="B241" s="8"/>
      <c r="C241" s="130" t="s">
        <v>389</v>
      </c>
      <c r="D241" s="8"/>
      <c r="E241" s="8"/>
      <c r="F241" s="448">
        <f>F242/SUM(F240,B241:D241)</f>
        <v>5.302782621881872</v>
      </c>
      <c r="G241" s="449">
        <f>G242/SUM(F240:G240,C240:D240)</f>
        <v>2.558458976667619</v>
      </c>
      <c r="H241" s="449">
        <f>H242/SUM(F240:H240,D240)</f>
        <v>1.6365099358899609</v>
      </c>
      <c r="I241" s="449">
        <f>I242/SUM(F240:I240)</f>
        <v>0.1652829461884522</v>
      </c>
      <c r="J241" s="450">
        <f>J242/J240</f>
        <v>1.097583729366866</v>
      </c>
      <c r="K241" s="449">
        <f>K242/SUM(K240,G240:I240)</f>
        <v>0.1888541609216521</v>
      </c>
      <c r="L241" s="449">
        <f>L242/SUM(K240:L240,H240:I240)</f>
        <v>0.18944411573583791</v>
      </c>
      <c r="M241" s="449">
        <f>M242/SUM(K240:M240,I240)</f>
        <v>0.18597651978030755</v>
      </c>
      <c r="N241" s="449">
        <f>N242/SUM(K240:N240)</f>
        <v>0.09662861199676259</v>
      </c>
      <c r="O241" s="450">
        <f>O242/O240</f>
        <v>0.8829531120046926</v>
      </c>
      <c r="P241" s="449">
        <f>P242/SUM(P240,L240:N240)</f>
        <v>0.18982431915886802</v>
      </c>
      <c r="Q241" s="449">
        <f>Q242/SUM(P240:Q240,M240:N240)</f>
        <v>0.18541274024830837</v>
      </c>
      <c r="R241" s="449">
        <f>R242/SUM(P240:R240,N240)</f>
        <v>0.18348581556897808</v>
      </c>
      <c r="S241" s="449">
        <f>S242/SUM(P240:S240)</f>
        <v>0.8123995132416184</v>
      </c>
      <c r="T241" s="450">
        <f>T242/T240</f>
        <v>1.5332888604013257</v>
      </c>
      <c r="U241" s="451">
        <f>U242/SUM(U240,Q240:S240)</f>
        <v>0.9933979330564475</v>
      </c>
      <c r="V241" s="451">
        <f>V242/SUM(U240:V240,R240:S240)</f>
        <v>1.3050975944505385</v>
      </c>
      <c r="W241" s="451">
        <f>W242/SUM(U240:W240,S240)</f>
        <v>2.176391023156653</v>
      </c>
      <c r="X241" s="451">
        <f>X242/SUM(U240:X240)</f>
        <v>5.147156055643135</v>
      </c>
      <c r="Y241" s="450">
        <f>Y242/Y240</f>
        <v>5.148485778342135</v>
      </c>
      <c r="Z241" s="451">
        <f>Z242/SUM(Z240,V240:X240)</f>
        <v>5.198089412820528</v>
      </c>
      <c r="AA241" s="451">
        <f>AA242/SUM(Z240:AA240,W240:X240)</f>
        <v>5.043661951761085</v>
      </c>
      <c r="AB241" s="451">
        <f>AB242/SUM(Z240:AB240,X240)</f>
        <v>4.718635269947447</v>
      </c>
      <c r="AC241" s="451">
        <f>AC242/SUM(Z240:AC240)</f>
        <v>4.453959064728973</v>
      </c>
      <c r="AD241" s="450">
        <f t="shared" ref="AD241:AG241" si="708">AD242/AD240</f>
        <v>4.4548330415886195</v>
      </c>
      <c r="AE241" s="450">
        <f t="shared" si="708"/>
        <v>4.545186710050198</v>
      </c>
      <c r="AF241" s="450">
        <f t="shared" si="708"/>
        <v>4.2498680907638</v>
      </c>
      <c r="AG241" s="450">
        <f t="shared" si="708"/>
        <v>4.2746079796473</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37.08919328302797</v>
      </c>
      <c r="K242" s="452">
        <v>40.63</v>
      </c>
      <c r="L242" s="452">
        <v>40.66</v>
      </c>
      <c r="M242" s="453">
        <v>40.72</v>
      </c>
      <c r="N242" s="452">
        <v>40.72</v>
      </c>
      <c r="O242" s="117">
        <f>K242*(K243/(SUM(K243:N243)))+L242*(L243/(SUM(K243:N243)))+M242*(M243/(SUM(K243:N243)))+N242*(N243/(SUM(K243:N243)))</f>
        <v>40.70668740427085</v>
      </c>
      <c r="P242" s="452">
        <v>80.89</v>
      </c>
      <c r="Q242" s="452">
        <v>80.11</v>
      </c>
      <c r="R242" s="452">
        <v>79.8</v>
      </c>
      <c r="S242" s="452">
        <v>40.72</v>
      </c>
      <c r="T242" s="117">
        <f>P242*(P243/(SUM(P243:S243)))+Q242*(Q243/(SUM(P243:S243)))+R242*(R243/(SUM(P243:S243)))+S242*(S243/(SUM(P243:S243)))</f>
        <v>76.77628052373183</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 t="shared" ref="F243:I243" si="714">F244/F242</f>
        <v>8.895027624309394</v>
      </c>
      <c r="G243" s="353">
        <f t="shared" si="714"/>
        <v>8.17841726618705</v>
      </c>
      <c r="H243" s="353">
        <f t="shared" si="714"/>
        <v>3.347725964306275</v>
      </c>
      <c r="I243" s="456">
        <f t="shared" si="714"/>
        <v>-13.157599551318004</v>
      </c>
      <c r="J243" s="157">
        <f t="shared" ref="J243:J244" si="715">SUM(F243:I243)</f>
        <v>7.263571303484717</v>
      </c>
      <c r="K243" s="353">
        <f t="shared" ref="K243:N243" si="716">K244/K242</f>
        <v>1.2527688899827711</v>
      </c>
      <c r="L243" s="353">
        <f t="shared" si="716"/>
        <v>2.8061977373339895</v>
      </c>
      <c r="M243" s="456">
        <f t="shared" si="716"/>
        <v>0.0073673870333988214</v>
      </c>
      <c r="N243" s="353">
        <f t="shared" si="716"/>
        <v>17.05058939096267</v>
      </c>
      <c r="O243" s="157">
        <f t="shared" ref="O243:O244" si="717">SUM(K243:N243)</f>
        <v>21.11692340531283</v>
      </c>
      <c r="P243" s="353">
        <f>P244/P242</f>
        <v>0.5315861045864755</v>
      </c>
      <c r="Q243" s="353">
        <f>33.1-P243</f>
        <v>32.56841389541353</v>
      </c>
      <c r="R243" s="456">
        <f t="shared" ref="R243:S243" si="718">R244/R242</f>
        <v>0.0037593984962406013</v>
      </c>
      <c r="S243" s="353">
        <f t="shared" si="718"/>
        <v>3.0722003929273085</v>
      </c>
      <c r="T243" s="157">
        <f t="shared" ref="T243:T244" si="719">SUM(P243:S243)</f>
        <v>36.17595979142355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338.1</v>
      </c>
      <c r="G244" s="359">
        <v>284.2</v>
      </c>
      <c r="H244" s="359">
        <v>116.3</v>
      </c>
      <c r="I244" s="359">
        <v>-469.2</v>
      </c>
      <c r="J244" s="157">
        <f t="shared" si="715"/>
        <v>269.3999999999999</v>
      </c>
      <c r="K244" s="359">
        <v>50.9</v>
      </c>
      <c r="L244" s="359">
        <v>114.1</v>
      </c>
      <c r="M244" s="458">
        <v>0.3</v>
      </c>
      <c r="N244" s="359">
        <v>694.3</v>
      </c>
      <c r="O244" s="157">
        <f t="shared" si="717"/>
        <v>859.5999999999999</v>
      </c>
      <c r="P244" s="359">
        <v>43</v>
      </c>
      <c r="Q244" s="359">
        <v>0.9</v>
      </c>
      <c r="R244" s="458">
        <v>0.3</v>
      </c>
      <c r="S244" s="359">
        <v>125.1</v>
      </c>
      <c r="T244" s="157">
        <f t="shared" si="719"/>
        <v>169.29999999999998</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2309.8</v>
      </c>
      <c r="V247" s="277">
        <f t="shared" ref="V247" si="729">U250</f>
        <v>3056.9178702289137</v>
      </c>
      <c r="W247" s="277">
        <f t="shared" ref="W247" si="730">V250</f>
        <v>3113.5564502811467</v>
      </c>
      <c r="X247" s="277">
        <f t="shared" ref="X247" si="731">W250</f>
        <v>3179.060081149338</v>
      </c>
      <c r="Y247" s="278"/>
      <c r="Z247" s="277">
        <f t="shared" ref="Z247:AC247" si="732">Y250</f>
        <v>3223.212182672849</v>
      </c>
      <c r="AA247" s="277">
        <f t="shared" si="732"/>
        <v>3199.640560461522</v>
      </c>
      <c r="AB247" s="277">
        <f t="shared" si="732"/>
        <v>3301.103245751815</v>
      </c>
      <c r="AC247" s="277">
        <f t="shared" si="732"/>
        <v>3452.204719915405</v>
      </c>
      <c r="AD247" s="278">
        <f>Y250</f>
        <v>3223.212182672849</v>
      </c>
      <c r="AE247" s="278">
        <f t="shared" ref="AE247:AG247" si="733">AD250</f>
        <v>3540.7770025075642</v>
      </c>
      <c r="AF247" s="278">
        <f t="shared" si="733"/>
        <v>3789.600737680009</v>
      </c>
      <c r="AG247" s="278">
        <f t="shared" si="733"/>
        <v>4047.953091173161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78.2</v>
      </c>
      <c r="K249" s="349">
        <v>20.215</v>
      </c>
      <c r="L249" s="349">
        <v>14.357</v>
      </c>
      <c r="M249" s="463">
        <v>13.377</v>
      </c>
      <c r="N249" s="349">
        <v>15.17</v>
      </c>
      <c r="O249" s="350">
        <f t="shared" si="735"/>
        <v>43.9</v>
      </c>
      <c r="P249" s="349">
        <v>35.637</v>
      </c>
      <c r="Q249" s="349">
        <v>18.193</v>
      </c>
      <c r="R249" s="349">
        <v>13.98</v>
      </c>
      <c r="S249" s="349">
        <f>88.227-SUM(P249:R249)</f>
        <v>40.227000000000004</v>
      </c>
      <c r="T249" s="350">
        <f t="shared" si="736"/>
        <v>88.227</v>
      </c>
      <c r="U249" s="351">
        <f t="shared" ref="U249:X249" si="739">U252*U28</f>
        <v>54.87787022891359</v>
      </c>
      <c r="V249" s="351">
        <f t="shared" si="739"/>
        <v>56.63858005223315</v>
      </c>
      <c r="W249" s="351">
        <f t="shared" si="739"/>
        <v>65.50363086819156</v>
      </c>
      <c r="X249" s="351">
        <f t="shared" si="739"/>
        <v>44.152101523510694</v>
      </c>
      <c r="Y249" s="350">
        <f t="shared" si="737"/>
        <v>221.17218267284898</v>
      </c>
      <c r="Z249" s="351">
        <f t="shared" ref="Z249:AC249" si="740">Z252*Z28</f>
        <v>57.868377788673165</v>
      </c>
      <c r="AA249" s="351">
        <f t="shared" si="740"/>
        <v>60.74268529029314</v>
      </c>
      <c r="AB249" s="351">
        <f t="shared" si="740"/>
        <v>69.66147416358987</v>
      </c>
      <c r="AC249" s="351">
        <f t="shared" si="740"/>
        <v>47.85228259215911</v>
      </c>
      <c r="AD249" s="350">
        <f t="shared" si="738"/>
        <v>236.1248198347153</v>
      </c>
      <c r="AE249" s="350">
        <f t="shared" ref="AE249:AG249" si="741">AE252*AE28</f>
        <v>248.8237351724446</v>
      </c>
      <c r="AF249" s="350">
        <f t="shared" si="741"/>
        <v>258.3523534931518</v>
      </c>
      <c r="AG249" s="350">
        <f t="shared" si="741"/>
        <v>264.54388215213675</v>
      </c>
      <c r="AH249" s="8"/>
      <c r="AI249" s="8"/>
      <c r="AJ249" s="8"/>
      <c r="AK249" s="8"/>
    </row>
    <row r="250" ht="15.75" customHeight="1" spans="1:37" x14ac:dyDescent="0.25">
      <c r="A250" s="260"/>
      <c r="B250" s="8"/>
      <c r="C250" s="130" t="s">
        <v>397</v>
      </c>
      <c r="D250" s="8"/>
      <c r="E250" s="8"/>
      <c r="F250" s="348">
        <f t="shared" ref="F250:R250" si="742">F148</f>
        <v>2245.7</v>
      </c>
      <c r="G250" s="348">
        <f t="shared" si="742"/>
        <v>2196.9</v>
      </c>
      <c r="H250" s="348">
        <f t="shared" si="742"/>
        <v>2244.6</v>
      </c>
      <c r="I250" s="464">
        <f t="shared" si="742"/>
        <v>2193.9</v>
      </c>
      <c r="J250" s="278">
        <f t="shared" si="742"/>
        <v>2193.9</v>
      </c>
      <c r="K250" s="348">
        <f t="shared" si="742"/>
        <v>2238.6</v>
      </c>
      <c r="L250" s="348">
        <f t="shared" si="742"/>
        <v>2263.2</v>
      </c>
      <c r="M250" s="464">
        <f t="shared" si="742"/>
        <v>2291.8</v>
      </c>
      <c r="N250" s="348">
        <f t="shared" si="742"/>
        <v>2255.5</v>
      </c>
      <c r="O250" s="278">
        <f t="shared" si="742"/>
        <v>2255.5</v>
      </c>
      <c r="P250" s="348">
        <f t="shared" si="742"/>
        <v>2300.4</v>
      </c>
      <c r="Q250" s="348">
        <f t="shared" si="742"/>
        <v>2335.7</v>
      </c>
      <c r="R250" s="464">
        <f t="shared" si="742"/>
        <v>2351.7</v>
      </c>
      <c r="S250" s="348">
        <f t="shared" ref="S250" si="743">S148</f>
        <v>2309.8</v>
      </c>
      <c r="T250" s="278">
        <f>S250</f>
        <v>2309.8</v>
      </c>
      <c r="U250" s="277">
        <f t="shared" ref="U250:X250" si="744">SUM(U247:U249)</f>
        <v>3056.9178702289137</v>
      </c>
      <c r="V250" s="277">
        <f t="shared" si="744"/>
        <v>3113.5564502811467</v>
      </c>
      <c r="W250" s="277">
        <f t="shared" si="744"/>
        <v>3179.060081149338</v>
      </c>
      <c r="X250" s="277">
        <f t="shared" si="744"/>
        <v>3223.212182672849</v>
      </c>
      <c r="Y250" s="278">
        <f>X250</f>
        <v>3223.212182672849</v>
      </c>
      <c r="Z250" s="277">
        <f t="shared" ref="Z250:AG250" si="745">SUM(Z247:Z249)</f>
        <v>3199.640560461522</v>
      </c>
      <c r="AA250" s="277">
        <f t="shared" si="745"/>
        <v>3301.103245751815</v>
      </c>
      <c r="AB250" s="277">
        <f t="shared" si="745"/>
        <v>3452.204719915405</v>
      </c>
      <c r="AC250" s="277">
        <f t="shared" si="745"/>
        <v>3540.777002507564</v>
      </c>
      <c r="AD250" s="278">
        <f t="shared" si="745"/>
        <v>3540.7770025075642</v>
      </c>
      <c r="AE250" s="278">
        <f t="shared" si="745"/>
        <v>3789.600737680009</v>
      </c>
      <c r="AF250" s="278">
        <f t="shared" si="745"/>
        <v>4047.953091173161</v>
      </c>
      <c r="AG250" s="278">
        <f t="shared" si="745"/>
        <v>4312.496973325297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0.0030430799733965792</v>
      </c>
      <c r="G252" s="465">
        <f t="shared" si="746"/>
        <v>0.0047768836185934985</v>
      </c>
      <c r="H252" s="465">
        <f t="shared" si="746"/>
        <v>0.0031074352224053537</v>
      </c>
      <c r="I252" s="466">
        <f t="shared" si="746"/>
        <v>0.01028841710881822</v>
      </c>
      <c r="J252" s="467">
        <f t="shared" si="746"/>
        <v>0.005757120203074685</v>
      </c>
      <c r="K252" s="465">
        <f t="shared" si="746"/>
        <v>0.00411794763894316</v>
      </c>
      <c r="L252" s="465">
        <f t="shared" si="746"/>
        <v>0.0032113725406238626</v>
      </c>
      <c r="M252" s="466">
        <f t="shared" si="746"/>
        <v>0.003284425429009906</v>
      </c>
      <c r="N252" s="465">
        <f t="shared" si="746"/>
        <v>0.0016088998208949733</v>
      </c>
      <c r="O252" s="467">
        <f t="shared" si="746"/>
        <v>0.0028771850303274307</v>
      </c>
      <c r="P252" s="465">
        <f t="shared" si="746"/>
        <v>0.005758818404499403</v>
      </c>
      <c r="Q252" s="465">
        <f t="shared" si="746"/>
        <v>0.004012578318423168</v>
      </c>
      <c r="R252" s="466">
        <f t="shared" si="746"/>
        <v>0.003196889760266668</v>
      </c>
      <c r="S252" s="465">
        <f t="shared" ref="S252" si="747">S249/S28</f>
        <v>0.014526976762326288</v>
      </c>
      <c r="T252" s="467">
        <f>T249/T28</f>
        <v>0.0062763403800093</v>
      </c>
      <c r="U252" s="468">
        <f>S252</f>
        <v>0.014526976762326288</v>
      </c>
      <c r="V252" s="468">
        <f t="shared" ref="V252" si="748">U252</f>
        <v>0.014526976762326288</v>
      </c>
      <c r="W252" s="468">
        <f t="shared" ref="W252" si="749">V252</f>
        <v>0.014526976762326288</v>
      </c>
      <c r="X252" s="468">
        <f t="shared" ref="X252" si="750">W252</f>
        <v>0.014526976762326288</v>
      </c>
      <c r="Y252" s="467">
        <f>Y249/Y28</f>
        <v>0.014526976762326286</v>
      </c>
      <c r="Z252" s="468">
        <f>X252</f>
        <v>0.014526976762326288</v>
      </c>
      <c r="AA252" s="468">
        <f t="shared" ref="AA252:AC252" si="751">Z252</f>
        <v>0.014526976762326288</v>
      </c>
      <c r="AB252" s="468">
        <f t="shared" si="751"/>
        <v>0.014526976762326288</v>
      </c>
      <c r="AC252" s="468">
        <f t="shared" si="751"/>
        <v>0.014526976762326288</v>
      </c>
      <c r="AD252" s="467">
        <f>AD249/AD28</f>
        <v>0.01452697676232629</v>
      </c>
      <c r="AE252" s="469">
        <f>AC252</f>
        <v>0.014526976762326288</v>
      </c>
      <c r="AF252" s="469">
        <f t="shared" ref="AF252:AG252" si="752">AE252</f>
        <v>0.014526976762326288</v>
      </c>
      <c r="AG252" s="469">
        <f t="shared" si="752"/>
        <v>0.014526976762326288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v>
      </c>
      <c r="H255" s="348">
        <f t="shared" ref="H255" si="754">G259</f>
        <v>7868.8</v>
      </c>
      <c r="I255" s="464">
        <f t="shared" ref="I255" si="755">H259</f>
        <v>7852.5</v>
      </c>
      <c r="J255" s="278">
        <f>F255</f>
        <v>8003</v>
      </c>
      <c r="K255" s="348">
        <f t="shared" ref="K255" si="756">J259</f>
        <v>8418.4</v>
      </c>
      <c r="L255" s="348">
        <f t="shared" ref="L255" si="757">K259</f>
        <v>7937.9</v>
      </c>
      <c r="M255" s="464">
        <f t="shared" ref="M255" si="758">L259</f>
        <v>8022.5</v>
      </c>
      <c r="N255" s="348">
        <f t="shared" ref="N255" si="759">M259</f>
        <v>8124.1</v>
      </c>
      <c r="O255" s="278">
        <f>K255</f>
        <v>8418.4</v>
      </c>
      <c r="P255" s="348">
        <f t="shared" ref="P255" si="760">O259</f>
        <v>7849.8</v>
      </c>
      <c r="Q255" s="348">
        <f t="shared" ref="Q255" si="761">P259</f>
        <v>8311.9</v>
      </c>
      <c r="R255" s="464">
        <f t="shared" ref="R255:S255" si="762">Q259</f>
        <v>8309</v>
      </c>
      <c r="S255" s="348">
        <f t="shared" si="762"/>
        <v>8461.9</v>
      </c>
      <c r="T255" s="278">
        <f>O259</f>
        <v>7849.8</v>
      </c>
      <c r="U255" s="277">
        <f t="shared" ref="U255" si="763">T259</f>
        <v>8270.1</v>
      </c>
      <c r="V255" s="277">
        <f t="shared" ref="V255" si="764">U259</f>
        <v>8637.941300855176</v>
      </c>
      <c r="W255" s="277">
        <f t="shared" ref="W255" si="765">V259</f>
        <v>8996.325210316156</v>
      </c>
      <c r="X255" s="277">
        <f t="shared" ref="X255" si="766">W259</f>
        <v>9418.544349414991</v>
      </c>
      <c r="Y255" s="278">
        <f>T259</f>
        <v>8270.1</v>
      </c>
      <c r="Z255" s="277">
        <f t="shared" ref="Z255:AC255" si="767">Y259</f>
        <v>9624.474050760999</v>
      </c>
      <c r="AA255" s="277">
        <f t="shared" si="767"/>
        <v>9960.16361368819</v>
      </c>
      <c r="AB255" s="277">
        <f t="shared" si="767"/>
        <v>10338.800654787616</v>
      </c>
      <c r="AC255" s="277">
        <f t="shared" si="767"/>
        <v>10854.956756752292</v>
      </c>
      <c r="AD255" s="278">
        <f>Y259</f>
        <v>9624.474050760999</v>
      </c>
      <c r="AE255" s="278">
        <f t="shared" ref="AE255:AG255" si="768">AD259</f>
        <v>11151.072293363479</v>
      </c>
      <c r="AF255" s="278">
        <f t="shared" si="768"/>
        <v>12519.207124032819</v>
      </c>
      <c r="AG255" s="278">
        <f t="shared" si="768"/>
        <v>13893.147488804083</v>
      </c>
      <c r="AH255" s="8"/>
      <c r="AI255" s="8"/>
      <c r="AJ255" s="8"/>
      <c r="AK255" s="8"/>
    </row>
    <row r="256" ht="15.75" customHeight="1" spans="1:37" x14ac:dyDescent="0.25">
      <c r="A256" s="260"/>
      <c r="B256" s="8"/>
      <c r="C256" s="130" t="s">
        <v>287</v>
      </c>
      <c r="D256" s="8"/>
      <c r="E256" s="8"/>
      <c r="F256" s="353">
        <f t="shared" ref="F256:I256" si="769">F45</f>
        <v>1846.46</v>
      </c>
      <c r="G256" s="353">
        <f t="shared" si="769"/>
        <v>1597.8419999999999</v>
      </c>
      <c r="H256" s="353">
        <f t="shared" si="769"/>
        <v>1864.7879999999998</v>
      </c>
      <c r="I256" s="456">
        <f t="shared" si="769"/>
        <v>2606.6100000000006</v>
      </c>
      <c r="J256" s="157">
        <f t="shared" ref="J256:J258" si="770">SUM(F256:I256)</f>
        <v>7915.7</v>
      </c>
      <c r="K256" s="353">
        <f t="shared" ref="K256:N256" si="771">K45</f>
        <v>1567.6000000000001</v>
      </c>
      <c r="L256" s="353">
        <f t="shared" si="771"/>
        <v>1432.0300000000004</v>
      </c>
      <c r="M256" s="456">
        <f t="shared" si="771"/>
        <v>2733.98</v>
      </c>
      <c r="N256" s="353">
        <f t="shared" si="771"/>
        <v>4247.665</v>
      </c>
      <c r="O256" s="157">
        <f t="shared" ref="O256:O258" si="772">SUM(K256:N256)</f>
        <v>9981.275000000001</v>
      </c>
      <c r="P256" s="353">
        <f t="shared" ref="P256:S256" si="773">P45</f>
        <v>2481.5640000000008</v>
      </c>
      <c r="Q256" s="353">
        <f t="shared" si="773"/>
        <v>2603.715</v>
      </c>
      <c r="R256" s="456">
        <f t="shared" si="773"/>
        <v>3178.4740000000006</v>
      </c>
      <c r="S256" s="353">
        <f t="shared" si="773"/>
        <v>2622.053999999999</v>
      </c>
      <c r="T256" s="157">
        <f t="shared" ref="T256:T258" si="774">SUM(P256:S256)</f>
        <v>10885.807</v>
      </c>
      <c r="U256" s="355">
        <f t="shared" ref="U256:X256" si="775">U45</f>
        <v>479.0813008551753</v>
      </c>
      <c r="V256" s="355">
        <f t="shared" si="775"/>
        <v>471.66390946098</v>
      </c>
      <c r="W256" s="355">
        <f t="shared" si="775"/>
        <v>534.4191390988353</v>
      </c>
      <c r="X256" s="355">
        <f t="shared" si="775"/>
        <v>318.1657013460074</v>
      </c>
      <c r="Y256" s="157">
        <f t="shared" ref="Y256:Y258" si="776">SUM(U256:X256)</f>
        <v>1803.3300507609981</v>
      </c>
      <c r="Z256" s="355">
        <f t="shared" ref="Z256:AC256" si="777">Z45</f>
        <v>469.17756292719093</v>
      </c>
      <c r="AA256" s="355">
        <f t="shared" si="777"/>
        <v>514.5730410994248</v>
      </c>
      <c r="AB256" s="355">
        <f t="shared" si="777"/>
        <v>650.7961019646749</v>
      </c>
      <c r="AC256" s="355">
        <f t="shared" si="777"/>
        <v>430.79873661118893</v>
      </c>
      <c r="AD256" s="157">
        <f t="shared" ref="AD256:AD258" si="778">SUM(Z256:AC256)</f>
        <v>2065.3454426024796</v>
      </c>
      <c r="AE256" s="157">
        <f t="shared" ref="AE256:AG256" si="779">AE45</f>
        <v>2009.243998669339</v>
      </c>
      <c r="AF256" s="157">
        <f t="shared" si="779"/>
        <v>2111.2159079712637</v>
      </c>
      <c r="AG256" s="157">
        <f t="shared" si="779"/>
        <v>2061.566618964463</v>
      </c>
      <c r="AH256" s="8"/>
      <c r="AI256" s="8"/>
      <c r="AJ256" s="8"/>
      <c r="AK256" s="8"/>
    </row>
    <row r="257" ht="15.75" customHeight="1" spans="1:37" x14ac:dyDescent="0.25">
      <c r="A257" s="260"/>
      <c r="B257" s="8"/>
      <c r="C257" s="130" t="s">
        <v>399</v>
      </c>
      <c r="D257" s="8"/>
      <c r="E257" s="8"/>
      <c r="F257" s="458">
        <v>-68.769</v>
      </c>
      <c r="G257" s="359">
        <f>-138.7-F257</f>
        <v>-66.39999999999999</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-1846.5599999999995</v>
      </c>
      <c r="G258" s="378">
        <f>G259-SUM(G255:G257)</f>
        <v>-1593.242000000001</v>
      </c>
      <c r="H258" s="378">
        <f>H259-SUM(H255:H257)</f>
        <v>-1811.188</v>
      </c>
      <c r="I258" s="470">
        <f>I259-SUM(I255:I257)</f>
        <v>-2079.9100000000017</v>
      </c>
      <c r="J258" s="350">
        <f t="shared" si="770"/>
        <v>-7330.900000000002</v>
      </c>
      <c r="K258" s="378">
        <f>K259-SUM(K255:K257)</f>
        <v>-1978.2000000000007</v>
      </c>
      <c r="L258" s="378">
        <f>L259-SUM(L255:L257)</f>
        <v>-1277.5300000000007</v>
      </c>
      <c r="M258" s="470">
        <f>M259-SUM(M255:M257)</f>
        <v>-2550.779999999999</v>
      </c>
      <c r="N258" s="378">
        <f>N259-SUM(N255:N257)</f>
        <v>-4440.405</v>
      </c>
      <c r="O258" s="350">
        <f t="shared" si="772"/>
        <v>-10246.915</v>
      </c>
      <c r="P258" s="378">
        <f>P259-SUM(P255:P257)</f>
        <v>-1926.764000000001</v>
      </c>
      <c r="Q258" s="378">
        <f>Q259-SUM(Q255:Q257)</f>
        <v>-2512.215</v>
      </c>
      <c r="R258" s="470">
        <f>R259-SUM(R255:R257)</f>
        <v>-2932.0740000000005</v>
      </c>
      <c r="S258" s="378">
        <f>S259-SUM(S255:S257)</f>
        <v>-2720.323999999997</v>
      </c>
      <c r="T258" s="350">
        <f t="shared" si="774"/>
        <v>-10091.376999999999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v>
      </c>
      <c r="G259" s="348">
        <f t="shared" si="783"/>
        <v>7868.8</v>
      </c>
      <c r="H259" s="348">
        <f t="shared" si="783"/>
        <v>7852.5</v>
      </c>
      <c r="I259" s="464">
        <f t="shared" si="783"/>
        <v>8418.4</v>
      </c>
      <c r="J259" s="278">
        <f t="shared" si="783"/>
        <v>8418.4</v>
      </c>
      <c r="K259" s="348">
        <f t="shared" si="783"/>
        <v>7937.9</v>
      </c>
      <c r="L259" s="348">
        <f t="shared" si="783"/>
        <v>8022.5</v>
      </c>
      <c r="M259" s="464">
        <f t="shared" si="783"/>
        <v>8124.1</v>
      </c>
      <c r="N259" s="348">
        <f t="shared" si="783"/>
        <v>7849.8</v>
      </c>
      <c r="O259" s="278">
        <f t="shared" si="783"/>
        <v>7849.8</v>
      </c>
      <c r="P259" s="348">
        <f t="shared" si="783"/>
        <v>8311.9</v>
      </c>
      <c r="Q259" s="348">
        <f t="shared" si="783"/>
        <v>8309</v>
      </c>
      <c r="R259" s="464">
        <f t="shared" si="783"/>
        <v>8461.9</v>
      </c>
      <c r="S259" s="348">
        <f t="shared" ref="S259" si="784">S149</f>
        <v>8270.1</v>
      </c>
      <c r="T259" s="278">
        <f t="shared" ref="T259" si="785">SUM(T255:T258)</f>
        <v>8270.1</v>
      </c>
      <c r="U259" s="277">
        <f t="shared" ref="U259" si="786">SUM(U255:U258)</f>
        <v>8637.941300855176</v>
      </c>
      <c r="V259" s="277">
        <f t="shared" ref="V259" si="787">SUM(V255:V258)</f>
        <v>8996.325210316156</v>
      </c>
      <c r="W259" s="277">
        <f t="shared" ref="W259" si="788">SUM(W255:W258)</f>
        <v>9418.544349414991</v>
      </c>
      <c r="X259" s="277">
        <f t="shared" ref="X259" si="789">SUM(X255:X258)</f>
        <v>9624.474050760999</v>
      </c>
      <c r="Y259" s="278">
        <f t="shared" ref="Y259:AG259" si="790">SUM(Y255:Y258)</f>
        <v>9624.474050760999</v>
      </c>
      <c r="Z259" s="277">
        <f t="shared" si="790"/>
        <v>9960.16361368819</v>
      </c>
      <c r="AA259" s="277">
        <f t="shared" si="790"/>
        <v>10338.800654787616</v>
      </c>
      <c r="AB259" s="277">
        <f t="shared" si="790"/>
        <v>10854.956756752292</v>
      </c>
      <c r="AC259" s="277">
        <f t="shared" si="790"/>
        <v>11151.07229336348</v>
      </c>
      <c r="AD259" s="278">
        <f t="shared" si="790"/>
        <v>11151.072293363479</v>
      </c>
      <c r="AE259" s="278">
        <f t="shared" si="790"/>
        <v>12519.207124032819</v>
      </c>
      <c r="AF259" s="278">
        <f t="shared" si="790"/>
        <v>13893.147488804083</v>
      </c>
      <c r="AG259" s="278">
        <f t="shared" si="790"/>
        <v>15143.711010248546</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v>
      </c>
      <c r="H262" s="348">
        <f t="shared" ref="H262" si="792">G264</f>
        <v>-370.1</v>
      </c>
      <c r="I262" s="464">
        <f t="shared" ref="I262" si="793">H264</f>
        <v>-398.2</v>
      </c>
      <c r="J262" s="278">
        <f>F262</f>
        <v>8</v>
      </c>
      <c r="K262" s="348">
        <f t="shared" ref="K262" si="794">J264</f>
        <v>-379.4</v>
      </c>
      <c r="L262" s="348">
        <f t="shared" ref="L262" si="795">K264</f>
        <v>-396.4</v>
      </c>
      <c r="M262" s="348">
        <f t="shared" ref="M262" si="796">L264</f>
        <v>-410.7</v>
      </c>
      <c r="N262" s="348">
        <f t="shared" ref="N262" si="797">M264</f>
        <v>-370</v>
      </c>
      <c r="O262" s="278">
        <f>K262</f>
        <v>-379.4</v>
      </c>
      <c r="P262" s="348">
        <f t="shared" ref="P262" si="798">O264</f>
        <v>-395.5</v>
      </c>
      <c r="Q262" s="348">
        <f t="shared" ref="Q262" si="799">P264</f>
        <v>-408.1</v>
      </c>
      <c r="R262" s="348">
        <f t="shared" ref="R262:S262" si="800">Q264</f>
        <v>-339.7</v>
      </c>
      <c r="S262" s="348">
        <f t="shared" si="800"/>
        <v>-374.9</v>
      </c>
      <c r="T262" s="278">
        <f>O264</f>
        <v>-395.5</v>
      </c>
      <c r="U262" s="277">
        <f t="shared" ref="U262" si="801">T264</f>
        <v>-423.1</v>
      </c>
      <c r="V262" s="277">
        <f t="shared" ref="V262" si="802">U264</f>
        <v>-423.1</v>
      </c>
      <c r="W262" s="277">
        <f t="shared" ref="W262" si="803">V264</f>
        <v>-423.1</v>
      </c>
      <c r="X262" s="277">
        <f t="shared" ref="X262" si="804">W264</f>
        <v>-423.1</v>
      </c>
      <c r="Y262" s="278">
        <f>T264</f>
        <v>-423.1</v>
      </c>
      <c r="Z262" s="277">
        <f t="shared" ref="Z262:AC262" si="805">Y264</f>
        <v>-423.1</v>
      </c>
      <c r="AA262" s="277">
        <f t="shared" si="805"/>
        <v>-423.1</v>
      </c>
      <c r="AB262" s="277">
        <f t="shared" si="805"/>
        <v>-423.1</v>
      </c>
      <c r="AC262" s="277">
        <f t="shared" si="805"/>
        <v>-423.1</v>
      </c>
      <c r="AD262" s="278">
        <f>Y264</f>
        <v>-423.1</v>
      </c>
      <c r="AE262" s="278">
        <f t="shared" ref="AE262:AG262" si="806">AD264</f>
        <v>-423.1</v>
      </c>
      <c r="AF262" s="278">
        <f t="shared" si="806"/>
        <v>-423.1</v>
      </c>
      <c r="AG262" s="278">
        <f t="shared" si="806"/>
        <v>-423.1</v>
      </c>
      <c r="AH262" s="8"/>
      <c r="AI262" s="8"/>
      <c r="AJ262" s="8"/>
      <c r="AK262" s="8"/>
    </row>
    <row r="263" ht="15.75" customHeight="1" spans="1:37" x14ac:dyDescent="0.25">
      <c r="A263" s="260"/>
      <c r="B263" s="8"/>
      <c r="C263" s="130" t="s">
        <v>402</v>
      </c>
      <c r="D263" s="8"/>
      <c r="E263" s="8"/>
      <c r="F263" s="378">
        <f t="shared" ref="F263:I263" si="807">F264-F262</f>
        <v>-429.1</v>
      </c>
      <c r="G263" s="378">
        <f t="shared" si="807"/>
        <v>51</v>
      </c>
      <c r="H263" s="378">
        <f t="shared" si="807"/>
        <v>-28.099999999999966</v>
      </c>
      <c r="I263" s="470">
        <f t="shared" si="807"/>
        <v>18.80000000000001</v>
      </c>
      <c r="J263" s="350">
        <f>SUM(F263:I263)</f>
        <v>-387.4</v>
      </c>
      <c r="K263" s="378">
        <f t="shared" ref="K263:N263" si="808">K264-K262</f>
        <v>-17</v>
      </c>
      <c r="L263" s="378">
        <f t="shared" si="808"/>
        <v>-14.300000000000011</v>
      </c>
      <c r="M263" s="378">
        <f t="shared" si="808"/>
        <v>40.69999999999999</v>
      </c>
      <c r="N263" s="378">
        <f t="shared" si="808"/>
        <v>-25.5</v>
      </c>
      <c r="O263" s="350">
        <f>SUM(K263:N263)</f>
        <v>-16.100000000000023</v>
      </c>
      <c r="P263" s="378">
        <f t="shared" ref="P263:S263" si="809">P264-P262</f>
        <v>-12.600000000000023</v>
      </c>
      <c r="Q263" s="378">
        <f t="shared" si="809"/>
        <v>68.40000000000003</v>
      </c>
      <c r="R263" s="378">
        <f t="shared" si="809"/>
        <v>-35.19999999999999</v>
      </c>
      <c r="S263" s="378">
        <f t="shared" si="809"/>
        <v>-48.200000000000045</v>
      </c>
      <c r="T263" s="350">
        <f>SUM(P263:S263)</f>
        <v>-27.600000000000023</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v>
      </c>
      <c r="G264" s="348">
        <f>G151</f>
        <v>-370.1</v>
      </c>
      <c r="H264" s="348">
        <f>H151</f>
        <v>-398.2</v>
      </c>
      <c r="I264" s="348">
        <f>I151</f>
        <v>-379.4</v>
      </c>
      <c r="J264" s="278">
        <f>SUM(J262:J263)</f>
        <v>-379.4</v>
      </c>
      <c r="K264" s="348">
        <f>K151</f>
        <v>-396.4</v>
      </c>
      <c r="L264" s="348">
        <f>L151</f>
        <v>-410.7</v>
      </c>
      <c r="M264" s="348">
        <f>M151</f>
        <v>-370</v>
      </c>
      <c r="N264" s="348">
        <f>N151</f>
        <v>-395.5</v>
      </c>
      <c r="O264" s="278">
        <f>SUM(O262:O263)</f>
        <v>-395.5</v>
      </c>
      <c r="P264" s="348">
        <f>P151</f>
        <v>-408.1</v>
      </c>
      <c r="Q264" s="348">
        <f>Q151</f>
        <v>-339.7</v>
      </c>
      <c r="R264" s="348">
        <f>R151</f>
        <v>-374.9</v>
      </c>
      <c r="S264" s="348">
        <f>S151</f>
        <v>-423.1</v>
      </c>
      <c r="T264" s="278">
        <f t="shared" ref="T264:X264" si="810">SUM(T262:T263)</f>
        <v>-423.1</v>
      </c>
      <c r="U264" s="277">
        <f t="shared" si="810"/>
        <v>-423.1</v>
      </c>
      <c r="V264" s="277">
        <f t="shared" si="810"/>
        <v>-423.1</v>
      </c>
      <c r="W264" s="277">
        <f t="shared" si="810"/>
        <v>-423.1</v>
      </c>
      <c r="X264" s="277">
        <f t="shared" si="810"/>
        <v>-423.1</v>
      </c>
      <c r="Y264" s="278">
        <f t="shared" ref="Y264:AG264" si="811">SUM(Y262:Y263)</f>
        <v>-423.1</v>
      </c>
      <c r="Z264" s="277">
        <f t="shared" si="811"/>
        <v>-423.1</v>
      </c>
      <c r="AA264" s="277">
        <f t="shared" si="811"/>
        <v>-423.1</v>
      </c>
      <c r="AB264" s="277">
        <f t="shared" si="811"/>
        <v>-423.1</v>
      </c>
      <c r="AC264" s="277">
        <f t="shared" si="811"/>
        <v>-423.1</v>
      </c>
      <c r="AD264" s="278">
        <f t="shared" si="811"/>
        <v>-423.1</v>
      </c>
      <c r="AE264" s="278">
        <f t="shared" si="811"/>
        <v>-423.1</v>
      </c>
      <c r="AF264" s="278">
        <f t="shared" si="811"/>
        <v>-423.1</v>
      </c>
      <c r="AG264" s="278">
        <f t="shared" si="811"/>
        <v>-423.1</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0.280667701863354</v>
      </c>
      <c r="G267" s="376">
        <f t="shared" si="812"/>
        <v>0.26655961461260536</v>
      </c>
      <c r="H267" s="376">
        <f t="shared" si="812"/>
        <v>0.2865928659286593</v>
      </c>
      <c r="I267" s="376">
        <f t="shared" si="812"/>
        <v>-2.9253731343283573</v>
      </c>
      <c r="J267" s="117">
        <f t="shared" si="812"/>
        <v>0.7231590181430096</v>
      </c>
      <c r="K267" s="376">
        <f t="shared" si="812"/>
        <v>0.29234629861982436</v>
      </c>
      <c r="L267" s="376">
        <f t="shared" si="812"/>
        <v>0.28812860676009894</v>
      </c>
      <c r="M267" s="376">
        <f t="shared" si="812"/>
        <v>0.3572679509632224</v>
      </c>
      <c r="N267" s="376">
        <f t="shared" si="812"/>
        <v>7.622429906542054</v>
      </c>
      <c r="O267" s="117">
        <f t="shared" si="812"/>
        <v>1.399353348729792</v>
      </c>
      <c r="P267" s="376">
        <f t="shared" si="812"/>
        <v>0.4213636363636364</v>
      </c>
      <c r="Q267" s="376">
        <f t="shared" si="812"/>
        <v>0.4290909090909091</v>
      </c>
      <c r="R267" s="376">
        <f t="shared" si="812"/>
        <v>0.435897435897436</v>
      </c>
      <c r="S267" s="376">
        <f t="shared" ref="S267" si="813">S270/S269</f>
        <v>0.43482909956484533</v>
      </c>
      <c r="T267" s="228">
        <f t="shared" si="812"/>
        <v>1.7209370788274094</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0.029536195934054616</v>
      </c>
      <c r="G268" s="402">
        <f>4*G267/G242</f>
        <v>0.03068312110648695</v>
      </c>
      <c r="H268" s="402">
        <f>4*H267/H242</f>
        <v>0.03299860287031195</v>
      </c>
      <c r="I268" s="402">
        <f>4*I267/I242</f>
        <v>-0.3281405647031248</v>
      </c>
      <c r="J268" s="403">
        <f>J267/J242</f>
        <v>0.019497836273347245</v>
      </c>
      <c r="K268" s="402">
        <f>4*K267/K242</f>
        <v>0.028781324008843156</v>
      </c>
      <c r="L268" s="402">
        <f>4*L267/L242</f>
        <v>0.028345165446148447</v>
      </c>
      <c r="M268" s="402">
        <f>4*M267/M242</f>
        <v>0.03509508359167214</v>
      </c>
      <c r="N268" s="402">
        <f>4*N267/N242</f>
        <v>0.7487652167526576</v>
      </c>
      <c r="O268" s="403">
        <f>O267/O242</f>
        <v>0.03437649776884019</v>
      </c>
      <c r="P268" s="402">
        <f>4*P267/P242</f>
        <v>0.020836377122691874</v>
      </c>
      <c r="Q268" s="402">
        <f>4*Q267/Q242</f>
        <v>0.0214250859613486</v>
      </c>
      <c r="R268" s="402">
        <f>4*R267/R242</f>
        <v>0.021849495533706065</v>
      </c>
      <c r="S268" s="402">
        <f>4*S267/S242</f>
        <v>0.042714056931713686</v>
      </c>
      <c r="T268" s="403">
        <f>T267/T242</f>
        <v>0.022414957680783474</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257.6</v>
      </c>
      <c r="G269" s="353">
        <f t="shared" si="815"/>
        <v>249.1</v>
      </c>
      <c r="H269" s="353">
        <f t="shared" si="815"/>
        <v>243.9</v>
      </c>
      <c r="I269" s="353">
        <f t="shared" si="815"/>
        <v>13.4</v>
      </c>
      <c r="J269" s="157">
        <f t="shared" si="815"/>
        <v>234.25</v>
      </c>
      <c r="K269" s="353">
        <f t="shared" si="815"/>
        <v>239.1</v>
      </c>
      <c r="L269" s="353">
        <f t="shared" si="815"/>
        <v>242.6</v>
      </c>
      <c r="M269" s="353">
        <f t="shared" si="815"/>
        <v>228.4</v>
      </c>
      <c r="N269" s="353">
        <f t="shared" si="815"/>
        <v>10.7</v>
      </c>
      <c r="O269" s="157">
        <f t="shared" si="815"/>
        <v>216.5</v>
      </c>
      <c r="P269" s="353">
        <f t="shared" si="815"/>
        <v>220</v>
      </c>
      <c r="Q269" s="353">
        <f t="shared" si="815"/>
        <v>220</v>
      </c>
      <c r="R269" s="353">
        <f t="shared" si="815"/>
        <v>214.5</v>
      </c>
      <c r="S269" s="353">
        <f t="shared" ref="S269" si="816">S285</f>
        <v>215.096</v>
      </c>
      <c r="T269" s="157">
        <f t="shared" si="815"/>
        <v>217.399</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72.3</v>
      </c>
      <c r="G270" s="348">
        <f>-G257</f>
        <v>66.39999999999999</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338.1</v>
      </c>
      <c r="G275" s="353">
        <f t="shared" si="827"/>
        <v>284.2</v>
      </c>
      <c r="H275" s="353">
        <f t="shared" si="827"/>
        <v>116.3</v>
      </c>
      <c r="I275" s="353">
        <f t="shared" si="827"/>
        <v>-469.2</v>
      </c>
      <c r="J275" s="157">
        <f t="shared" si="827"/>
        <v>269.3999999999999</v>
      </c>
      <c r="K275" s="353">
        <f t="shared" si="827"/>
        <v>50.9</v>
      </c>
      <c r="L275" s="353">
        <f t="shared" si="827"/>
        <v>114.1</v>
      </c>
      <c r="M275" s="353">
        <f t="shared" si="827"/>
        <v>0.3</v>
      </c>
      <c r="N275" s="353">
        <f t="shared" si="827"/>
        <v>694.3</v>
      </c>
      <c r="O275" s="157">
        <f t="shared" si="827"/>
        <v>859.5999999999999</v>
      </c>
      <c r="P275" s="353">
        <f t="shared" si="827"/>
        <v>43</v>
      </c>
      <c r="Q275" s="353">
        <f t="shared" si="827"/>
        <v>0.9</v>
      </c>
      <c r="R275" s="353">
        <f t="shared" si="827"/>
        <v>0.3</v>
      </c>
      <c r="S275" s="353">
        <f t="shared" ref="S275" si="828">S244</f>
        <v>125.1</v>
      </c>
      <c r="T275" s="157">
        <f t="shared" si="824"/>
        <v>169.29999999999998</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-0.03319502074688785</v>
      </c>
      <c r="L276" s="402">
        <f t="shared" ref="L276" si="834">L270/G270-1</f>
        <v>0.05271084337349419</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217.399</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9</v>
      </c>
      <c r="G286" s="378">
        <f t="shared" si="860"/>
        <v>2.9000000000000057</v>
      </c>
      <c r="H286" s="378">
        <f t="shared" si="860"/>
        <v>7.299999999999983</v>
      </c>
      <c r="I286" s="378">
        <f t="shared" si="860"/>
        <v>0</v>
      </c>
      <c r="J286" s="350">
        <f t="shared" si="860"/>
        <v>1.3499999999999943</v>
      </c>
      <c r="K286" s="378">
        <f t="shared" si="860"/>
        <v>9</v>
      </c>
      <c r="L286" s="378">
        <f t="shared" si="860"/>
        <v>2.8000000000000114</v>
      </c>
      <c r="M286" s="378">
        <f t="shared" si="860"/>
        <v>3.5999999999999943</v>
      </c>
      <c r="N286" s="378">
        <f t="shared" si="860"/>
        <v>4.200000000000001</v>
      </c>
      <c r="O286" s="350">
        <f t="shared" si="860"/>
        <v>7.199999999999989</v>
      </c>
      <c r="P286" s="378">
        <f t="shared" si="860"/>
        <v>5.300000000000011</v>
      </c>
      <c r="Q286" s="378">
        <f t="shared" si="860"/>
        <v>6.099999999999994</v>
      </c>
      <c r="R286" s="378">
        <f t="shared" si="860"/>
        <v>7.199999999999989</v>
      </c>
      <c r="S286" s="378">
        <f t="shared" ref="S286" si="861">S287-S285</f>
        <v>-202.696</v>
      </c>
      <c r="T286" s="350">
        <f>T287-T285</f>
        <v>-46.02400000000003</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171.37499999999997</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34852.60495603408</v>
      </c>
      <c r="V291" s="277">
        <f>V87</f>
        <v>-41715.19178188113</v>
      </c>
      <c r="W291" s="277">
        <f>W87</f>
        <v>-3089.942522595564</v>
      </c>
      <c r="X291" s="277">
        <f>X87</f>
        <v>-18782.381717549473</v>
      </c>
      <c r="Y291" s="8"/>
      <c r="Z291" s="277">
        <f>Z87</f>
        <v>20822.586797863718</v>
      </c>
      <c r="AA291" s="277">
        <f>AA87</f>
        <v>-2121.4855711123737</v>
      </c>
      <c r="AB291" s="277">
        <f>AB87</f>
        <v>-3653.9125897958456</v>
      </c>
      <c r="AC291" s="277">
        <f>AC87</f>
        <v>-19360.100051142585</v>
      </c>
      <c r="AD291" s="8"/>
      <c r="AE291" s="278">
        <f>AE87</f>
        <v>9200.65648667675</v>
      </c>
      <c r="AF291" s="278">
        <f>AF87</f>
        <v>-10051.296521304435</v>
      </c>
      <c r="AG291" s="278">
        <f>AG87</f>
        <v>-12146.995936760126</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12153.4</v>
      </c>
      <c r="V295" s="355">
        <f>V102</f>
        <v>47353.80495603409</v>
      </c>
      <c r="W295" s="355">
        <f>W102</f>
        <v>5735.333174152962</v>
      </c>
      <c r="X295" s="355">
        <f>X102</f>
        <v>2743.1906515573983</v>
      </c>
      <c r="Y295" s="8"/>
      <c r="Z295" s="355">
        <f>Z102</f>
        <v>0</v>
      </c>
      <c r="AA295" s="355">
        <f>AA102</f>
        <v>4876.231731871641</v>
      </c>
      <c r="AB295" s="355">
        <f>AB102</f>
        <v>2869.530160759268</v>
      </c>
      <c r="AC295" s="355">
        <f>AC102</f>
        <v>0</v>
      </c>
      <c r="AD295" s="8"/>
      <c r="AE295" s="157">
        <f>AE102</f>
        <v>-4.547473508864641e-13</v>
      </c>
      <c r="AF295" s="157">
        <f>AF102</f>
        <v>1.3642420526593924e-12</v>
      </c>
      <c r="AG295" s="157">
        <f>AG102</f>
        <v>-4.547473508864641e-13</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0</v>
      </c>
      <c r="V296" s="355">
        <f>V302*V28</f>
        <v>0</v>
      </c>
      <c r="W296" s="355">
        <f>W302*W28</f>
        <v>0</v>
      </c>
      <c r="X296" s="355">
        <f>X302*X28</f>
        <v>0</v>
      </c>
      <c r="Y296" s="8"/>
      <c r="Z296" s="355">
        <f>Z302*Z28</f>
        <v>0</v>
      </c>
      <c r="AA296" s="355">
        <f>AA302*AA28</f>
        <v>0</v>
      </c>
      <c r="AB296" s="355">
        <f>AB302*AB28</f>
        <v>0</v>
      </c>
      <c r="AC296" s="355">
        <f>AC302*AC28</f>
        <v>0</v>
      </c>
      <c r="AD296" s="8"/>
      <c r="AE296" s="157">
        <f>AE302*AE28</f>
        <v>0</v>
      </c>
      <c r="AF296" s="157">
        <f>AF302*AF28</f>
        <v>0</v>
      </c>
      <c r="AG296" s="157">
        <f>AG302*AG28</f>
        <v>0</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47547.004956034085</v>
      </c>
      <c r="V297" s="277">
        <f t="shared" si="871"/>
        <v>5485.333174152962</v>
      </c>
      <c r="W297" s="277">
        <f t="shared" si="871"/>
        <v>2493.1906515573983</v>
      </c>
      <c r="X297" s="277">
        <f t="shared" si="871"/>
        <v>-16191.427065992077</v>
      </c>
      <c r="Y297" s="8"/>
      <c r="Z297" s="277">
        <f t="shared" ref="Z297:AC297" si="872">SUM(Z291:Z296)</f>
        <v>20567.658797863718</v>
      </c>
      <c r="AA297" s="277">
        <f t="shared" si="872"/>
        <v>2619.5301607592673</v>
      </c>
      <c r="AB297" s="277">
        <f t="shared" si="872"/>
        <v>-877.5824290365777</v>
      </c>
      <c r="AC297" s="277">
        <f t="shared" si="872"/>
        <v>-19494.063251142583</v>
      </c>
      <c r="AD297" s="8"/>
      <c r="AE297" s="278">
        <f t="shared" ref="AE297:AG297" si="873">SUM(AE291:AE296)</f>
        <v>8399.547318676749</v>
      </c>
      <c r="AF297" s="278">
        <f t="shared" si="873"/>
        <v>-10948.572064504433</v>
      </c>
      <c r="AG297" s="278">
        <f t="shared" si="873"/>
        <v>-13117.999034280127</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47797.004956034085</v>
      </c>
      <c r="V300" s="277">
        <f t="shared" si="874"/>
        <v>5735.333174152962</v>
      </c>
      <c r="W300" s="277">
        <f t="shared" si="874"/>
        <v>2743.1906515573983</v>
      </c>
      <c r="X300" s="277">
        <f t="shared" si="874"/>
        <v>-15941.427065992077</v>
      </c>
      <c r="Y300" s="8"/>
      <c r="Z300" s="277">
        <f t="shared" ref="Z300:AC300" si="875">SUM(Z297:Z299)</f>
        <v>20817.658797863718</v>
      </c>
      <c r="AA300" s="277">
        <f t="shared" si="875"/>
        <v>2869.5301607592673</v>
      </c>
      <c r="AB300" s="277">
        <f t="shared" si="875"/>
        <v>-627.5824290365777</v>
      </c>
      <c r="AC300" s="277">
        <f t="shared" si="875"/>
        <v>-19244.063251142583</v>
      </c>
      <c r="AD300" s="8"/>
      <c r="AE300" s="278">
        <f t="shared" ref="AE300:AG300" si="876">SUM(AE297:AE299)</f>
        <v>9899.547318676749</v>
      </c>
      <c r="AF300" s="278">
        <f t="shared" si="876"/>
        <v>-9448.572064504433</v>
      </c>
      <c r="AG300" s="278">
        <f t="shared" si="876"/>
        <v>-11617.999034280127</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v>
      </c>
      <c r="H302" s="484">
        <f t="shared" si="877"/>
        <v>0</v>
      </c>
      <c r="I302" s="484">
        <f t="shared" si="877"/>
        <v>0</v>
      </c>
      <c r="J302" s="485">
        <f t="shared" si="877"/>
        <v>0</v>
      </c>
      <c r="K302" s="484">
        <f t="shared" si="877"/>
        <v>0</v>
      </c>
      <c r="L302" s="484">
        <f t="shared" si="877"/>
        <v>0</v>
      </c>
      <c r="M302" s="484">
        <f t="shared" si="877"/>
        <v>0</v>
      </c>
      <c r="N302" s="484">
        <f t="shared" si="877"/>
        <v>0</v>
      </c>
      <c r="O302" s="485">
        <f t="shared" si="877"/>
        <v>0</v>
      </c>
      <c r="P302" s="484">
        <f t="shared" si="877"/>
        <v>0</v>
      </c>
      <c r="Q302" s="484">
        <f t="shared" si="877"/>
        <v>0</v>
      </c>
      <c r="R302" s="484">
        <f t="shared" si="877"/>
        <v>0</v>
      </c>
      <c r="S302" s="484">
        <f t="shared" ref="S302" si="878">S180/S28</f>
        <v>0</v>
      </c>
      <c r="T302" s="485">
        <f t="shared" si="877"/>
        <v>0</v>
      </c>
      <c r="U302" s="486">
        <f>+AVERAGE(F302:T302)</f>
        <v>0</v>
      </c>
      <c r="V302" s="486">
        <f t="shared" ref="V302:X302" si="879">+AVERAGE(G302:U302)</f>
        <v>0</v>
      </c>
      <c r="W302" s="486">
        <f t="shared" si="879"/>
        <v>0</v>
      </c>
      <c r="X302" s="486">
        <f t="shared" si="879"/>
        <v>0</v>
      </c>
      <c r="Y302" s="8"/>
      <c r="Z302" s="486">
        <f t="shared" ref="Z302:AC302" si="880">AVERAGE($F$302:$V$302)</f>
        <v>0</v>
      </c>
      <c r="AA302" s="486">
        <f t="shared" si="880"/>
        <v>0</v>
      </c>
      <c r="AB302" s="486">
        <f t="shared" si="880"/>
        <v>0</v>
      </c>
      <c r="AC302" s="486">
        <f t="shared" si="880"/>
        <v>0</v>
      </c>
      <c r="AD302" s="8"/>
      <c r="AE302" s="485">
        <f t="shared" ref="AE302:AG302" si="881">AVERAGE($F$302:$V$302)</f>
        <v>0</v>
      </c>
      <c r="AF302" s="485">
        <f t="shared" si="881"/>
        <v>0</v>
      </c>
      <c r="AG302" s="485">
        <f t="shared" si="881"/>
        <v>0</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477.8</v>
      </c>
      <c r="H305" s="348">
        <f t="shared" ref="H305" si="884">G307</f>
        <v>846.9</v>
      </c>
      <c r="I305" s="348">
        <f t="shared" ref="I305" si="885">H307</f>
        <v>924.9</v>
      </c>
      <c r="J305" s="278">
        <f>F305</f>
        <v>0</v>
      </c>
      <c r="K305" s="348">
        <f t="shared" ref="K305" si="886">J307</f>
        <v>528.4</v>
      </c>
      <c r="L305" s="348">
        <f t="shared" ref="L305" si="887">K307</f>
        <v>1250</v>
      </c>
      <c r="M305" s="348">
        <f t="shared" ref="M305" si="888">L307</f>
        <v>1625.3</v>
      </c>
      <c r="N305" s="348">
        <f t="shared" ref="N305" si="889">M307</f>
        <v>1718.5</v>
      </c>
      <c r="O305" s="278">
        <f>K305</f>
        <v>528.4</v>
      </c>
      <c r="P305" s="348">
        <f t="shared" ref="P305" si="890">O307</f>
        <v>989.7</v>
      </c>
      <c r="Q305" s="348">
        <f t="shared" ref="Q305" si="891">P307</f>
        <v>1172.8</v>
      </c>
      <c r="R305" s="348">
        <f t="shared" ref="R305:S305" si="892">Q307</f>
        <v>1315.1</v>
      </c>
      <c r="S305" s="348">
        <f t="shared" si="892"/>
        <v>1231.3</v>
      </c>
      <c r="T305" s="8"/>
      <c r="U305" s="277">
        <f>S307</f>
        <v>443.2</v>
      </c>
      <c r="V305" s="277">
        <f t="shared" ref="V305" si="893">U307</f>
        <v>0</v>
      </c>
      <c r="W305" s="277">
        <f t="shared" ref="W305" si="894">V307</f>
        <v>0</v>
      </c>
      <c r="X305" s="277">
        <f t="shared" ref="X305" si="895">W307</f>
        <v>0</v>
      </c>
      <c r="Y305" s="8"/>
      <c r="Z305" s="277">
        <f>X307</f>
        <v>15941.427065992077</v>
      </c>
      <c r="AA305" s="277">
        <f t="shared" ref="AA305:AC305" si="896">Z307</f>
        <v>0</v>
      </c>
      <c r="AB305" s="277">
        <f t="shared" si="896"/>
        <v>0</v>
      </c>
      <c r="AC305" s="277">
        <f t="shared" si="896"/>
        <v>627.5824290365777</v>
      </c>
      <c r="AD305" s="8"/>
      <c r="AE305" s="278">
        <f>AC307</f>
        <v>19871.64568017916</v>
      </c>
      <c r="AF305" s="278">
        <f t="shared" ref="AF305:AG305" si="897">AE307</f>
        <v>9972.098361502412</v>
      </c>
      <c r="AG305" s="278">
        <f t="shared" si="897"/>
        <v>19420.670426006844</v>
      </c>
      <c r="AH305" s="8"/>
      <c r="AI305" s="8"/>
      <c r="AJ305" s="8"/>
      <c r="AK305" s="8"/>
    </row>
    <row r="306" ht="15.75" customHeight="1" spans="1:37" x14ac:dyDescent="0.25">
      <c r="A306" s="260"/>
      <c r="B306" s="8"/>
      <c r="C306" s="130" t="s">
        <v>426</v>
      </c>
      <c r="D306" s="8"/>
      <c r="E306" s="8"/>
      <c r="F306" s="353">
        <f t="shared" ref="F306:I306" si="898">F307-F305</f>
        <v>477.8</v>
      </c>
      <c r="G306" s="353">
        <f t="shared" si="898"/>
        <v>369.09999999999997</v>
      </c>
      <c r="H306" s="353">
        <f t="shared" si="898"/>
        <v>78</v>
      </c>
      <c r="I306" s="353">
        <f t="shared" si="898"/>
        <v>-396.5</v>
      </c>
      <c r="J306" s="157">
        <f>IF(J308&gt;J305,J308-J305,0)</f>
        <v>0</v>
      </c>
      <c r="K306" s="353">
        <f t="shared" ref="K306:N306" si="899">K307-K305</f>
        <v>721.6</v>
      </c>
      <c r="L306" s="353">
        <f t="shared" si="899"/>
        <v>375.29999999999995</v>
      </c>
      <c r="M306" s="353">
        <f t="shared" si="899"/>
        <v>93.20000000000005</v>
      </c>
      <c r="N306" s="353">
        <f t="shared" si="899"/>
        <v>-728.8</v>
      </c>
      <c r="O306" s="157">
        <f>IF(O308&gt;O305,O308-O305,0)</f>
        <v>0</v>
      </c>
      <c r="P306" s="353">
        <f t="shared" ref="P306:S306" si="900">P307-P305</f>
        <v>183.0999999999999</v>
      </c>
      <c r="Q306" s="353">
        <f t="shared" si="900"/>
        <v>142.29999999999995</v>
      </c>
      <c r="R306" s="353">
        <f t="shared" si="900"/>
        <v>-83.79999999999995</v>
      </c>
      <c r="S306" s="353">
        <f t="shared" si="900"/>
        <v>-788.0999999999999</v>
      </c>
      <c r="T306" s="8"/>
      <c r="U306" s="325">
        <f t="shared" ref="U306:X306" si="901">IF(U300&lt;0,-U300,IF(U300&gt;U305,-U305,-U300))</f>
        <v>-443.2</v>
      </c>
      <c r="V306" s="325">
        <f t="shared" si="901"/>
        <v>0</v>
      </c>
      <c r="W306" s="325">
        <f t="shared" si="901"/>
        <v>0</v>
      </c>
      <c r="X306" s="325">
        <f t="shared" si="901"/>
        <v>15941.427065992077</v>
      </c>
      <c r="Y306" s="8"/>
      <c r="Z306" s="325">
        <f t="shared" ref="Z306:AC306" si="902">IF(Z300&lt;0,-Z300,IF(Z300&gt;Z305,-Z305,-Z300))</f>
        <v>-15941.427065992077</v>
      </c>
      <c r="AA306" s="325">
        <f t="shared" si="902"/>
        <v>0</v>
      </c>
      <c r="AB306" s="325">
        <f t="shared" si="902"/>
        <v>627.5824290365777</v>
      </c>
      <c r="AC306" s="325">
        <f t="shared" si="902"/>
        <v>19244.063251142583</v>
      </c>
      <c r="AD306" s="8"/>
      <c r="AE306" s="324">
        <f t="shared" ref="AE306:AG306" si="903">IF(AE300&lt;0,-AE300,IF(AE300&gt;AE305,-AE305,-AE300))</f>
        <v>-9899.547318676749</v>
      </c>
      <c r="AF306" s="324">
        <f t="shared" si="903"/>
        <v>9448.572064504433</v>
      </c>
      <c r="AG306" s="324">
        <f t="shared" si="903"/>
        <v>11617.999034280127</v>
      </c>
      <c r="AH306" s="8"/>
      <c r="AI306" s="8"/>
      <c r="AJ306" s="8"/>
      <c r="AK306" s="8"/>
    </row>
    <row r="307" ht="15.75" customHeight="1" spans="1:37" x14ac:dyDescent="0.25">
      <c r="A307" s="260"/>
      <c r="B307" s="8"/>
      <c r="C307" s="8" t="s">
        <v>397</v>
      </c>
      <c r="D307" s="8"/>
      <c r="E307" s="8"/>
      <c r="F307" s="348">
        <f t="shared" ref="F307:R307" si="904">F140</f>
        <v>477.8</v>
      </c>
      <c r="G307" s="348">
        <f t="shared" si="904"/>
        <v>846.9</v>
      </c>
      <c r="H307" s="348">
        <f t="shared" si="904"/>
        <v>924.9</v>
      </c>
      <c r="I307" s="348">
        <f t="shared" si="904"/>
        <v>528.4</v>
      </c>
      <c r="J307" s="278">
        <f t="shared" si="904"/>
        <v>528.4</v>
      </c>
      <c r="K307" s="348">
        <f t="shared" si="904"/>
        <v>1250</v>
      </c>
      <c r="L307" s="348">
        <f t="shared" si="904"/>
        <v>1625.3</v>
      </c>
      <c r="M307" s="348">
        <f t="shared" si="904"/>
        <v>1718.5</v>
      </c>
      <c r="N307" s="348">
        <f t="shared" si="904"/>
        <v>989.7</v>
      </c>
      <c r="O307" s="278">
        <f t="shared" si="904"/>
        <v>989.7</v>
      </c>
      <c r="P307" s="348">
        <f t="shared" si="904"/>
        <v>1172.8</v>
      </c>
      <c r="Q307" s="348">
        <f t="shared" si="904"/>
        <v>1315.1</v>
      </c>
      <c r="R307" s="348">
        <f t="shared" si="904"/>
        <v>1231.3</v>
      </c>
      <c r="S307" s="348">
        <f t="shared" ref="S307" si="905">S140</f>
        <v>443.2</v>
      </c>
      <c r="T307" s="8"/>
      <c r="U307" s="277">
        <f t="shared" ref="U307:X307" si="906">SUM(U305:U306)</f>
        <v>0</v>
      </c>
      <c r="V307" s="277">
        <f t="shared" si="906"/>
        <v>0</v>
      </c>
      <c r="W307" s="277">
        <f t="shared" si="906"/>
        <v>0</v>
      </c>
      <c r="X307" s="277">
        <f t="shared" si="906"/>
        <v>15941.427065992077</v>
      </c>
      <c r="Y307" s="8"/>
      <c r="Z307" s="277">
        <f t="shared" ref="Z307:AC307" si="907">SUM(Z305:Z306)</f>
        <v>0</v>
      </c>
      <c r="AA307" s="277">
        <f t="shared" si="907"/>
        <v>0</v>
      </c>
      <c r="AB307" s="277">
        <f t="shared" si="907"/>
        <v>627.5824290365777</v>
      </c>
      <c r="AC307" s="277">
        <f t="shared" si="907"/>
        <v>19871.64568017916</v>
      </c>
      <c r="AD307" s="8"/>
      <c r="AE307" s="278">
        <f t="shared" ref="AE307:AG307" si="908">SUM(AE305:AE306)</f>
        <v>9972.098361502412</v>
      </c>
      <c r="AF307" s="278">
        <f t="shared" si="908"/>
        <v>19420.670426006844</v>
      </c>
      <c r="AG307" s="278">
        <f t="shared" si="908"/>
        <v>31038.66946028697</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8625.6</v>
      </c>
      <c r="H310" s="348">
        <f t="shared" ref="H310" si="910">G313</f>
        <v>8785.5</v>
      </c>
      <c r="I310" s="348">
        <f t="shared" ref="I310" si="911">H313</f>
        <v>9462.5</v>
      </c>
      <c r="J310" s="278">
        <f>F310</f>
        <v>2893</v>
      </c>
      <c r="K310" s="348">
        <f t="shared" ref="K310" si="912">J313</f>
        <v>8774.1</v>
      </c>
      <c r="L310" s="348">
        <f t="shared" ref="L310" si="913">K313</f>
        <v>9917.3</v>
      </c>
      <c r="M310" s="348">
        <f t="shared" ref="M310" si="914">L313</f>
        <v>12666.6</v>
      </c>
      <c r="N310" s="348">
        <f t="shared" ref="N310" si="915">M313</f>
        <v>12922</v>
      </c>
      <c r="O310" s="278">
        <f>K310</f>
        <v>8774.1</v>
      </c>
      <c r="P310" s="348">
        <f t="shared" ref="P310" si="916">O313</f>
        <v>9698.8</v>
      </c>
      <c r="Q310" s="348">
        <f t="shared" ref="Q310" si="917">P313</f>
        <v>14785.6</v>
      </c>
      <c r="R310" s="348">
        <f t="shared" ref="R310:S310" si="918">Q313</f>
        <v>15352</v>
      </c>
      <c r="S310" s="348">
        <f t="shared" si="918"/>
        <v>16013.6</v>
      </c>
      <c r="T310" s="8"/>
      <c r="U310" s="277">
        <f>S313</f>
        <v>13530.6</v>
      </c>
      <c r="V310" s="277">
        <f t="shared" ref="V310" si="919">U313</f>
        <v>13780.6</v>
      </c>
      <c r="W310" s="277">
        <f t="shared" ref="W310" si="920">V313</f>
        <v>14030.6</v>
      </c>
      <c r="X310" s="277">
        <f t="shared" ref="X310" si="921">W313</f>
        <v>14280.6</v>
      </c>
      <c r="Y310" s="8"/>
      <c r="Z310" s="277">
        <f>X313</f>
        <v>14530.6</v>
      </c>
      <c r="AA310" s="277">
        <f t="shared" ref="AA310:AC310" si="922">Z313</f>
        <v>14780.6</v>
      </c>
      <c r="AB310" s="277">
        <f t="shared" si="922"/>
        <v>15030.6</v>
      </c>
      <c r="AC310" s="277">
        <f t="shared" si="922"/>
        <v>15280.6</v>
      </c>
      <c r="AD310" s="8"/>
      <c r="AE310" s="278">
        <f>AC313</f>
        <v>15530.6</v>
      </c>
      <c r="AF310" s="278">
        <f t="shared" ref="AF310:AG310" si="923">AE313</f>
        <v>17030.6</v>
      </c>
      <c r="AG310" s="278">
        <f t="shared" si="923"/>
        <v>18530.6</v>
      </c>
      <c r="AH310" s="8"/>
      <c r="AI310" s="8"/>
      <c r="AJ310" s="8"/>
      <c r="AK310" s="8"/>
    </row>
    <row r="311" ht="15.75" customHeight="1" spans="1:37" x14ac:dyDescent="0.25">
      <c r="A311" s="260"/>
      <c r="B311" s="8"/>
      <c r="C311" s="130" t="s">
        <v>297</v>
      </c>
      <c r="D311" s="8"/>
      <c r="E311" s="8"/>
      <c r="F311" s="353">
        <f t="shared" ref="F311:R311" si="924">IF(F313&gt;F310,F313-F310,0)</f>
        <v>5732.6</v>
      </c>
      <c r="G311" s="353">
        <f t="shared" si="924"/>
        <v>159.89999999999964</v>
      </c>
      <c r="H311" s="353">
        <f t="shared" si="924"/>
        <v>677</v>
      </c>
      <c r="I311" s="353">
        <f t="shared" si="924"/>
        <v>0</v>
      </c>
      <c r="J311" s="157">
        <f t="shared" si="924"/>
        <v>5881.1</v>
      </c>
      <c r="K311" s="353">
        <f t="shared" si="924"/>
        <v>1143.199999999999</v>
      </c>
      <c r="L311" s="353">
        <f t="shared" si="924"/>
        <v>2749.300000000001</v>
      </c>
      <c r="M311" s="353">
        <f t="shared" si="924"/>
        <v>255.39999999999964</v>
      </c>
      <c r="N311" s="353">
        <f t="shared" si="924"/>
        <v>0</v>
      </c>
      <c r="O311" s="157">
        <f t="shared" si="924"/>
        <v>924.6999999999989</v>
      </c>
      <c r="P311" s="353">
        <f t="shared" si="924"/>
        <v>5086.800000000001</v>
      </c>
      <c r="Q311" s="353">
        <f t="shared" si="924"/>
        <v>566.3999999999996</v>
      </c>
      <c r="R311" s="353">
        <f t="shared" si="924"/>
        <v>661.6000000000004</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-688.3999999999996</v>
      </c>
      <c r="J312" s="157">
        <f t="shared" si="929"/>
        <v>0</v>
      </c>
      <c r="K312" s="353">
        <f t="shared" si="929"/>
        <v>0</v>
      </c>
      <c r="L312" s="353">
        <f t="shared" si="929"/>
        <v>0</v>
      </c>
      <c r="M312" s="353">
        <f t="shared" si="929"/>
        <v>0</v>
      </c>
      <c r="N312" s="353">
        <f t="shared" si="929"/>
        <v>-3223.2000000000007</v>
      </c>
      <c r="O312" s="157">
        <f t="shared" si="929"/>
        <v>0</v>
      </c>
      <c r="P312" s="353">
        <f t="shared" si="929"/>
        <v>0</v>
      </c>
      <c r="Q312" s="353">
        <f t="shared" si="929"/>
        <v>0</v>
      </c>
      <c r="R312" s="353">
        <f t="shared" si="929"/>
        <v>0</v>
      </c>
      <c r="S312" s="353">
        <f t="shared" ref="S312" si="930">IF(S310&gt;S313,S313-S310,0)</f>
        <v>-2483</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8625.6</v>
      </c>
      <c r="G313" s="348">
        <f t="shared" si="934"/>
        <v>8785.5</v>
      </c>
      <c r="H313" s="348">
        <f t="shared" si="934"/>
        <v>9462.5</v>
      </c>
      <c r="I313" s="348">
        <f t="shared" si="934"/>
        <v>8774.1</v>
      </c>
      <c r="J313" s="278">
        <f t="shared" si="934"/>
        <v>8774.1</v>
      </c>
      <c r="K313" s="348">
        <f t="shared" si="934"/>
        <v>9917.3</v>
      </c>
      <c r="L313" s="348">
        <f t="shared" si="934"/>
        <v>12666.6</v>
      </c>
      <c r="M313" s="348">
        <f t="shared" si="934"/>
        <v>12922</v>
      </c>
      <c r="N313" s="348">
        <f t="shared" si="934"/>
        <v>9698.8</v>
      </c>
      <c r="O313" s="278">
        <f t="shared" si="934"/>
        <v>9698.8</v>
      </c>
      <c r="P313" s="348">
        <f t="shared" si="934"/>
        <v>14785.6</v>
      </c>
      <c r="Q313" s="348">
        <f t="shared" si="934"/>
        <v>15352</v>
      </c>
      <c r="R313" s="348">
        <f t="shared" si="934"/>
        <v>16013.6</v>
      </c>
      <c r="S313" s="348">
        <f t="shared" ref="S313" si="935">S141</f>
        <v>13530.6</v>
      </c>
      <c r="T313" s="8"/>
      <c r="U313" s="277">
        <f t="shared" ref="U313:X313" si="936">SUM(U310:U312)</f>
        <v>13780.6</v>
      </c>
      <c r="V313" s="277">
        <f t="shared" si="936"/>
        <v>14030.6</v>
      </c>
      <c r="W313" s="277">
        <f t="shared" si="936"/>
        <v>14280.6</v>
      </c>
      <c r="X313" s="277">
        <f t="shared" si="936"/>
        <v>14530.6</v>
      </c>
      <c r="Y313" s="8"/>
      <c r="Z313" s="277">
        <f t="shared" ref="Z313:AC313" si="937">SUM(Z310:Z312)</f>
        <v>14780.6</v>
      </c>
      <c r="AA313" s="277">
        <f t="shared" si="937"/>
        <v>15030.6</v>
      </c>
      <c r="AB313" s="277">
        <f t="shared" si="937"/>
        <v>15280.6</v>
      </c>
      <c r="AC313" s="277">
        <f t="shared" si="937"/>
        <v>15530.6</v>
      </c>
      <c r="AD313" s="8"/>
      <c r="AE313" s="278">
        <f t="shared" ref="AE313:AG313" si="938">SUM(AE310:AE312)</f>
        <v>17030.6</v>
      </c>
      <c r="AF313" s="278">
        <f t="shared" si="938"/>
        <v>18530.6</v>
      </c>
      <c r="AG313" s="278">
        <f t="shared" si="938"/>
        <v>20030.6</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221.6</v>
      </c>
      <c r="V316" s="277">
        <f t="shared" ref="V316:X316" si="939">IFERROR(AVERAGE(V307,V305),0)</f>
        <v>0</v>
      </c>
      <c r="W316" s="277">
        <f t="shared" si="939"/>
        <v>0</v>
      </c>
      <c r="X316" s="277">
        <f t="shared" si="939"/>
        <v>7970.713532996038</v>
      </c>
      <c r="Y316" s="8"/>
      <c r="Z316" s="277">
        <f>IFERROR(AVERAGE(Z307,Z305),0)</f>
        <v>7970.713532996038</v>
      </c>
      <c r="AA316" s="277">
        <f t="shared" ref="AA316:AG316" si="940">IFERROR(AVERAGE(AA307,AA305),0)</f>
        <v>0</v>
      </c>
      <c r="AB316" s="277">
        <f t="shared" si="940"/>
        <v>313.7912145182888</v>
      </c>
      <c r="AC316" s="277">
        <f t="shared" si="940"/>
        <v>10249.61405460787</v>
      </c>
      <c r="AD316" s="8"/>
      <c r="AE316" s="278">
        <f t="shared" si="940"/>
        <v>14921.872020840787</v>
      </c>
      <c r="AF316" s="278">
        <f t="shared" si="940"/>
        <v>14696.384393754628</v>
      </c>
      <c r="AG316" s="278">
        <f t="shared" si="940"/>
        <v>25229.669943146906</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13655.6</v>
      </c>
      <c r="V321" s="277">
        <f t="shared" si="944"/>
        <v>13905.6</v>
      </c>
      <c r="W321" s="277">
        <f t="shared" si="944"/>
        <v>14155.6</v>
      </c>
      <c r="X321" s="277">
        <f t="shared" si="944"/>
        <v>14405.6</v>
      </c>
      <c r="Y321" s="8"/>
      <c r="Z321" s="277">
        <f t="shared" ref="Z321:AC321" si="945">AVERAGE(Z313,Z310)</f>
        <v>14655.6</v>
      </c>
      <c r="AA321" s="277">
        <f t="shared" si="945"/>
        <v>14905.6</v>
      </c>
      <c r="AB321" s="277">
        <f t="shared" si="945"/>
        <v>15155.6</v>
      </c>
      <c r="AC321" s="277">
        <f t="shared" si="945"/>
        <v>15405.6</v>
      </c>
      <c r="AD321" s="8"/>
      <c r="AE321" s="278">
        <f t="shared" ref="AE321:AG321" si="946">AVERAGE(AE313,AE310)</f>
        <v>16280.599999999999</v>
      </c>
      <c r="AF321" s="278">
        <f t="shared" si="946"/>
        <v>17780.6</v>
      </c>
      <c r="AG321" s="278">
        <f t="shared" si="946"/>
        <v>19280.6</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-716.919</v>
      </c>
      <c r="V323" s="277">
        <f t="shared" si="947"/>
        <v>-764.808</v>
      </c>
      <c r="W323" s="277">
        <f t="shared" si="947"/>
        <v>-813.947</v>
      </c>
      <c r="X323" s="277">
        <f t="shared" si="947"/>
        <v>-792.308</v>
      </c>
      <c r="Y323" s="8"/>
      <c r="Z323" s="277">
        <f t="shared" ref="Z323:AC323" si="948">-(Z321*Z322)</f>
        <v>-759.16008</v>
      </c>
      <c r="AA323" s="277">
        <f t="shared" si="948"/>
        <v>-772.11008</v>
      </c>
      <c r="AB323" s="277">
        <f t="shared" si="948"/>
        <v>-785.06008</v>
      </c>
      <c r="AC323" s="277">
        <f t="shared" si="948"/>
        <v>-798.01008</v>
      </c>
      <c r="AD323" s="8"/>
      <c r="AE323" s="278">
        <f t="shared" ref="AE323:AG323" si="949">-(AE321*AE322)</f>
        <v>-3418.9259999999995</v>
      </c>
      <c r="AF323" s="278">
        <f t="shared" si="949"/>
        <v>-3733.9259999999995</v>
      </c>
      <c r="AG323" s="278">
        <f t="shared" si="949"/>
        <v>-4048.9259999999995</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-716.919</v>
      </c>
      <c r="V325" s="395">
        <f t="shared" si="950"/>
        <v>-764.808</v>
      </c>
      <c r="W325" s="395">
        <f t="shared" si="950"/>
        <v>-813.947</v>
      </c>
      <c r="X325" s="395">
        <f t="shared" si="950"/>
        <v>-792.308</v>
      </c>
      <c r="Y325" s="90"/>
      <c r="Z325" s="395">
        <f t="shared" ref="Z325:AC325" si="951">SUM(Z318,Z323)</f>
        <v>-759.16008</v>
      </c>
      <c r="AA325" s="395">
        <f t="shared" si="951"/>
        <v>-772.11008</v>
      </c>
      <c r="AB325" s="395">
        <f t="shared" si="951"/>
        <v>-785.06008</v>
      </c>
      <c r="AC325" s="395">
        <f t="shared" si="951"/>
        <v>-798.01008</v>
      </c>
      <c r="AD325" s="90"/>
      <c r="AE325" s="394">
        <f t="shared" ref="AE325:AG325" si="952">SUM(AE318,AE323)</f>
        <v>-3418.9259999999995</v>
      </c>
      <c r="AF325" s="394">
        <f t="shared" si="952"/>
        <v>-3733.9259999999995</v>
      </c>
      <c r="AG325" s="416">
        <f t="shared" si="952"/>
        <v>-4048.9259999999995</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29753.602478017045</v>
      </c>
      <c r="V328" s="277">
        <f>IFERROR(AVERAGE(V120,U120),0)</f>
        <v>26544.569065093525</v>
      </c>
      <c r="W328" s="277">
        <f>IFERROR(AVERAGE(W120,V120),0)</f>
        <v>4239.26191285518</v>
      </c>
      <c r="X328" s="277">
        <f>IFERROR(AVERAGE(X120,W120),0)</f>
        <v>1371.5953257786991</v>
      </c>
      <c r="Y328" s="8"/>
      <c r="Z328" s="277">
        <f>IFERROR(AVERAGE(Z120,Y120),0)</f>
        <v>2438.1158659358207</v>
      </c>
      <c r="AA328" s="277">
        <f>IFERROR(AVERAGE(AA120,Z120),0)</f>
        <v>3872.880946315455</v>
      </c>
      <c r="AB328" s="277">
        <f>IFERROR(AVERAGE(AB120,AA120),0)</f>
        <v>1434.765080379634</v>
      </c>
      <c r="AC328" s="277">
        <f>IFERROR(AVERAGE(AC120,AB120),0)</f>
        <v>0</v>
      </c>
      <c r="AD328" s="8"/>
      <c r="AE328" s="278">
        <f>IFERROR(AVERAGE(AE120,AD120),0)</f>
        <v>6.821210263296962e-13</v>
      </c>
      <c r="AF328" s="278">
        <f>IFERROR(AVERAGE(AF120,AE120),0)</f>
        <v>4.547473508864641e-13</v>
      </c>
      <c r="AG328" s="278">
        <f>IFERROR(AVERAGE(AG120,AF120),0)</f>
        <v>-4.547473508864641e-13</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 t="shared" ref="F7:I7" si="0">SUM(F8:F13)</f>
        <v>3187.56</v>
      </c>
      <c r="G7" s="310">
        <f t="shared" si="0"/>
        <v>2784.242</v>
      </c>
      <c r="H7" s="310">
        <f t="shared" si="0"/>
        <v>3218.088</v>
      </c>
      <c r="I7" s="310">
        <f t="shared" si="0"/>
        <v>4393.290000000001</v>
      </c>
      <c r="J7" s="283">
        <f t="shared" ref="J7:J13" si="1">SUM(F7:I7)</f>
        <v>13583.18</v>
      </c>
      <c r="K7" s="310">
        <f t="shared" ref="K7:N7" si="2">SUM(K8:K13)</f>
        <v>3326.9</v>
      </c>
      <c r="L7" s="310">
        <f t="shared" si="2"/>
        <v>3269.63</v>
      </c>
      <c r="M7" s="310">
        <f t="shared" si="2"/>
        <v>3440.48</v>
      </c>
      <c r="N7" s="310">
        <f t="shared" si="2"/>
        <v>5220.959000000001</v>
      </c>
      <c r="O7" s="283">
        <f t="shared" ref="O7:O13" si="3">SUM(K7:N7)</f>
        <v>15257.969000000001</v>
      </c>
      <c r="P7" s="310">
        <f t="shared" ref="P7:S7" si="4">SUM(P8:P13)</f>
        <v>3507.6640000000007</v>
      </c>
      <c r="Q7" s="310">
        <f t="shared" si="4"/>
        <v>3588.715</v>
      </c>
      <c r="R7" s="310">
        <f t="shared" si="4"/>
        <v>4191.5740000000005</v>
      </c>
      <c r="S7" s="310">
        <f t="shared" si="4"/>
        <v>2769.123999999999</v>
      </c>
      <c r="T7" s="283">
        <f t="shared" ref="T7:T13" si="5">SUM(P7:S7)</f>
        <v>14057.077000000001</v>
      </c>
      <c r="U7" s="282">
        <f t="shared" ref="U7:X7" si="6">SUM(U8:U13)</f>
        <v>3777.652510000001</v>
      </c>
      <c r="V7" s="282">
        <f t="shared" si="6"/>
        <v>3898.85528</v>
      </c>
      <c r="W7" s="282">
        <f t="shared" si="6"/>
        <v>4509.10275</v>
      </c>
      <c r="X7" s="282">
        <f t="shared" si="6"/>
        <v>3039.317969999999</v>
      </c>
      <c r="Y7" s="283">
        <f t="shared" ref="Y7:Y13" si="7">SUM(U7:X7)</f>
        <v>15224.928510000002</v>
      </c>
      <c r="Z7" s="282">
        <f t="shared" ref="Z7:AC7" si="8">SUM(Z8:Z13)</f>
        <v>3983.5114171000005</v>
      </c>
      <c r="AA7" s="282">
        <f t="shared" si="8"/>
        <v>4181.371408800001</v>
      </c>
      <c r="AB7" s="282">
        <f t="shared" si="8"/>
        <v>4795.318069500001</v>
      </c>
      <c r="AC7" s="282">
        <f t="shared" si="8"/>
        <v>3294.028989999999</v>
      </c>
      <c r="AD7" s="283">
        <f t="shared" ref="AD7:AD13" si="9">SUM(Z7:AC7)</f>
        <v>16254.2298854</v>
      </c>
      <c r="AE7" s="283">
        <f t="shared" ref="AE7:AG7" si="10">SUM(AE8:AE13)</f>
        <v>17128.390803084003</v>
      </c>
      <c r="AF7" s="283">
        <f t="shared" si="10"/>
        <v>17784.316566345242</v>
      </c>
      <c r="AG7" s="283">
        <f t="shared" si="10"/>
        <v>18210.52559526321</v>
      </c>
    </row>
    <row r="8" spans="1:33" x14ac:dyDescent="0.25">
      <c r="C8" s="130" t="str">
        <f t="shared" ref="C8:C13" si="11">C16&amp;" Revenue"</f>
        <v>Investment Banking &amp; Capital Markets Revenue</v>
      </c>
      <c r="D8" s="8"/>
      <c r="E8" s="8"/>
      <c r="F8" s="354">
        <f>502.79+497.24+213.27+531.38</f>
        <v>1744.6799999999998</v>
      </c>
      <c r="G8" s="354">
        <f>492.5+320.9+235.312+632.7</f>
        <v>1681.412</v>
      </c>
      <c r="H8" s="354">
        <f>600.19+353.37+223.7+898.04</f>
        <v>2075.3</v>
      </c>
      <c r="I8" s="354">
        <f>(2169.36+1413.28+905.66+2868.67)-SUM(F8:H8)</f>
        <v>1855.5780000000004</v>
      </c>
      <c r="J8" s="490">
        <f t="shared" si="1"/>
        <v>7356.97</v>
      </c>
      <c r="K8" s="354">
        <f>679.1+640.7+245.5+819.5</f>
        <v>2384.8</v>
      </c>
      <c r="L8" s="354">
        <f>738.58+416.19+271.78+879.72</f>
        <v>2306.27</v>
      </c>
      <c r="M8" s="354">
        <f>927.1+324.05+936.78+271.1</f>
        <v>2459.03</v>
      </c>
      <c r="N8" s="354">
        <f>3309.06+1816.963+1085.349+3543.497-SUM(K8:M8)</f>
        <v>2604.7690000000002</v>
      </c>
      <c r="O8" s="490">
        <f t="shared" si="3"/>
        <v>9754.869</v>
      </c>
      <c r="P8" s="354">
        <f>729.51+407.23+288.3+845.171</f>
        <v>2270.2110000000002</v>
      </c>
      <c r="Q8" s="354">
        <f>789.269+338.507+353.233+878.025</f>
        <v>2359.034</v>
      </c>
      <c r="R8" s="354">
        <f>1088.197+486.893+325.178+846.894</f>
        <v>2747.1620000000003</v>
      </c>
      <c r="S8" s="354">
        <f>+(3799.29+1610.96+1322.753+3402.317)-SUM(P8:R8)</f>
        <v>2758.9129999999986</v>
      </c>
      <c r="T8" s="490">
        <f t="shared" si="5"/>
        <v>10135.32</v>
      </c>
      <c r="U8" s="491">
        <f>'Revenue Build'!U32</f>
        <v>2519.9342100000003</v>
      </c>
      <c r="V8" s="491">
        <f>'Revenue Build'!V32</f>
        <v>2642.11808</v>
      </c>
      <c r="W8" s="491">
        <f>'Revenue Build'!W32</f>
        <v>3063.0856300000005</v>
      </c>
      <c r="X8" s="491">
        <f>'Revenue Build'!X32</f>
        <v>3034.804299999999</v>
      </c>
      <c r="Y8" s="490">
        <f t="shared" si="7"/>
        <v>11259.94222</v>
      </c>
      <c r="Z8" s="491">
        <f>'Revenue Build'!Z32</f>
        <v>2797.1269731000007</v>
      </c>
      <c r="AA8" s="491">
        <f>'Revenue Build'!AA32</f>
        <v>2932.7510688000007</v>
      </c>
      <c r="AB8" s="491">
        <f>'Revenue Build'!AB32</f>
        <v>3338.7633367000008</v>
      </c>
      <c r="AC8" s="491">
        <f>'Revenue Build'!AC32</f>
        <v>3307.936686999999</v>
      </c>
      <c r="AD8" s="490">
        <f t="shared" si="9"/>
        <v>12376.5780656</v>
      </c>
      <c r="AE8" s="492">
        <f>'Revenue Build'!AE32</f>
        <v>13366.704310848001</v>
      </c>
      <c r="AF8" s="492">
        <f>'Revenue Build'!AF32</f>
        <v>14101.87304794464</v>
      </c>
      <c r="AG8" s="492">
        <f>'Revenue Build'!AG32</f>
        <v>14595.438604622701</v>
      </c>
    </row>
    <row r="9" spans="1:33" x14ac:dyDescent="0.25">
      <c r="C9" s="130" t="str">
        <f>C17</f>
        <v>Asset Management and Other</v>
      </c>
      <c r="D9" s="8"/>
      <c r="E9" s="8"/>
      <c r="F9" s="354">
        <f>38.98+(-3.1)</f>
        <v>35.879999999999995</v>
      </c>
      <c r="G9" s="354">
        <f>14+(-44.17)</f>
        <v>-30.17</v>
      </c>
      <c r="H9" s="354">
        <f>14.8+(-49.212)</f>
        <v>-34.412000000000006</v>
      </c>
      <c r="I9" s="354">
        <f>(82.57+1.84)-SUM(F9:H9)</f>
        <v>113.11200000000001</v>
      </c>
      <c r="J9" s="490">
        <f t="shared" si="1"/>
        <v>84.41</v>
      </c>
      <c r="K9" s="354">
        <f>50.4+116.7</f>
        <v>167.1</v>
      </c>
      <c r="L9" s="354">
        <f>11.76+198.2</f>
        <v>209.95999999999998</v>
      </c>
      <c r="M9" s="354">
        <f>11.85+124.6</f>
        <v>136.45</v>
      </c>
      <c r="N9" s="354">
        <f>86.106+674.094-SUM(K9:M9)</f>
        <v>246.69000000000005</v>
      </c>
      <c r="O9" s="490">
        <f t="shared" si="3"/>
        <v>760.2</v>
      </c>
      <c r="P9" s="354">
        <f>85.408+117.245</f>
        <v>202.65300000000002</v>
      </c>
      <c r="Q9" s="354">
        <f>20.076+115.205</f>
        <v>135.281</v>
      </c>
      <c r="R9" s="354">
        <f>13.079+147.433</f>
        <v>160.512</v>
      </c>
      <c r="S9" s="354">
        <f>130.673+557.684-SUM(P9:R9)</f>
        <v>189.91099999999994</v>
      </c>
      <c r="T9" s="490">
        <f t="shared" si="5"/>
        <v>688.357</v>
      </c>
      <c r="U9" s="491">
        <f>'Revenue Build'!U35</f>
        <v>222.91830000000004</v>
      </c>
      <c r="V9" s="491">
        <f>'Revenue Build'!V35</f>
        <v>162.3372</v>
      </c>
      <c r="W9" s="491">
        <f>'Revenue Build'!W35</f>
        <v>162.11712</v>
      </c>
      <c r="X9" s="491">
        <f>'Revenue Build'!X35</f>
        <v>184.21366999999995</v>
      </c>
      <c r="Y9" s="490">
        <f t="shared" si="7"/>
        <v>731.5862900000001</v>
      </c>
      <c r="Z9" s="491">
        <f>'Revenue Build'!Z35</f>
        <v>151.58444400000002</v>
      </c>
      <c r="AA9" s="491">
        <f>'Revenue Build'!AA35</f>
        <v>154.22034</v>
      </c>
      <c r="AB9" s="491">
        <f>'Revenue Build'!AB35</f>
        <v>172.6547328</v>
      </c>
      <c r="AC9" s="491">
        <f>'Revenue Build'!AC35</f>
        <v>165.79230299999995</v>
      </c>
      <c r="AD9" s="490">
        <f t="shared" si="9"/>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
        <v>6141.799999999999</v>
      </c>
      <c r="K10" s="354">
        <v>0</v>
      </c>
      <c r="L10" s="354">
        <v>0</v>
      </c>
      <c r="M10" s="354">
        <v>0</v>
      </c>
      <c r="N10" s="354">
        <v>0</v>
      </c>
      <c r="O10" s="490">
        <f t="shared" si="3"/>
        <v>4742.9</v>
      </c>
      <c r="P10" s="354">
        <v>0</v>
      </c>
      <c r="Q10" s="354">
        <v>0</v>
      </c>
      <c r="R10" s="354">
        <v>0</v>
      </c>
      <c r="S10" s="354">
        <v>0</v>
      </c>
      <c r="T10" s="490">
        <f t="shared" si="5"/>
        <v>3233.4</v>
      </c>
      <c r="U10" s="491">
        <f>'Revenue Build'!U38</f>
        <v>1034.8</v>
      </c>
      <c r="V10" s="491">
        <f>'Revenue Build'!V38</f>
        <v>1094.4</v>
      </c>
      <c r="W10" s="491">
        <f>'Revenue Build'!W38</f>
        <v>1283.9</v>
      </c>
      <c r="X10" s="491">
        <f>'Revenue Build'!X38</f>
        <v>-179.7</v>
      </c>
      <c r="Y10" s="490">
        <f t="shared" si="7"/>
        <v>3233.4</v>
      </c>
      <c r="Z10" s="491">
        <f>'Revenue Build'!Z38</f>
        <v>1034.8</v>
      </c>
      <c r="AA10" s="491">
        <f>'Revenue Build'!AA38</f>
        <v>1094.4</v>
      </c>
      <c r="AB10" s="491">
        <f>'Revenue Build'!AB38</f>
        <v>1283.9</v>
      </c>
      <c r="AC10" s="491">
        <f>'Revenue Build'!AC38</f>
        <v>-179.7</v>
      </c>
      <c r="AD10" s="490">
        <f t="shared" si="9"/>
        <v>3233.4</v>
      </c>
      <c r="AE10" s="492">
        <f>'Revenue Build'!AE38</f>
        <v>3233.4</v>
      </c>
      <c r="AF10" s="492">
        <f>'Revenue Build'!AF38</f>
        <v>3233.4</v>
      </c>
      <c r="AG10" s="492">
        <f>'Revenue Build'!AG38</f>
        <v>3233.4</v>
      </c>
    </row>
    <row r="11" hidden="1" spans="1:33" x14ac:dyDescent="0.25" outlineLevel="1">
      <c r="C11" s="130" t="str">
        <f t="shared" si="11"/>
        <v> Revenue</v>
      </c>
      <c r="D11" s="8"/>
      <c r="E11" s="8"/>
      <c r="F11" s="354">
        <v>0</v>
      </c>
      <c r="G11" s="354">
        <v>0</v>
      </c>
      <c r="H11" s="354">
        <v>0</v>
      </c>
      <c r="I11" s="354">
        <v>0</v>
      </c>
      <c r="J11" s="490">
        <f t="shared" si="1"/>
        <v>0</v>
      </c>
      <c r="K11" s="354">
        <v>0</v>
      </c>
      <c r="L11" s="354">
        <v>0</v>
      </c>
      <c r="M11" s="354">
        <v>0</v>
      </c>
      <c r="N11" s="354">
        <v>0</v>
      </c>
      <c r="O11" s="490">
        <f t="shared" si="3"/>
        <v>0</v>
      </c>
      <c r="P11" s="354">
        <v>0</v>
      </c>
      <c r="Q11" s="354">
        <v>0</v>
      </c>
      <c r="R11" s="354">
        <v>0</v>
      </c>
      <c r="S11" s="354">
        <v>0</v>
      </c>
      <c r="T11" s="490">
        <f t="shared" si="5"/>
        <v>0</v>
      </c>
      <c r="U11" s="491">
        <f>'Revenue Build'!U41</f>
        <v>0</v>
      </c>
      <c r="V11" s="491">
        <f>'Revenue Build'!V41</f>
        <v>0</v>
      </c>
      <c r="W11" s="491">
        <f>'Revenue Build'!W41</f>
        <v>0</v>
      </c>
      <c r="X11" s="491">
        <f>'Revenue Build'!X41</f>
        <v>0</v>
      </c>
      <c r="Y11" s="490">
        <f t="shared" si="7"/>
        <v>0</v>
      </c>
      <c r="Z11" s="491">
        <f>'Revenue Build'!Z41</f>
        <v>0</v>
      </c>
      <c r="AA11" s="491">
        <f>'Revenue Build'!AA41</f>
        <v>0</v>
      </c>
      <c r="AB11" s="491">
        <f>'Revenue Build'!AB41</f>
        <v>0</v>
      </c>
      <c r="AC11" s="491">
        <f>'Revenue Build'!AC41</f>
        <v>0</v>
      </c>
      <c r="AD11" s="490">
        <f t="shared" si="9"/>
        <v>0</v>
      </c>
      <c r="AE11" s="492">
        <f>'Revenue Build'!AE41</f>
        <v>0</v>
      </c>
      <c r="AF11" s="492">
        <f>'Revenue Build'!AF41</f>
        <v>0</v>
      </c>
      <c r="AG11" s="492">
        <f>'Revenue Build'!AG41</f>
        <v>0</v>
      </c>
    </row>
    <row r="12" hidden="1" spans="1:33" x14ac:dyDescent="0.25" outlineLevel="1">
      <c r="C12" s="130" t="str">
        <f t="shared" si="11"/>
        <v> Revenue</v>
      </c>
      <c r="D12" s="8"/>
      <c r="E12" s="8"/>
      <c r="F12" s="354">
        <v>0</v>
      </c>
      <c r="G12" s="354">
        <v>0</v>
      </c>
      <c r="H12" s="354">
        <v>0</v>
      </c>
      <c r="I12" s="354">
        <v>0</v>
      </c>
      <c r="J12" s="490">
        <f t="shared" si="1"/>
        <v>0</v>
      </c>
      <c r="K12" s="354">
        <v>0</v>
      </c>
      <c r="L12" s="354">
        <v>0</v>
      </c>
      <c r="M12" s="354">
        <v>0</v>
      </c>
      <c r="N12" s="354">
        <v>0</v>
      </c>
      <c r="O12" s="490">
        <f t="shared" si="3"/>
        <v>0</v>
      </c>
      <c r="P12" s="354">
        <v>0</v>
      </c>
      <c r="Q12" s="354">
        <v>0</v>
      </c>
      <c r="R12" s="354">
        <v>0</v>
      </c>
      <c r="S12" s="354">
        <v>0</v>
      </c>
      <c r="T12" s="490">
        <f t="shared" si="5"/>
        <v>0</v>
      </c>
      <c r="U12" s="491">
        <f>'Revenue Build'!U44</f>
        <v>0</v>
      </c>
      <c r="V12" s="491">
        <f>'Revenue Build'!V44</f>
        <v>0</v>
      </c>
      <c r="W12" s="491">
        <f>'Revenue Build'!W44</f>
        <v>0</v>
      </c>
      <c r="X12" s="491">
        <f>'Revenue Build'!X44</f>
        <v>0</v>
      </c>
      <c r="Y12" s="490">
        <f t="shared" si="7"/>
        <v>0</v>
      </c>
      <c r="Z12" s="491">
        <f>'Revenue Build'!Z44</f>
        <v>0</v>
      </c>
      <c r="AA12" s="491">
        <f>'Revenue Build'!AA44</f>
        <v>0</v>
      </c>
      <c r="AB12" s="491">
        <f>'Revenue Build'!AB44</f>
        <v>0</v>
      </c>
      <c r="AC12" s="491">
        <f>'Revenue Build'!AC44</f>
        <v>0</v>
      </c>
      <c r="AD12" s="490">
        <f t="shared" si="9"/>
        <v>0</v>
      </c>
      <c r="AE12" s="492">
        <f>'Revenue Build'!AE44</f>
        <v>0</v>
      </c>
      <c r="AF12" s="492">
        <f>'Revenue Build'!AF44</f>
        <v>0</v>
      </c>
      <c r="AG12" s="492">
        <f>'Revenue Build'!AG44</f>
        <v>0</v>
      </c>
    </row>
    <row r="13" hidden="1" spans="1:33" x14ac:dyDescent="0.25" outlineLevel="2" collapsed="1">
      <c r="C13" s="130" t="str">
        <f t="shared" si="11"/>
        <v> Revenue</v>
      </c>
      <c r="D13" s="8"/>
      <c r="E13" s="8"/>
      <c r="F13" s="354">
        <v>0</v>
      </c>
      <c r="G13" s="354">
        <v>0</v>
      </c>
      <c r="H13" s="354">
        <v>0</v>
      </c>
      <c r="I13" s="354">
        <v>0</v>
      </c>
      <c r="J13" s="490">
        <f t="shared" si="1"/>
        <v>0</v>
      </c>
      <c r="K13" s="354">
        <v>0</v>
      </c>
      <c r="L13" s="354">
        <v>0</v>
      </c>
      <c r="M13" s="354">
        <v>0</v>
      </c>
      <c r="N13" s="354">
        <v>0</v>
      </c>
      <c r="O13" s="490">
        <f t="shared" si="3"/>
        <v>0</v>
      </c>
      <c r="P13" s="354">
        <v>0</v>
      </c>
      <c r="Q13" s="354">
        <v>0</v>
      </c>
      <c r="R13" s="354">
        <v>0</v>
      </c>
      <c r="S13" s="354">
        <v>0</v>
      </c>
      <c r="T13" s="490">
        <f t="shared" si="5"/>
        <v>0</v>
      </c>
      <c r="U13" s="491">
        <f>'Revenue Build'!U47</f>
        <v>0</v>
      </c>
      <c r="V13" s="491">
        <f>'Revenue Build'!V47</f>
        <v>0</v>
      </c>
      <c r="W13" s="491">
        <f>'Revenue Build'!W47</f>
        <v>0</v>
      </c>
      <c r="X13" s="491">
        <f>'Revenue Build'!X47</f>
        <v>0</v>
      </c>
      <c r="Y13" s="490">
        <f t="shared" si="7"/>
        <v>0</v>
      </c>
      <c r="Z13" s="491">
        <f>'Revenue Build'!Z47</f>
        <v>0</v>
      </c>
      <c r="AA13" s="491">
        <f>'Revenue Build'!AA47</f>
        <v>0</v>
      </c>
      <c r="AB13" s="491">
        <f>'Revenue Build'!AB47</f>
        <v>0</v>
      </c>
      <c r="AC13" s="491">
        <f>'Revenue Build'!AC47</f>
        <v>0</v>
      </c>
      <c r="AD13" s="490">
        <f t="shared" si="9"/>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0.5473402853593343</v>
      </c>
      <c r="G16" s="383">
        <f t="shared" si="12"/>
        <v>0.6039029653313182</v>
      </c>
      <c r="H16" s="383">
        <f t="shared" si="12"/>
        <v>0.6448860317057831</v>
      </c>
      <c r="I16" s="383">
        <f t="shared" si="12"/>
        <v>0.4223663814589977</v>
      </c>
      <c r="J16" s="384">
        <f t="shared" si="12"/>
        <v>0.5416235373454522</v>
      </c>
      <c r="K16" s="383">
        <f t="shared" si="12"/>
        <v>0.7168234692957408</v>
      </c>
      <c r="L16" s="383">
        <f t="shared" si="12"/>
        <v>0.7053611570728187</v>
      </c>
      <c r="M16" s="383">
        <f t="shared" si="12"/>
        <v>0.7147345719201972</v>
      </c>
      <c r="N16" s="383">
        <f t="shared" si="12"/>
        <v>0.49890623542533086</v>
      </c>
      <c r="O16" s="384">
        <f t="shared" si="12"/>
        <v>0.6393294546607088</v>
      </c>
      <c r="P16" s="383">
        <f t="shared" si="12"/>
        <v>0.6472144994503464</v>
      </c>
      <c r="Q16" s="383">
        <f t="shared" si="12"/>
        <v>0.6573478250571584</v>
      </c>
      <c r="R16" s="383">
        <f t="shared" si="12"/>
        <v>0.6554010498204255</v>
      </c>
      <c r="S16" s="383">
        <f t="shared" si="12"/>
        <v>0.9963125522728487</v>
      </c>
      <c r="T16" s="384">
        <f t="shared" si="12"/>
        <v>0.7210119144968757</v>
      </c>
      <c r="U16" s="385">
        <f t="shared" ref="U16:X16" si="13">IFERROR(U8/U$7,"N/A")</f>
        <v>0.6670635277674071</v>
      </c>
      <c r="V16" s="385">
        <f t="shared" si="13"/>
        <v>0.6776650812235329</v>
      </c>
      <c r="W16" s="385">
        <f t="shared" si="13"/>
        <v>0.6793115614852645</v>
      </c>
      <c r="X16" s="385">
        <f t="shared" si="13"/>
        <v>0.9985149069480216</v>
      </c>
      <c r="Y16" s="384">
        <f t="shared" si="12"/>
        <v>0.7395727482466845</v>
      </c>
      <c r="Z16" s="385">
        <f t="shared" si="12"/>
        <v>0.7021762159618238</v>
      </c>
      <c r="AA16" s="385">
        <f t="shared" si="12"/>
        <v>0.701384972075863</v>
      </c>
      <c r="AB16" s="385">
        <f t="shared" si="12"/>
        <v>0.6962548236238535</v>
      </c>
      <c r="AC16" s="385">
        <f t="shared" si="12"/>
        <v>1.0042220930787862</v>
      </c>
      <c r="AD16" s="384">
        <f t="shared" si="12"/>
        <v>0.7614373706327967</v>
      </c>
      <c r="AE16" s="384">
        <f t="shared" si="12"/>
        <v>0.7803829597606623</v>
      </c>
      <c r="AF16" s="384">
        <f t="shared" si="12"/>
        <v>0.7929387106519911</v>
      </c>
      <c r="AG16" s="384">
        <f t="shared" si="12"/>
        <v>0.8014836545090802</v>
      </c>
    </row>
    <row r="17" spans="1:33" x14ac:dyDescent="0.25">
      <c r="C17" s="496" t="s">
        <v>438</v>
      </c>
      <c r="D17" s="8"/>
      <c r="E17" s="8"/>
      <c r="F17" s="383">
        <f t="shared" ref="F17:AG17" si="14">IFERROR(F9/F$7,"N/A")</f>
        <v>0.01125625870571848</v>
      </c>
      <c r="G17" s="383">
        <f t="shared" si="14"/>
        <v>-0.01083598336638841</v>
      </c>
      <c r="H17" s="383">
        <f t="shared" si="14"/>
        <v>-0.010693306087341304</v>
      </c>
      <c r="I17" s="383">
        <f t="shared" si="14"/>
        <v>0.025746536194970054</v>
      </c>
      <c r="J17" s="384">
        <f t="shared" si="14"/>
        <v>0.0062143032780247335</v>
      </c>
      <c r="K17" s="383">
        <f t="shared" si="14"/>
        <v>0.05022693799032132</v>
      </c>
      <c r="L17" s="383">
        <f t="shared" si="14"/>
        <v>0.06421521701232248</v>
      </c>
      <c r="M17" s="383">
        <f t="shared" si="14"/>
        <v>0.039660163698088634</v>
      </c>
      <c r="N17" s="383">
        <f t="shared" si="14"/>
        <v>0.04724994009721203</v>
      </c>
      <c r="O17" s="384">
        <f t="shared" si="14"/>
        <v>0.049823144875966126</v>
      </c>
      <c r="P17" s="383">
        <f t="shared" si="14"/>
        <v>0.057774347828070186</v>
      </c>
      <c r="Q17" s="383">
        <f t="shared" si="14"/>
        <v>0.03769622274268088</v>
      </c>
      <c r="R17" s="383">
        <f t="shared" si="14"/>
        <v>0.03829396785074055</v>
      </c>
      <c r="S17" s="383">
        <f t="shared" si="14"/>
        <v>0.06858161642454437</v>
      </c>
      <c r="T17" s="384">
        <f t="shared" si="14"/>
        <v>0.04896871518879778</v>
      </c>
      <c r="U17" s="385">
        <f t="shared" ref="U17:X17" si="15">IFERROR(U9/U$7,"N/A")</f>
        <v>0.059009742005095116</v>
      </c>
      <c r="V17" s="385">
        <f t="shared" si="15"/>
        <v>0.04163714432611615</v>
      </c>
      <c r="W17" s="385">
        <f t="shared" si="15"/>
        <v>0.03595329913473362</v>
      </c>
      <c r="X17" s="385">
        <f t="shared" si="15"/>
        <v>0.060610199991677736</v>
      </c>
      <c r="Y17" s="384">
        <f t="shared" si="14"/>
        <v>0.04805187029413513</v>
      </c>
      <c r="Z17" s="385">
        <f t="shared" si="14"/>
        <v>0.03805297089128305</v>
      </c>
      <c r="AA17" s="385">
        <f t="shared" si="14"/>
        <v>0.03688271739636236</v>
      </c>
      <c r="AB17" s="385">
        <f t="shared" si="14"/>
        <v>0.03600485521453688</v>
      </c>
      <c r="AC17" s="385">
        <f t="shared" si="14"/>
        <v>0.05033116086813796</v>
      </c>
      <c r="AD17" s="384">
        <f t="shared" si="14"/>
        <v>0.0396359485710661</v>
      </c>
      <c r="AE17" s="384">
        <f t="shared" si="14"/>
        <v>0.03084273930396783</v>
      </c>
      <c r="AF17" s="384">
        <f t="shared" si="14"/>
        <v>0.025249411003533465</v>
      </c>
      <c r="AG17" s="384">
        <f t="shared" si="14"/>
        <v>0.020959691066785666</v>
      </c>
    </row>
    <row r="18" hidden="1" spans="1:33" x14ac:dyDescent="0.25" outlineLevel="1">
      <c r="C18" s="496"/>
      <c r="D18" s="8"/>
      <c r="E18" s="8"/>
      <c r="F18" s="383">
        <f t="shared" ref="F18:AG18" si="16">IFERROR(F10/F$7,"N/A")</f>
        <v>0.4414034559349471</v>
      </c>
      <c r="G18" s="383">
        <f t="shared" si="16"/>
        <v>0.4069330180350702</v>
      </c>
      <c r="H18" s="383">
        <f t="shared" si="16"/>
        <v>0.36580727438155825</v>
      </c>
      <c r="I18" s="383">
        <f t="shared" si="16"/>
        <v>0.5518870823460321</v>
      </c>
      <c r="J18" s="384">
        <f t="shared" si="16"/>
        <v>0.452162159376523</v>
      </c>
      <c r="K18" s="383">
        <f t="shared" si="16"/>
        <v>0.2329495927139379</v>
      </c>
      <c r="L18" s="383">
        <f t="shared" si="16"/>
        <v>0.23042362591485885</v>
      </c>
      <c r="M18" s="383">
        <f t="shared" si="16"/>
        <v>0.24560526438171418</v>
      </c>
      <c r="N18" s="383">
        <f t="shared" si="16"/>
        <v>0.453843824477457</v>
      </c>
      <c r="O18" s="384">
        <f t="shared" si="16"/>
        <v>0.31084740046332504</v>
      </c>
      <c r="P18" s="383">
        <f t="shared" si="16"/>
        <v>0.2950111527215833</v>
      </c>
      <c r="Q18" s="383">
        <f t="shared" si="16"/>
        <v>0.3049559522001608</v>
      </c>
      <c r="R18" s="383">
        <f t="shared" si="16"/>
        <v>0.30630498232883396</v>
      </c>
      <c r="S18" s="383">
        <f t="shared" si="16"/>
        <v>-0.06489416869739313</v>
      </c>
      <c r="T18" s="384">
        <f t="shared" si="16"/>
        <v>0.23001937031432637</v>
      </c>
      <c r="U18" s="385">
        <f t="shared" ref="U18:X18" si="17">IFERROR(U10/U$7,"N/A")</f>
        <v>0.27392673022749775</v>
      </c>
      <c r="V18" s="385">
        <f t="shared" si="17"/>
        <v>0.280697774450351</v>
      </c>
      <c r="W18" s="385">
        <f t="shared" si="17"/>
        <v>0.28473513938000194</v>
      </c>
      <c r="X18" s="385">
        <f t="shared" si="17"/>
        <v>-0.059125106939699384</v>
      </c>
      <c r="Y18" s="384">
        <f t="shared" si="16"/>
        <v>0.2123753814591803</v>
      </c>
      <c r="Z18" s="385">
        <f t="shared" si="16"/>
        <v>0.2597708131468932</v>
      </c>
      <c r="AA18" s="385">
        <f t="shared" si="16"/>
        <v>0.26173231052777457</v>
      </c>
      <c r="AB18" s="385">
        <f t="shared" si="16"/>
        <v>0.2677403211616096</v>
      </c>
      <c r="AC18" s="385">
        <f t="shared" si="16"/>
        <v>-0.054553253946924146</v>
      </c>
      <c r="AD18" s="384">
        <f t="shared" si="16"/>
        <v>0.19892668079613723</v>
      </c>
      <c r="AE18" s="384">
        <f t="shared" si="16"/>
        <v>0.18877430093536982</v>
      </c>
      <c r="AF18" s="384">
        <f t="shared" si="16"/>
        <v>0.18181187834447543</v>
      </c>
      <c r="AG18" s="384">
        <f t="shared" si="16"/>
        <v>0.17755665442413418</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2696.014772</v>
      </c>
      <c r="V33" s="282">
        <f t="shared" si="48"/>
        <v>2824.344974</v>
      </c>
      <c r="W33" s="282">
        <f t="shared" si="48"/>
        <v>3236.607684400001</v>
      </c>
      <c r="X33" s="282">
        <f t="shared" si="48"/>
        <v>3035.413645449999</v>
      </c>
      <c r="Y33" s="283">
        <f t="shared" ref="Y33:Y39" si="49">SUM(U33:X33)</f>
        <v>11792.381075849999</v>
      </c>
      <c r="Z33" s="282">
        <f t="shared" ref="Z33:AC33" si="50">SUM(Z34:Z39)</f>
        <v>2963.2207952600006</v>
      </c>
      <c r="AA33" s="282">
        <f t="shared" si="50"/>
        <v>3113.801018100001</v>
      </c>
      <c r="AB33" s="282">
        <f t="shared" si="50"/>
        <v>3513.549904636001</v>
      </c>
      <c r="AC33" s="282">
        <f t="shared" si="50"/>
        <v>3306.059147904999</v>
      </c>
      <c r="AD33" s="283">
        <f t="shared" ref="AD33:AD39" si="51">SUM(Z33:AC33)</f>
        <v>12896.630865901</v>
      </c>
      <c r="AE33" s="283">
        <f t="shared" ref="AE33:AG33" si="52">SUM(AE34:AE39)</f>
        <v>13889.578733268805</v>
      </c>
      <c r="AF33" s="283">
        <f t="shared" si="52"/>
        <v>14617.415140520723</v>
      </c>
      <c r="AG33" s="283">
        <f t="shared" si="52"/>
        <v>15108.780957293653</v>
      </c>
    </row>
    <row r="34" ht="15.75" customHeight="1" spans="1:33" x14ac:dyDescent="0.25">
      <c r="C34" s="457" t="str">
        <f t="shared" ref="C34:C39" si="53">C16&amp;" Operating Income"</f>
        <v>Investment Banking &amp; Capital Markets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Asset Management and Other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144.872</v>
      </c>
      <c r="V36" s="502">
        <f>V10*Drivers!V$17</f>
        <v>158.688</v>
      </c>
      <c r="W36" s="502">
        <f>W10*Drivers!W$17</f>
        <v>154.068</v>
      </c>
      <c r="X36" s="502">
        <f>X10*Drivers!X$17</f>
        <v>-24.2595</v>
      </c>
      <c r="Y36" s="490">
        <f t="shared" si="49"/>
        <v>433.36850000000004</v>
      </c>
      <c r="Z36" s="502">
        <f>Z10*Drivers!Z$17</f>
        <v>144.872</v>
      </c>
      <c r="AA36" s="502">
        <f>AA10*Drivers!AA$17</f>
        <v>158.688</v>
      </c>
      <c r="AB36" s="502">
        <f>AB10*Drivers!AB$17</f>
        <v>154.068</v>
      </c>
      <c r="AC36" s="502">
        <f>AC10*Drivers!AC$17</f>
        <v>-24.2595</v>
      </c>
      <c r="AD36" s="490">
        <f t="shared" si="51"/>
        <v>433.36850000000004</v>
      </c>
      <c r="AE36" s="490">
        <f>AE10*Drivers!AE$17</f>
        <v>449.4426</v>
      </c>
      <c r="AF36" s="490">
        <f>AF10*Drivers!AF$17</f>
        <v>452.67600000000004</v>
      </c>
      <c r="AG36" s="490">
        <f>AG10*Drivers!AG$17</f>
        <v>459.14279999999997</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 &amp; Capital Markets</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0.9346885766989411</v>
      </c>
      <c r="V44" s="385">
        <f t="shared" si="58"/>
        <v>0.9354799446676941</v>
      </c>
      <c r="W44" s="385">
        <f t="shared" si="58"/>
        <v>0.9463876776798273</v>
      </c>
      <c r="X44" s="385">
        <f t="shared" si="58"/>
        <v>0.9997992545592876</v>
      </c>
      <c r="Y44" s="384">
        <f t="shared" si="57"/>
        <v>0.954848910290018</v>
      </c>
      <c r="Z44" s="385">
        <f t="shared" si="57"/>
        <v>0.9439482125578744</v>
      </c>
      <c r="AA44" s="385">
        <f t="shared" si="57"/>
        <v>0.941855645801518</v>
      </c>
      <c r="AB44" s="385">
        <f t="shared" si="57"/>
        <v>0.9502535689886243</v>
      </c>
      <c r="AC44" s="385">
        <f t="shared" si="57"/>
        <v>1.000567908501029</v>
      </c>
      <c r="AD44" s="384">
        <f t="shared" si="57"/>
        <v>0.9596752977030589</v>
      </c>
      <c r="AE44" s="384">
        <f t="shared" si="57"/>
        <v>0.9623549113719053</v>
      </c>
      <c r="AF44" s="384">
        <f t="shared" si="57"/>
        <v>0.9647309673003023</v>
      </c>
      <c r="AG44" s="384">
        <f t="shared" si="57"/>
        <v>0.9660235756860887</v>
      </c>
    </row>
    <row r="45" ht="15.75" customHeight="1" spans="1:33" x14ac:dyDescent="0.25">
      <c r="C45" s="130" t="str">
        <f t="shared" si="56"/>
        <v>Asset Management and Other</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0.01157581268623702</v>
      </c>
      <c r="V45" s="385">
        <f t="shared" si="60"/>
        <v>0.00833428430899603</v>
      </c>
      <c r="W45" s="385">
        <f t="shared" si="60"/>
        <v>0.006010630974450762</v>
      </c>
      <c r="X45" s="385">
        <f t="shared" si="60"/>
        <v>0.008192901645308772</v>
      </c>
      <c r="Y45" s="384">
        <f t="shared" si="59"/>
        <v>0.00840121729553749</v>
      </c>
      <c r="Z45" s="385">
        <f t="shared" si="59"/>
        <v>0.0071617417756876765</v>
      </c>
      <c r="AA45" s="385">
        <f t="shared" si="59"/>
        <v>0.007181560147875138</v>
      </c>
      <c r="AB45" s="385">
        <f t="shared" si="59"/>
        <v>0.005896762106228406</v>
      </c>
      <c r="AC45" s="385">
        <f t="shared" si="59"/>
        <v>0.0067699819947816455</v>
      </c>
      <c r="AD45" s="384">
        <f t="shared" si="59"/>
        <v>0.0067214686690145855</v>
      </c>
      <c r="AE45" s="384">
        <f t="shared" si="59"/>
        <v>0.0052868286238888975</v>
      </c>
      <c r="AF45" s="384">
        <f t="shared" si="59"/>
        <v>0.004300766720499976</v>
      </c>
      <c r="AG45" s="384">
        <f t="shared" si="59"/>
        <v>0.0035872882679385187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0.05373561061482196</v>
      </c>
      <c r="V46" s="385">
        <f t="shared" si="62"/>
        <v>0.05618577102330984</v>
      </c>
      <c r="W46" s="385">
        <f t="shared" si="62"/>
        <v>0.047601691345721744</v>
      </c>
      <c r="X46" s="385">
        <f t="shared" si="62"/>
        <v>-0.00799215620459647</v>
      </c>
      <c r="Y46" s="384">
        <f t="shared" si="61"/>
        <v>0.03674987241444474</v>
      </c>
      <c r="Z46" s="385">
        <f t="shared" si="61"/>
        <v>0.04889004566643795</v>
      </c>
      <c r="AA46" s="385">
        <f t="shared" si="61"/>
        <v>0.05096279405060676</v>
      </c>
      <c r="AB46" s="385">
        <f t="shared" si="61"/>
        <v>0.04384966890514716</v>
      </c>
      <c r="AC46" s="385">
        <f t="shared" si="61"/>
        <v>-0.007337890495810666</v>
      </c>
      <c r="AD46" s="384">
        <f t="shared" si="61"/>
        <v>0.033603233627926554</v>
      </c>
      <c r="AE46" s="384">
        <f t="shared" si="61"/>
        <v>0.032358260004205844</v>
      </c>
      <c r="AF46" s="384">
        <f t="shared" si="61"/>
        <v>0.030968265979197888</v>
      </c>
      <c r="AG46" s="384">
        <f t="shared" si="61"/>
        <v>0.0303891360459728</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42</v>
      </c>
      <c r="T51" s="283">
        <f t="shared" si="69"/>
        <v>165</v>
      </c>
      <c r="U51" s="508">
        <f>Model!U76</f>
        <v>39.62</v>
      </c>
      <c r="V51" s="508">
        <f>Model!V76</f>
        <v>34.768930946137495</v>
      </c>
      <c r="W51" s="508">
        <f>Model!W76</f>
        <v>31.27456675650805</v>
      </c>
      <c r="X51" s="508">
        <f>Model!X76</f>
        <v>29.341303811349206</v>
      </c>
      <c r="Y51" s="283">
        <f>SUM(Y52:Y57)</f>
        <v>135.00480151399475</v>
      </c>
      <c r="Z51" s="508">
        <f>Model!Z76</f>
        <v>27.121355364616683</v>
      </c>
      <c r="AA51" s="508">
        <f>Model!AA76</f>
        <v>26.54844978583136</v>
      </c>
      <c r="AB51" s="508">
        <f>Model!AB76</f>
        <v>26.62276062768417</v>
      </c>
      <c r="AC51" s="508">
        <f>Model!AC76</f>
        <v>27.59934748313951</v>
      </c>
      <c r="AD51" s="283">
        <f>SUM(AD52:AD57)</f>
        <v>107.89191326127172</v>
      </c>
      <c r="AE51" s="281">
        <f>Model!AE76</f>
        <v>87.48114040435698</v>
      </c>
      <c r="AF51" s="281">
        <f>Model!AF76</f>
        <v>135.3711684272539</v>
      </c>
      <c r="AG51" s="281">
        <f>Model!AG76</f>
        <v>189.6898708762918</v>
      </c>
    </row>
    <row r="52" ht="15.75" customHeight="1" hidden="1" spans="1:33" x14ac:dyDescent="0.25">
      <c r="C52" s="457" t="str">
        <f t="shared" ref="C52:C57" si="70">C16&amp;" D&amp;A"</f>
        <v>Investment Banking &amp; Capital Markets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39.62</v>
      </c>
      <c r="V52" s="510">
        <f t="shared" si="74"/>
        <v>34.768930946137495</v>
      </c>
      <c r="W52" s="510">
        <f t="shared" si="74"/>
        <v>31.27456675650805</v>
      </c>
      <c r="X52" s="510">
        <f t="shared" si="74"/>
        <v>29.341303811349206</v>
      </c>
      <c r="Y52" s="490">
        <f t="shared" ref="Y52:Y57" si="75">SUM(U52:X52)</f>
        <v>135.00480151399475</v>
      </c>
      <c r="Z52" s="510">
        <f t="shared" ref="Z52:AC52" si="76">Z62*Z$51</f>
        <v>27.121355364616683</v>
      </c>
      <c r="AA52" s="510">
        <f t="shared" si="76"/>
        <v>26.54844978583136</v>
      </c>
      <c r="AB52" s="510">
        <f t="shared" si="76"/>
        <v>26.62276062768417</v>
      </c>
      <c r="AC52" s="510">
        <f t="shared" si="76"/>
        <v>27.59934748313951</v>
      </c>
      <c r="AD52" s="490">
        <f t="shared" ref="AD52:AD57" si="77">SUM(Z52:AC52)</f>
        <v>107.89191326127172</v>
      </c>
      <c r="AE52" s="490">
        <f t="shared" ref="AE52:AG52" si="78">AE62*AE$51</f>
        <v>87.48114040435698</v>
      </c>
      <c r="AF52" s="490">
        <f t="shared" si="78"/>
        <v>135.3711684272539</v>
      </c>
      <c r="AG52" s="490">
        <f t="shared" si="78"/>
        <v>189.6898708762918</v>
      </c>
    </row>
    <row r="53" ht="15.75" customHeight="1" hidden="1" spans="1:33" x14ac:dyDescent="0.25">
      <c r="C53" s="457" t="str">
        <f t="shared" si="70"/>
        <v>Asset Management and Other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0</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-13.899999999999999</v>
      </c>
      <c r="G59" s="511">
        <f>G51-Model!G60</f>
        <v>-8.299999999999997</v>
      </c>
      <c r="H59" s="511">
        <f>H51-Model!H60</f>
        <v>-10.200000000000003</v>
      </c>
      <c r="I59" s="511">
        <f>I51-Model!I60</f>
        <v>9</v>
      </c>
      <c r="J59" s="506">
        <f>J51-Model!J60</f>
        <v>-23.399999999999977</v>
      </c>
      <c r="K59" s="511">
        <f>K51-Model!K60</f>
        <v>1.7000000000000028</v>
      </c>
      <c r="L59" s="511">
        <f>L51-Model!L60</f>
        <v>8.7</v>
      </c>
      <c r="M59" s="511">
        <f>M51-Model!M60</f>
        <v>10.7</v>
      </c>
      <c r="N59" s="511">
        <f>N51-Model!N60</f>
        <v>-49</v>
      </c>
      <c r="O59" s="506">
        <f>O51-Model!O60</f>
        <v>-27.899999999999977</v>
      </c>
      <c r="P59" s="511">
        <f>P51-Model!P60</f>
        <v>-3.200000000000003</v>
      </c>
      <c r="Q59" s="511">
        <f>Q51-Model!Q60</f>
        <v>-8.899999999999999</v>
      </c>
      <c r="R59" s="511">
        <f>R51-Model!R60</f>
        <v>-4</v>
      </c>
      <c r="S59" s="511">
        <f>S51-Model!S60</f>
        <v>15.100000000000001</v>
      </c>
      <c r="T59" s="506">
        <f>T51-Model!T60</f>
        <v>-1</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 &amp; Capital Markets</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1</v>
      </c>
      <c r="T62" s="384">
        <f t="shared" si="97"/>
        <v>1</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Asset Management and Other</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v>
      </c>
      <c r="T63" s="384">
        <f t="shared" si="100"/>
        <v>0</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627</v>
      </c>
      <c r="T69" s="283">
        <f t="shared" si="105"/>
        <v>2445</v>
      </c>
      <c r="U69" s="515">
        <f t="shared" ref="U69:X69" si="106">U51+U33</f>
        <v>2735.634772</v>
      </c>
      <c r="V69" s="515">
        <f t="shared" si="106"/>
        <v>2859.1139049461376</v>
      </c>
      <c r="W69" s="515">
        <f t="shared" si="106"/>
        <v>3267.882251156509</v>
      </c>
      <c r="X69" s="515">
        <f t="shared" si="106"/>
        <v>3064.754949261348</v>
      </c>
      <c r="Y69" s="283">
        <f t="shared" si="105"/>
        <v>11927.385877363993</v>
      </c>
      <c r="Z69" s="515">
        <f t="shared" si="105"/>
        <v>2990.3421506246173</v>
      </c>
      <c r="AA69" s="515">
        <f t="shared" si="105"/>
        <v>3140.3494678858324</v>
      </c>
      <c r="AB69" s="515">
        <f t="shared" si="105"/>
        <v>3540.1726652636853</v>
      </c>
      <c r="AC69" s="515">
        <f t="shared" si="105"/>
        <v>3333.6584953881384</v>
      </c>
      <c r="AD69" s="283">
        <f t="shared" si="105"/>
        <v>13004.522779162271</v>
      </c>
      <c r="AE69" s="283">
        <f t="shared" si="105"/>
        <v>13977.059873673163</v>
      </c>
      <c r="AF69" s="283">
        <f t="shared" si="105"/>
        <v>14752.786308947976</v>
      </c>
      <c r="AG69" s="283">
        <f t="shared" si="105"/>
        <v>15298.470828169944</v>
      </c>
    </row>
    <row r="70" ht="15.75" customHeight="1" spans="3:33" x14ac:dyDescent="0.25">
      <c r="C70" s="130" t="str">
        <f t="shared" ref="C70:C75" si="107">C16&amp;" EBITDA"</f>
        <v>Investment Banking &amp; Capital Markets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2559.5542100000002</v>
      </c>
      <c r="V70" s="515">
        <f t="shared" si="109"/>
        <v>2676.8870109461377</v>
      </c>
      <c r="W70" s="515">
        <f t="shared" si="109"/>
        <v>3094.3601967565087</v>
      </c>
      <c r="X70" s="515">
        <f t="shared" si="109"/>
        <v>3064.145603811348</v>
      </c>
      <c r="Y70" s="516">
        <f t="shared" si="108"/>
        <v>11394.947021513995</v>
      </c>
      <c r="Z70" s="515">
        <f t="shared" si="108"/>
        <v>2824.2483284646173</v>
      </c>
      <c r="AA70" s="515">
        <f t="shared" si="108"/>
        <v>2959.299518585832</v>
      </c>
      <c r="AB70" s="515">
        <f t="shared" si="108"/>
        <v>3365.386097327685</v>
      </c>
      <c r="AC70" s="515">
        <f t="shared" si="108"/>
        <v>3335.5360344831383</v>
      </c>
      <c r="AD70" s="516">
        <f t="shared" si="108"/>
        <v>12484.469978861272</v>
      </c>
      <c r="AE70" s="516">
        <f t="shared" si="108"/>
        <v>13454.185451252359</v>
      </c>
      <c r="AF70" s="516">
        <f t="shared" si="108"/>
        <v>14237.244216371895</v>
      </c>
      <c r="AG70" s="516">
        <f t="shared" si="108"/>
        <v>14785.128475498992</v>
      </c>
    </row>
    <row r="71" ht="15.75" customHeight="1" spans="3:33" x14ac:dyDescent="0.25">
      <c r="C71" s="130" t="str">
        <f t="shared" si="107"/>
        <v>Asset Management and Other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-7</v>
      </c>
      <c r="T71" s="516">
        <f t="shared" si="110"/>
        <v>-91</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144.872</v>
      </c>
      <c r="V72" s="515">
        <f t="shared" si="113"/>
        <v>158.688</v>
      </c>
      <c r="W72" s="515">
        <f t="shared" si="113"/>
        <v>154.068</v>
      </c>
      <c r="X72" s="515">
        <f t="shared" si="113"/>
        <v>-24.2595</v>
      </c>
      <c r="Y72" s="516">
        <f t="shared" si="112"/>
        <v>433.36850000000004</v>
      </c>
      <c r="Z72" s="515">
        <f t="shared" si="112"/>
        <v>144.872</v>
      </c>
      <c r="AA72" s="515">
        <f t="shared" si="112"/>
        <v>158.688</v>
      </c>
      <c r="AB72" s="515">
        <f t="shared" si="112"/>
        <v>154.068</v>
      </c>
      <c r="AC72" s="515">
        <f t="shared" si="112"/>
        <v>-24.2595</v>
      </c>
      <c r="AD72" s="516">
        <f t="shared" si="112"/>
        <v>433.36850000000004</v>
      </c>
      <c r="AE72" s="516">
        <f t="shared" si="112"/>
        <v>449.4426</v>
      </c>
      <c r="AF72" s="516">
        <f t="shared" si="112"/>
        <v>452.67600000000004</v>
      </c>
      <c r="AG72" s="516">
        <f t="shared" si="112"/>
        <v>459.14279999999997</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 &amp; Capital Markets</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0.8277511961722488</v>
      </c>
      <c r="T78" s="384">
        <f t="shared" si="121"/>
        <v>0.7885480572597137</v>
      </c>
      <c r="U78" s="385">
        <f t="shared" ref="U78:X78" si="122">IFERROR(U70/U$69,"N/A")</f>
        <v>0.9356344773058763</v>
      </c>
      <c r="V78" s="385">
        <f t="shared" si="122"/>
        <v>0.9362645560623676</v>
      </c>
      <c r="W78" s="385">
        <f t="shared" si="122"/>
        <v>0.9469007629211271</v>
      </c>
      <c r="X78" s="385">
        <f t="shared" si="122"/>
        <v>0.9998011764529015</v>
      </c>
      <c r="Y78" s="384">
        <f t="shared" si="121"/>
        <v>0.9553599706319161</v>
      </c>
      <c r="Z78" s="385">
        <f t="shared" si="121"/>
        <v>0.9444565826270728</v>
      </c>
      <c r="AA78" s="385">
        <f t="shared" si="121"/>
        <v>0.9423471969755366</v>
      </c>
      <c r="AB78" s="385">
        <f t="shared" si="121"/>
        <v>0.9506276714548381</v>
      </c>
      <c r="AC78" s="385">
        <f t="shared" si="121"/>
        <v>1.0005632067884571</v>
      </c>
      <c r="AD78" s="384">
        <f t="shared" si="121"/>
        <v>0.9600098512546494</v>
      </c>
      <c r="AE78" s="384">
        <f t="shared" si="121"/>
        <v>0.9625905285412938</v>
      </c>
      <c r="AF78" s="384">
        <f t="shared" si="121"/>
        <v>0.9650545949910906</v>
      </c>
      <c r="AG78" s="384">
        <f t="shared" si="121"/>
        <v>0.9664448585458812</v>
      </c>
    </row>
    <row r="79" ht="15.75" customHeight="1" spans="3:33" x14ac:dyDescent="0.25">
      <c r="C79" s="130" t="str">
        <f t="shared" si="120"/>
        <v>Asset Management and Other</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-0.011164274322169059</v>
      </c>
      <c r="T79" s="384">
        <f t="shared" si="123"/>
        <v>-0.03721881390593047</v>
      </c>
      <c r="U79" s="385">
        <f t="shared" ref="U79:X79" si="124">IFERROR(U71/U$69,"N/A")</f>
        <v>0.011408161030642145</v>
      </c>
      <c r="V79" s="385">
        <f t="shared" si="124"/>
        <v>0.008232933273235031</v>
      </c>
      <c r="W79" s="385">
        <f t="shared" si="124"/>
        <v>0.005953107518826659</v>
      </c>
      <c r="X79" s="385">
        <f t="shared" si="124"/>
        <v>0.008114464569506204</v>
      </c>
      <c r="Y79" s="384">
        <f t="shared" si="123"/>
        <v>0.00830612481801377</v>
      </c>
      <c r="Z79" s="385">
        <f t="shared" si="123"/>
        <v>0.0070967872875574555</v>
      </c>
      <c r="AA79" s="385">
        <f t="shared" si="123"/>
        <v>0.007120847386152428</v>
      </c>
      <c r="AB79" s="385">
        <f t="shared" si="123"/>
        <v>0.005852417352207538</v>
      </c>
      <c r="AC79" s="385">
        <f t="shared" si="123"/>
        <v>0.006713933336592133</v>
      </c>
      <c r="AD79" s="384">
        <f t="shared" si="123"/>
        <v>0.006665704061043912</v>
      </c>
      <c r="AE79" s="384">
        <f t="shared" si="123"/>
        <v>0.0052537388466882325</v>
      </c>
      <c r="AF79" s="384">
        <f t="shared" si="123"/>
        <v>0.00426130300131535</v>
      </c>
      <c r="AG79" s="384">
        <f t="shared" si="123"/>
        <v>0.0035428085120214566</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0.1594896331738437</v>
      </c>
      <c r="T80" s="384">
        <f t="shared" si="125"/>
        <v>0.14355828220858896</v>
      </c>
      <c r="U80" s="385">
        <f t="shared" ref="U80:X80" si="126">IFERROR(U72/U$69,"N/A")</f>
        <v>0.0529573616634816</v>
      </c>
      <c r="V80" s="385">
        <f t="shared" si="126"/>
        <v>0.05550251066439743</v>
      </c>
      <c r="W80" s="385">
        <f t="shared" si="126"/>
        <v>0.047146129560046136</v>
      </c>
      <c r="X80" s="385">
        <f t="shared" si="126"/>
        <v>-0.00791564102240765</v>
      </c>
      <c r="Y80" s="384">
        <f t="shared" si="125"/>
        <v>0.036333904550070316</v>
      </c>
      <c r="Z80" s="385">
        <f t="shared" si="125"/>
        <v>0.0484466300853698</v>
      </c>
      <c r="AA80" s="385">
        <f t="shared" si="125"/>
        <v>0.05053195563831086</v>
      </c>
      <c r="AB80" s="385">
        <f t="shared" si="125"/>
        <v>0.04351991119295433</v>
      </c>
      <c r="AC80" s="385">
        <f t="shared" si="125"/>
        <v>-0.00727714012504915</v>
      </c>
      <c r="AD80" s="384">
        <f t="shared" si="125"/>
        <v>0.03332444468430674</v>
      </c>
      <c r="AE80" s="384">
        <f t="shared" si="125"/>
        <v>0.03215573261201798</v>
      </c>
      <c r="AF80" s="384">
        <f t="shared" si="125"/>
        <v>0.030684102007594284</v>
      </c>
      <c r="AG80" s="384">
        <f t="shared" si="125"/>
        <v>0.03001233294209734</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0.12440191387559808</v>
      </c>
      <c r="T81" s="384">
        <f t="shared" si="127"/>
        <v>0.15173824130879346</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-0.10047846889952153</v>
      </c>
      <c r="T82" s="384">
        <f t="shared" si="129"/>
        <v>-0.046625766871165646</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Asset Management and Other</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&amp; Capital Markets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0.6848721278972005</v>
      </c>
      <c r="G146" s="383">
        <f>IFERROR(Model!G61/Model!G28,"N/A")</f>
        <v>0.7003532738892667</v>
      </c>
      <c r="H146" s="383">
        <f>IFERROR(Model!H61/Model!H28,"N/A")</f>
        <v>0.727127412301963</v>
      </c>
      <c r="I146" s="383">
        <f>IFERROR(Model!I61/Model!I28,"N/A")</f>
        <v>0.5973609754876186</v>
      </c>
      <c r="J146" s="384">
        <f>IFERROR(Model!J61/Model!J28,"N/A")</f>
        <v>0.6697521493494161</v>
      </c>
      <c r="K146" s="383">
        <f>IFERROR(Model!K61/Model!K28,"N/A")</f>
        <v>0.639107577624816</v>
      </c>
      <c r="L146" s="383">
        <f>IFERROR(Model!L61/Model!L28,"N/A")</f>
        <v>0.6376745992665838</v>
      </c>
      <c r="M146" s="383">
        <f>IFERROR(Model!M61/Model!M28,"N/A")</f>
        <v>0.8166351788122588</v>
      </c>
      <c r="N146" s="383">
        <f>IFERROR(Model!N61/Model!N28,"N/A")</f>
        <v>0.8607931991038429</v>
      </c>
      <c r="O146" s="384">
        <f>IFERROR(Model!O61/Model!O28,"N/A")</f>
        <v>0.7546869442453318</v>
      </c>
      <c r="P146" s="383">
        <f>IFERROR(Model!P61/Model!P28,"N/A")</f>
        <v>0.7354886328907216</v>
      </c>
      <c r="Q146" s="383">
        <f>IFERROR(Model!Q61/Model!Q28,"N/A")</f>
        <v>0.7619393013933957</v>
      </c>
      <c r="R146" s="383">
        <f>IFERROR(Model!R61/Model!R28,"N/A")</f>
        <v>0.7918063715444367</v>
      </c>
      <c r="S146" s="383">
        <f>IFERROR(Model!S61/Model!S28,"N/A")</f>
        <v>0.9215831432611901</v>
      </c>
      <c r="T146" s="384">
        <f>IFERROR(Model!T61/Model!T28,"N/A")</f>
        <v>0.7956933721000462</v>
      </c>
      <c r="U146" s="385">
        <f>IFERROR(Model!U61/Model!U28,"N/A")</f>
        <v>0.14618430672571317</v>
      </c>
      <c r="V146" s="385">
        <f>IFERROR(Model!V61/Model!V28,"N/A")</f>
        <v>0.14877217396999656</v>
      </c>
      <c r="W146" s="385">
        <f>IFERROR(Model!W61/Model!W28,"N/A")</f>
        <v>0.14814421588640886</v>
      </c>
      <c r="X146" s="385">
        <f>IFERROR(Model!X61/Model!X28,"N/A")</f>
        <v>0.11807791510047234</v>
      </c>
      <c r="Y146" s="384">
        <f>IFERROR(Model!Y61/Model!Y28,"N/A")</f>
        <v>0.14181665997852355</v>
      </c>
      <c r="Z146" s="385">
        <f>IFERROR(Model!Z61/Model!Z28,"N/A")</f>
        <v>0.14626472086313685</v>
      </c>
      <c r="AA146" s="385">
        <f>IFERROR(Model!AA61/Model!AA28,"N/A")</f>
        <v>0.1540531935164459</v>
      </c>
      <c r="AB146" s="385">
        <f>IFERROR(Model!AB61/Model!AB28,"N/A")</f>
        <v>0.17244508958635618</v>
      </c>
      <c r="AC146" s="385">
        <f>IFERROR(Model!AC61/Model!AC28,"N/A")</f>
        <v>0.161095725587406</v>
      </c>
      <c r="AD146" s="384">
        <f>IFERROR(Model!AD61/Model!AD28,"N/A")</f>
        <v>0.15899761888704528</v>
      </c>
      <c r="AE146" s="384">
        <f>IFERROR(Model!AE61/Model!AE28,"N/A")</f>
        <v>0.1454608834224419</v>
      </c>
      <c r="AF146" s="384">
        <f>IFERROR(Model!AF61/Model!AF28,"N/A")</f>
        <v>0.14504821514569718</v>
      </c>
      <c r="AG146" s="384">
        <f>IFERROR(Model!AG61/Model!AG28,"N/A")</f>
        <v>0.13503540071989792</v>
      </c>
    </row>
    <row r="147" ht="15.75" customHeight="1" hidden="1" spans="3:33" x14ac:dyDescent="0.25" outlineLevel="1">
      <c r="C147" s="8" t="str">
        <f t="shared" ref="C147:C152" si="184">C16</f>
        <v>Investment Banking &amp; Capital Markets</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Asset Management and Other</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0.6684925146507047</v>
      </c>
      <c r="G154" s="383">
        <f>IFERROR(Model!G36/Model!G28,"N/A")</f>
        <v>0.6845460990819044</v>
      </c>
      <c r="H154" s="383">
        <f>IFERROR(Model!H36/Model!H28,"N/A")</f>
        <v>0.7125311675752807</v>
      </c>
      <c r="I154" s="383">
        <f>IFERROR(Model!I36/Model!I28,"N/A")</f>
        <v>0.5939717159577447</v>
      </c>
      <c r="J154" s="384">
        <f>IFERROR(Model!J36/Model!J28,"N/A")</f>
        <v>0.6581139320836505</v>
      </c>
      <c r="K154" s="383">
        <f>IFERROR(Model!K36/Model!K28,"N/A")</f>
        <v>0.6292344224353001</v>
      </c>
      <c r="L154" s="383">
        <f>IFERROR(Model!L36/Model!L28,"N/A")</f>
        <v>0.6284594893000126</v>
      </c>
      <c r="M154" s="383">
        <f>IFERROR(Model!M36/Model!M28,"N/A")</f>
        <v>0.8054341254708645</v>
      </c>
      <c r="N154" s="383">
        <f>IFERROR(Model!N36/Model!N28,"N/A")</f>
        <v>0.8553713982431197</v>
      </c>
      <c r="O154" s="384">
        <f>IFERROR(Model!O36/Model!O28,"N/A")</f>
        <v>0.7461785379168093</v>
      </c>
      <c r="P154" s="383">
        <f>IFERROR(Model!P36/Model!P28,"N/A")</f>
        <v>0.7234341715740162</v>
      </c>
      <c r="Q154" s="383">
        <f>IFERROR(Model!Q36/Model!Q28,"N/A")</f>
        <v>0.7458979049604106</v>
      </c>
      <c r="R154" s="383">
        <f>IFERROR(Model!R36/Model!R28,"N/A")</f>
        <v>0.776909580983182</v>
      </c>
      <c r="S154" s="383">
        <f>IFERROR(Model!S36/Model!S28,"N/A")</f>
        <v>0.9387531941509301</v>
      </c>
      <c r="T154" s="384">
        <f>IFERROR(Model!T36/Model!T28,"N/A")</f>
        <v>0.7875305086541107</v>
      </c>
      <c r="U154" s="385">
        <f>IFERROR(Model!U36/Model!U28,"N/A")</f>
        <v>0.16196659475834113</v>
      </c>
      <c r="V154" s="385">
        <f>IFERROR(Model!V36/Model!V28,"N/A")</f>
        <v>0.1628196127726334</v>
      </c>
      <c r="W154" s="385">
        <f>IFERROR(Model!W36/Model!W28,"N/A")</f>
        <v>0.15951556171713052</v>
      </c>
      <c r="X154" s="385">
        <f>IFERROR(Model!X36/Model!X28,"N/A")</f>
        <v>0.14089267304807507</v>
      </c>
      <c r="Y154" s="384">
        <f>IFERROR(Model!Y36/Model!Y28,"N/A")</f>
        <v>0.15725218740051702</v>
      </c>
      <c r="Z154" s="385">
        <f>IFERROR(Model!Z36/Model!Z28,"N/A")</f>
        <v>0.15809382097876326</v>
      </c>
      <c r="AA154" s="385">
        <f>IFERROR(Model!AA36/Model!AA28,"N/A")</f>
        <v>0.165185533898328</v>
      </c>
      <c r="AB154" s="385">
        <f>IFERROR(Model!AB36/Model!AB28,"N/A")</f>
        <v>0.18216764812198746</v>
      </c>
      <c r="AC154" s="385">
        <f>IFERROR(Model!AC36/Model!AC28,"N/A")</f>
        <v>0.17554591641075376</v>
      </c>
      <c r="AD154" s="384">
        <f>IFERROR(Model!AD36/Model!AD28,"N/A")</f>
        <v>0.17055718920111113</v>
      </c>
      <c r="AE154" s="384">
        <f>IFERROR(Model!AE36/Model!AE28,"N/A")</f>
        <v>0.15640651997170843</v>
      </c>
      <c r="AF154" s="384">
        <f>IFERROR(Model!AF36/Model!AF28,"N/A")</f>
        <v>0.15828297553410967</v>
      </c>
      <c r="AG154" s="384">
        <f>IFERROR(Model!AG36/Model!AG28,"N/A")</f>
        <v>0.15094322662864842</v>
      </c>
    </row>
    <row r="155" ht="15.75" customHeight="1" spans="3:33" x14ac:dyDescent="0.25">
      <c r="C155" s="8" t="str">
        <f t="shared" ref="C155:C160" si="185">C16</f>
        <v>Investment Banking &amp; Capital Markets</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Asset Management and Other</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0.051883439943141436</v>
      </c>
      <c r="G157" s="383">
        <f t="shared" si="190"/>
        <v>0.06443071491615181</v>
      </c>
      <c r="H157" s="383">
        <f t="shared" si="190"/>
        <v>0.0509683995922528</v>
      </c>
      <c r="I157" s="383">
        <f t="shared" si="190"/>
        <v>0.03217025488740411</v>
      </c>
      <c r="J157" s="384">
        <f t="shared" si="190"/>
        <v>0.046240515809697486</v>
      </c>
      <c r="K157" s="383">
        <f t="shared" si="190"/>
        <v>0.13806451612903226</v>
      </c>
      <c r="L157" s="383">
        <f t="shared" si="190"/>
        <v>0.1367135651712238</v>
      </c>
      <c r="M157" s="383">
        <f t="shared" si="190"/>
        <v>0.11005917159763313</v>
      </c>
      <c r="N157" s="383">
        <f t="shared" si="190"/>
        <v>0.0350284870225786</v>
      </c>
      <c r="O157" s="384">
        <f t="shared" si="190"/>
        <v>0.08138480676379431</v>
      </c>
      <c r="P157" s="383">
        <f t="shared" si="190"/>
        <v>0.07730962504831852</v>
      </c>
      <c r="Q157" s="383">
        <f t="shared" si="190"/>
        <v>0.07492690058479531</v>
      </c>
      <c r="R157" s="383">
        <f t="shared" si="190"/>
        <v>0.0693200405015967</v>
      </c>
      <c r="S157" s="383">
        <f t="shared" si="190"/>
        <v>-0.5564830272676684</v>
      </c>
      <c r="T157" s="384">
        <f t="shared" si="190"/>
        <v>0.10855446279458156</v>
      </c>
      <c r="U157" s="385">
        <f t="shared" ref="U157:X157" si="191">IFERROR(U36/U10,"N/A")</f>
        <v>0.14</v>
      </c>
      <c r="V157" s="385">
        <f t="shared" si="191"/>
        <v>0.145</v>
      </c>
      <c r="W157" s="385">
        <f t="shared" si="191"/>
        <v>0.12</v>
      </c>
      <c r="X157" s="385">
        <f t="shared" si="191"/>
        <v>0.135</v>
      </c>
      <c r="Y157" s="384">
        <f t="shared" si="190"/>
        <v>0.1340287313663636</v>
      </c>
      <c r="Z157" s="385">
        <f t="shared" si="190"/>
        <v>0.14</v>
      </c>
      <c r="AA157" s="385">
        <f t="shared" si="190"/>
        <v>0.145</v>
      </c>
      <c r="AB157" s="385">
        <f t="shared" si="190"/>
        <v>0.12</v>
      </c>
      <c r="AC157" s="385">
        <f t="shared" si="190"/>
        <v>0.135</v>
      </c>
      <c r="AD157" s="384">
        <f t="shared" si="190"/>
        <v>0.1340287313663636</v>
      </c>
      <c r="AE157" s="384">
        <f t="shared" si="190"/>
        <v>0.139</v>
      </c>
      <c r="AF157" s="384">
        <f t="shared" si="190"/>
        <v>0.14</v>
      </c>
      <c r="AG157" s="384">
        <f t="shared" si="190"/>
        <v>0.142</v>
      </c>
    </row>
    <row r="158" ht="15.75" customHeight="1" hidden="1" spans="3: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3: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3: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0.557669134529082</v>
      </c>
      <c r="H162" s="383">
        <f>IFERROR((Model!H36-Model!G36)/('Segment Analysis'!H7-'Segment Analysis'!G7),"N/A")</f>
        <v>0.8921276213218511</v>
      </c>
      <c r="I162" s="383">
        <f>IFERROR((Model!I36-Model!H36)/('Segment Analysis'!I7-'Segment Analysis'!H7),"N/A")</f>
        <v>0.26931710463392733</v>
      </c>
      <c r="J162" s="384"/>
      <c r="K162" s="383">
        <f>IFERROR((Model!K36-Model!I36)/('Segment Analysis'!K7-'Segment Analysis'!I7),"N/A")</f>
        <v>0.4839599020996073</v>
      </c>
      <c r="L162" s="383">
        <f>IFERROR((Model!L36-Model!K36)/('Segment Analysis'!L7-'Segment Analysis'!K7),"N/A")</f>
        <v>0.673476514754666</v>
      </c>
      <c r="M162" s="383">
        <f>IFERROR((Model!M36-Model!L36)/('Segment Analysis'!M7-'Segment Analysis'!L7),"N/A")</f>
        <v>4.19227392449517</v>
      </c>
      <c r="N162" s="383">
        <f>IFERROR((Model!N36-Model!M36)/('Segment Analysis'!N7-'Segment Analysis'!M7),"N/A")</f>
        <v>0.9518668852595283</v>
      </c>
      <c r="O162" s="384"/>
      <c r="P162" s="383">
        <f>IFERROR((Model!P36-Model!N36)/('Segment Analysis'!P7-'Segment Analysis'!N7),"N/A")</f>
        <v>1.125489188960453</v>
      </c>
      <c r="Q162" s="383">
        <f>IFERROR((Model!Q36-Model!P36)/('Segment Analysis'!Q7-'Segment Analysis'!P7),"N/A")</f>
        <v>1.71806640263538</v>
      </c>
      <c r="R162" s="383">
        <f>IFERROR((Model!R36-Model!Q36)/('Segment Analysis'!R7-'Segment Analysis'!Q7),"N/A")</f>
        <v>0.9615167062281565</v>
      </c>
      <c r="S162" s="383">
        <f>IFERROR((Model!S36-Model!R36)/('Segment Analysis'!S7-'Segment Analysis'!R7),"N/A")</f>
        <v>0.4618440015466279</v>
      </c>
      <c r="T162" s="384"/>
      <c r="U162" s="385">
        <f>IFERROR((Model!U36-Model!S36)/('Segment Analysis'!U7-'Segment Analysis'!S7),"N/A")</f>
        <v>-1.9708619707488435</v>
      </c>
      <c r="V162" s="385">
        <f>IFERROR((Model!V36-Model!U36)/('Segment Analysis'!V7-'Segment Analysis'!U7),"N/A")</f>
        <v>0.1894065104381441</v>
      </c>
      <c r="W162" s="385">
        <f>IFERROR((Model!W36-Model!V36)/('Segment Analysis'!W7-'Segment Analysis'!V7),"N/A")</f>
        <v>0.13840606510072168</v>
      </c>
      <c r="X162" s="385">
        <f>IFERROR((Model!X36-Model!W36)/('Segment Analysis'!X7-'Segment Analysis'!W7),"N/A")</f>
        <v>0.1980251999685006</v>
      </c>
      <c r="Y162" s="384"/>
      <c r="Z162" s="385">
        <f>IFERROR((Model!Z36-Model!X36)/('Segment Analysis'!Z7-'Segment Analysis'!X7),"N/A")</f>
        <v>0.21346357404254604</v>
      </c>
      <c r="AA162" s="385">
        <f>IFERROR((Model!AA36-Model!Z36)/('Segment Analysis'!AA7-'Segment Analysis'!Z7),"N/A")</f>
        <v>0.30796285405871116</v>
      </c>
      <c r="AB162" s="385">
        <f>IFERROR((Model!AB36-Model!AA36)/('Segment Analysis'!AB7-'Segment Analysis'!AA7),"N/A")</f>
        <v>0.2978267622131435</v>
      </c>
      <c r="AC162" s="385">
        <f>IFERROR((Model!AC36-Model!AB36)/('Segment Analysis'!AC7-'Segment Analysis'!AB7),"N/A")</f>
        <v>0.19669661294205437</v>
      </c>
      <c r="AD162" s="384"/>
      <c r="AE162" s="384">
        <f>IFERROR((Model!AE36-Model!AD36)/('Segment Analysis'!AE7-'Segment Analysis'!AD7),"N/A")</f>
        <v>-0.10671234754338238</v>
      </c>
      <c r="AF162" s="384">
        <f>IFERROR((Model!AF36-Model!AE36)/('Segment Analysis'!AF7-'Segment Analysis'!AE7),"N/A")</f>
        <v>0.20728343564353832</v>
      </c>
      <c r="AG162" s="384">
        <f>IFERROR((Model!AG36-Model!AF36)/('Segment Analysis'!AG7-'Segment Analysis'!AF7),"N/A")</f>
        <v>-0.1553206232564556</v>
      </c>
    </row>
    <row r="163" ht="15.75" customHeight="1" hidden="1" spans="3:33" x14ac:dyDescent="0.25" outlineLevel="1">
      <c r="C163" s="8" t="str">
        <f t="shared" ref="C163:C168" si="198">C16</f>
        <v>Investment Banking &amp; Capital Markets</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Asset Management and Other</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0.04371368695804945</v>
      </c>
      <c r="L172" s="383">
        <f>IFERROR('Segment Analysis'!L7/'Segment Analysis'!G7-1,"N/A")</f>
        <v>0.17433398389938803</v>
      </c>
      <c r="M172" s="383">
        <f>IFERROR('Segment Analysis'!M7/'Segment Analysis'!H7-1,"N/A")</f>
        <v>0.06910687339811705</v>
      </c>
      <c r="N172" s="383">
        <f>IFERROR('Segment Analysis'!N7/'Segment Analysis'!I7-1,"N/A")</f>
        <v>0.1883938915937713</v>
      </c>
      <c r="O172" s="384">
        <f>IFERROR('Segment Analysis'!O7/'Segment Analysis'!J7-1,"N/A")</f>
        <v>0.12329874153180631</v>
      </c>
      <c r="P172" s="383">
        <f>IFERROR('Segment Analysis'!P7/'Segment Analysis'!K7-1,"N/A")</f>
        <v>0.054334064744957944</v>
      </c>
      <c r="Q172" s="383">
        <f>IFERROR('Segment Analysis'!Q7/'Segment Analysis'!L7-1,"N/A")</f>
        <v>0.09759055305952047</v>
      </c>
      <c r="R172" s="383">
        <f>IFERROR('Segment Analysis'!R7/'Segment Analysis'!M7-1,"N/A")</f>
        <v>0.2183108170952892</v>
      </c>
      <c r="S172" s="383">
        <f>IFERROR('Segment Analysis'!S7/'Segment Analysis'!N7-1,"N/A")</f>
        <v>-0.46961391575762257</v>
      </c>
      <c r="T172" s="384">
        <f>IFERROR('Segment Analysis'!T7/'Segment Analysis'!O7-1,"N/A")</f>
        <v>-0.0787058880510243</v>
      </c>
      <c r="U172" s="385">
        <f>IFERROR('Segment Analysis'!U7/'Segment Analysis'!P7-1,"N/A")</f>
        <v>0.07697102972234515</v>
      </c>
      <c r="V172" s="385">
        <f>IFERROR('Segment Analysis'!V7/'Segment Analysis'!Q7-1,"N/A")</f>
        <v>0.08642098355539529</v>
      </c>
      <c r="W172" s="385">
        <f>IFERROR('Segment Analysis'!W7/'Segment Analysis'!R7-1,"N/A")</f>
        <v>0.07575406040785615</v>
      </c>
      <c r="X172" s="385">
        <f>IFERROR('Segment Analysis'!X7/'Segment Analysis'!S7-1,"N/A")</f>
        <v>0.09757380673454863</v>
      </c>
      <c r="Y172" s="384">
        <f>IFERROR('Segment Analysis'!Y7/'Segment Analysis'!T7-1,"N/A")</f>
        <v>0.08307925680424177</v>
      </c>
      <c r="Z172" s="385">
        <f>IFERROR('Segment Analysis'!Z7/'Segment Analysis'!U7-1,"N/A")</f>
        <v>0.05449387061278421</v>
      </c>
      <c r="AA172" s="385">
        <f>IFERROR('Segment Analysis'!AA7/'Segment Analysis'!V7-1,"N/A")</f>
        <v>0.07246130171828291</v>
      </c>
      <c r="AB172" s="385">
        <f>IFERROR('Segment Analysis'!AB7/'Segment Analysis'!W7-1,"N/A")</f>
        <v>0.06347500497743175</v>
      </c>
      <c r="AC172" s="385">
        <f>IFERROR('Segment Analysis'!AC7/'Segment Analysis'!X7-1,"N/A")</f>
        <v>0.08380532162615406</v>
      </c>
      <c r="AD172" s="384">
        <f>IFERROR('Segment Analysis'!AD7/'Segment Analysis'!Y7-1,"N/A")</f>
        <v>0.06760631911827608</v>
      </c>
      <c r="AE172" s="384">
        <f>IFERROR('Segment Analysis'!AE7/'Segment Analysis'!Z7-1,"N/A")</f>
        <v>3.2998221944481045</v>
      </c>
      <c r="AF172" s="384">
        <f>IFERROR('Segment Analysis'!AF7/'Segment Analysis'!AA7-1,"N/A")</f>
        <v>3.2532257548126085</v>
      </c>
      <c r="AG172" s="384">
        <f>IFERROR('Segment Analysis'!AG7/'Segment Analysis'!AB7-1,"N/A")</f>
        <v>2.7975636509054316</v>
      </c>
    </row>
    <row r="173" ht="15.75" customHeight="1" spans="3:33" x14ac:dyDescent="0.25">
      <c r="C173" s="130" t="str">
        <f>'Segment Analysis'!C16</f>
        <v>Investment Banking &amp; Capital Markets</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Asset Management and Other</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-0.44918265813788205</v>
      </c>
      <c r="L175" s="383">
        <f>IFERROR('Segment Analysis'!L10/'Segment Analysis'!G10-1,"N/A")</f>
        <v>-0.3350397175639894</v>
      </c>
      <c r="M175" s="383">
        <f>IFERROR('Segment Analysis'!M10/'Segment Analysis'!H10-1,"N/A")</f>
        <v>-0.28219503907577304</v>
      </c>
      <c r="N175" s="383">
        <f>IFERROR('Segment Analysis'!N10/'Segment Analysis'!I10-1,"N/A")</f>
        <v>-0.02272539800379436</v>
      </c>
      <c r="O175" s="384">
        <f>IFERROR('Segment Analysis'!O10/'Segment Analysis'!J10-1,"N/A")</f>
        <v>-0.22776710410628798</v>
      </c>
      <c r="P175" s="383">
        <f>IFERROR('Segment Analysis'!P10/'Segment Analysis'!K10-1,"N/A")</f>
        <v>0.33522580645161293</v>
      </c>
      <c r="Q175" s="383">
        <f>IFERROR('Segment Analysis'!Q10/'Segment Analysis'!L10-1,"N/A")</f>
        <v>0.45261481284842064</v>
      </c>
      <c r="R175" s="383">
        <f>IFERROR('Segment Analysis'!R10/'Segment Analysis'!M10-1,"N/A")</f>
        <v>0.5194082840236687</v>
      </c>
      <c r="S175" s="383">
        <f>IFERROR('Segment Analysis'!S10/'Segment Analysis'!N10-1,"N/A")</f>
        <v>-1.0758387845537034</v>
      </c>
      <c r="T175" s="384">
        <f>IFERROR('Segment Analysis'!T10/'Segment Analysis'!O10-1,"N/A")</f>
        <v>-0.31826519639882767</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2.124661770390414</v>
      </c>
      <c r="AF175" s="384">
        <f>IFERROR('Segment Analysis'!AF10/'Segment Analysis'!AA10-1,"N/A")</f>
        <v>1.9544956140350878</v>
      </c>
      <c r="AG175" s="384">
        <f>IFERROR('Segment Analysis'!AG10/'Segment Analysis'!AB10-1,"N/A")</f>
        <v>1.5184204377287949</v>
      </c>
    </row>
    <row r="176" ht="15.75" customHeight="1" hidden="1" spans="3: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3: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3: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-0.017579756530227253</v>
      </c>
      <c r="L186" s="383">
        <f>IFERROR(Model!L36/Model!G36-1,"N/A")</f>
        <v>0.07811780211569941</v>
      </c>
      <c r="M186" s="383">
        <f>IFERROR(Model!M36/Model!H36-1,"N/A")</f>
        <v>0.20850174532095256</v>
      </c>
      <c r="N186" s="383">
        <f>IFERROR(Model!N36/Model!I36-1,"N/A")</f>
        <v>0.7113914979555389</v>
      </c>
      <c r="O186" s="384">
        <f>IFERROR(Model!O36/Model!J36-1,"N/A")</f>
        <v>0.2736114094199982</v>
      </c>
      <c r="P186" s="383">
        <f>IFERROR(Model!P36/Model!K36-1,"N/A")</f>
        <v>0.2121734976593106</v>
      </c>
      <c r="Q186" s="383">
        <f>IFERROR(Model!Q36/Model!L36-1,"N/A")</f>
        <v>0.30269414014784646</v>
      </c>
      <c r="R186" s="383">
        <f>IFERROR(Model!R36/Model!M36-1,"N/A")</f>
        <v>0.17516419590917653</v>
      </c>
      <c r="S186" s="383">
        <f>IFERROR(Model!S36/Model!N36-1,"N/A")</f>
        <v>-0.41791176120876217</v>
      </c>
      <c r="T186" s="384">
        <f>IFERROR(Model!T36/Model!O36-1,"N/A")</f>
        <v>-0.027649304107826733</v>
      </c>
      <c r="U186" s="385">
        <f>IFERROR(Model!U36/Model!P36-1,"N/A")</f>
        <v>-0.7588815441797723</v>
      </c>
      <c r="V186" s="385">
        <f>IFERROR(Model!V36/Model!Q36-1,"N/A")</f>
        <v>-0.7628487187399439</v>
      </c>
      <c r="W186" s="385">
        <f>IFERROR(Model!W36/Model!R36-1,"N/A")</f>
        <v>-0.7791255026121788</v>
      </c>
      <c r="X186" s="385">
        <f>IFERROR(Model!X36/Model!S36-1,"N/A")</f>
        <v>-0.8352707522468155</v>
      </c>
      <c r="Y186" s="384">
        <f>IFERROR(Model!Y36/Model!T36-1,"N/A")</f>
        <v>-0.7837333533253661</v>
      </c>
      <c r="Z186" s="385">
        <f>IFERROR(Model!Z36/Model!U36-1,"N/A")</f>
        <v>0.029279929312555186</v>
      </c>
      <c r="AA186" s="385">
        <f>IFERROR(Model!AA36/Model!V36-1,"N/A")</f>
        <v>0.0880451666287616</v>
      </c>
      <c r="AB186" s="385">
        <f>IFERROR(Model!AB36/Model!W36-1,"N/A")</f>
        <v>0.2144943001661559</v>
      </c>
      <c r="AC186" s="385">
        <f>IFERROR(Model!AC36/Model!X36-1,"N/A")</f>
        <v>0.350372551529317</v>
      </c>
      <c r="AD186" s="384">
        <f>IFERROR(Model!AD36/Model!Y36-1,"N/A")</f>
        <v>0.15793577165565686</v>
      </c>
      <c r="AE186" s="384">
        <f>IFERROR(Model!AE36/Model!Z36-1,"N/A")</f>
        <v>3.2539311262587693</v>
      </c>
      <c r="AF186" s="384">
        <f>IFERROR(Model!AF36/Model!AA36-1,"N/A")</f>
        <v>3.0754974857811295</v>
      </c>
      <c r="AG186" s="384">
        <f>IFERROR(Model!AG36/Model!AB36-1,"N/A")</f>
        <v>2.1466427584962013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-0.026029387042382113</v>
      </c>
      <c r="L188" s="383">
        <f>IFERROR(Model!L61/Model!G61-1,"N/A")</f>
        <v>0.06923602774015625</v>
      </c>
      <c r="M188" s="383">
        <f>IFERROR(Model!M61/Model!H61-1,"N/A")</f>
        <v>0.2007115506247974</v>
      </c>
      <c r="N188" s="383">
        <f>IFERROR(Model!N61/Model!I61-1,"N/A")</f>
        <v>0.7124677066583345</v>
      </c>
      <c r="O188" s="384">
        <f>IFERROR(Model!O61/Model!J61-1,"N/A")</f>
        <v>0.26575016675159957</v>
      </c>
      <c r="P188" s="383">
        <f>IFERROR(Model!P61/Model!K61-1,"N/A")</f>
        <v>0.2133336343331702</v>
      </c>
      <c r="Q188" s="383">
        <f>IFERROR(Model!Q61/Model!L61-1,"N/A")</f>
        <v>0.31147983654362665</v>
      </c>
      <c r="R188" s="383">
        <f>IFERROR(Model!R61/Model!M61-1,"N/A")</f>
        <v>0.18126954670334094</v>
      </c>
      <c r="S188" s="383">
        <f>IFERROR(Model!S61/Model!N61-1,"N/A")</f>
        <v>-0.43215760165512396</v>
      </c>
      <c r="T188" s="384">
        <f>IFERROR(Model!T61/Model!O61-1,"N/A")</f>
        <v>-0.028646746545155533</v>
      </c>
      <c r="U188" s="385">
        <f>IFERROR(Model!U61/Model!P61-1,"N/A")</f>
        <v>-0.7859433085663606</v>
      </c>
      <c r="V188" s="385">
        <f>IFERROR(Model!V61/Model!Q61-1,"N/A")</f>
        <v>-0.7878712762623232</v>
      </c>
      <c r="W188" s="385">
        <f>IFERROR(Model!W61/Model!R61-1,"N/A")</f>
        <v>-0.7987301599317851</v>
      </c>
      <c r="X188" s="385">
        <f>IFERROR(Model!X61/Model!S61-1,"N/A")</f>
        <v>-0.859373266844385</v>
      </c>
      <c r="Y188" s="384">
        <f>IFERROR(Model!Y61/Model!T61-1,"N/A")</f>
        <v>-0.8069624706228086</v>
      </c>
      <c r="Z188" s="385">
        <f>IFERROR(Model!Z61/Model!U61-1,"N/A")</f>
        <v>0.05507393434823715</v>
      </c>
      <c r="AA188" s="385">
        <f>IFERROR(Model!AA61/Model!V61-1,"N/A")</f>
        <v>0.11053084756176146</v>
      </c>
      <c r="AB188" s="385">
        <f>IFERROR(Model!AB61/Model!W61-1,"N/A")</f>
        <v>0.23792239480210853</v>
      </c>
      <c r="AC188" s="385">
        <f>IFERROR(Model!AC61/Model!X61-1,"N/A")</f>
        <v>0.47865419654719843</v>
      </c>
      <c r="AD188" s="384">
        <f>IFERROR(Model!AD61/Model!Y61-1,"N/A")</f>
        <v>0.19694585018625466</v>
      </c>
      <c r="AE188" s="384">
        <f>IFERROR(Model!AE61/Model!Z61-1,"N/A")</f>
        <v>3.2761913554608766</v>
      </c>
      <c r="AF188" s="384">
        <f>IFERROR(Model!AF61/Model!AA61-1,"N/A")</f>
        <v>3.004608994239513</v>
      </c>
      <c r="AG188" s="384">
        <f>IFERROR(Model!AG61/Model!AB61-1,"N/A")</f>
        <v>1.973732279587662</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-0.1265287555371506</v>
      </c>
      <c r="H192" s="383">
        <f>IFERROR('Segment Analysis'!H7/'Segment Analysis'!G7-1,"N/A")</f>
        <v>0.15582194363851998</v>
      </c>
      <c r="I192" s="383">
        <f>IFERROR('Segment Analysis'!I7/'Segment Analysis'!H7-1,"N/A")</f>
        <v>0.3651864088241219</v>
      </c>
      <c r="J192" s="384"/>
      <c r="K192" s="383">
        <f>IFERROR('Segment Analysis'!K7/'Segment Analysis'!I7-1,"N/A")</f>
        <v>-0.2427315292184219</v>
      </c>
      <c r="L192" s="383">
        <f>IFERROR('Segment Analysis'!L7/'Segment Analysis'!K7-1,"N/A")</f>
        <v>-0.01721422345126089</v>
      </c>
      <c r="M192" s="383">
        <f>IFERROR('Segment Analysis'!M7/'Segment Analysis'!L7-1,"N/A")</f>
        <v>0.052253618911008326</v>
      </c>
      <c r="N192" s="383">
        <f>IFERROR('Segment Analysis'!N7/'Segment Analysis'!M7-1,"N/A")</f>
        <v>0.5175088941077992</v>
      </c>
      <c r="O192" s="384"/>
      <c r="P192" s="383">
        <f>IFERROR('Segment Analysis'!P7/'Segment Analysis'!N7-1,"N/A")</f>
        <v>-0.3281571450762206</v>
      </c>
      <c r="Q192" s="383">
        <f>IFERROR('Segment Analysis'!Q7/'Segment Analysis'!P7-1,"N/A")</f>
        <v>0.023106831213023593</v>
      </c>
      <c r="R192" s="383">
        <f>IFERROR('Segment Analysis'!R7/'Segment Analysis'!Q7-1,"N/A")</f>
        <v>0.16798742725460247</v>
      </c>
      <c r="S192" s="383">
        <f>IFERROR('Segment Analysis'!S7/'Segment Analysis'!R7-1,"N/A")</f>
        <v>-0.33935939100681545</v>
      </c>
      <c r="T192" s="384"/>
      <c r="U192" s="385">
        <f>IFERROR('Segment Analysis'!U7/'Segment Analysis'!S7-1,"N/A")</f>
        <v>0.3642048929553181</v>
      </c>
      <c r="V192" s="385">
        <f>IFERROR('Segment Analysis'!V7/'Segment Analysis'!U7-1,"N/A")</f>
        <v>0.0320841500585769</v>
      </c>
      <c r="W192" s="385">
        <f>IFERROR('Segment Analysis'!W7/'Segment Analysis'!V7-1,"N/A")</f>
        <v>0.15651965158347703</v>
      </c>
      <c r="X192" s="385">
        <f>IFERROR('Segment Analysis'!X7/'Segment Analysis'!W7-1,"N/A")</f>
        <v>-0.325959478301975</v>
      </c>
      <c r="Y192" s="384"/>
      <c r="Z192" s="385">
        <f>IFERROR('Segment Analysis'!Z7/'Segment Analysis'!X7-1,"N/A")</f>
        <v>0.3106596468088536</v>
      </c>
      <c r="AA192" s="385">
        <f>IFERROR('Segment Analysis'!AA7/'Segment Analysis'!Z7-1,"N/A")</f>
        <v>0.04966974384726197</v>
      </c>
      <c r="AB192" s="385">
        <f>IFERROR('Segment Analysis'!AB7/'Segment Analysis'!AA7-1,"N/A")</f>
        <v>0.14682901868222098</v>
      </c>
      <c r="AC192" s="385">
        <f>IFERROR('Segment Analysis'!AC7/'Segment Analysis'!AB7-1,"N/A")</f>
        <v>-0.3130739312265346</v>
      </c>
      <c r="AD192" s="384"/>
      <c r="AE192" s="384">
        <f>IFERROR('Segment Analysis'!AE7/'Segment Analysis'!AD7-1,"N/A")</f>
        <v>0.053780518907831976</v>
      </c>
      <c r="AF192" s="384">
        <f>IFERROR('Segment Analysis'!AF7/'Segment Analysis'!AE7-1,"N/A")</f>
        <v>0.03829465189124126</v>
      </c>
      <c r="AG192" s="384">
        <f>IFERROR('Segment Analysis'!AG7/'Segment Analysis'!AF7-1,"N/A")</f>
        <v>0.02396544322228955</v>
      </c>
    </row>
    <row r="193" ht="15.75" customHeight="1" spans="3:33" x14ac:dyDescent="0.25">
      <c r="C193" s="130" t="str">
        <f>'Segment Analysis'!C16</f>
        <v>Investment Banking &amp; Capital Markets</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Asset Management and Other</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-0.19474058280028428</v>
      </c>
      <c r="H195" s="383">
        <f>IFERROR('Segment Analysis'!H10/'Segment Analysis'!G10-1,"N/A")</f>
        <v>0.039011473962930365</v>
      </c>
      <c r="I195" s="383">
        <f>IFERROR('Segment Analysis'!I10/'Segment Analysis'!H10-1,"N/A")</f>
        <v>1.0596330275229358</v>
      </c>
      <c r="J195" s="384"/>
      <c r="K195" s="383">
        <f>IFERROR('Segment Analysis'!K10/'Segment Analysis'!I10-1,"N/A")</f>
        <v>-0.6803596469520745</v>
      </c>
      <c r="L195" s="383">
        <f>IFERROR('Segment Analysis'!L10/'Segment Analysis'!K10-1,"N/A")</f>
        <v>-0.027870967741935537</v>
      </c>
      <c r="M195" s="383">
        <f>IFERROR('Segment Analysis'!M10/'Segment Analysis'!L10-1,"N/A")</f>
        <v>0.12158216087071949</v>
      </c>
      <c r="N195" s="383">
        <f>IFERROR('Segment Analysis'!N10/'Segment Analysis'!M10-1,"N/A")</f>
        <v>1.8041420118343194</v>
      </c>
      <c r="O195" s="384"/>
      <c r="P195" s="383">
        <f>IFERROR('Segment Analysis'!P10/'Segment Analysis'!N10-1,"N/A")</f>
        <v>-0.5632833931209116</v>
      </c>
      <c r="Q195" s="383">
        <f>IFERROR('Segment Analysis'!Q10/'Segment Analysis'!P10-1,"N/A")</f>
        <v>0.05759567066099747</v>
      </c>
      <c r="R195" s="383">
        <f>IFERROR('Segment Analysis'!R10/'Segment Analysis'!Q10-1,"N/A")</f>
        <v>0.1731542397660819</v>
      </c>
      <c r="S195" s="383">
        <f>IFERROR('Segment Analysis'!S10/'Segment Analysis'!R10-1,"N/A")</f>
        <v>-1.1399641716644597</v>
      </c>
      <c r="T195" s="384"/>
      <c r="U195" s="385">
        <f>IFERROR('Segment Analysis'!U10/'Segment Analysis'!S10-1,"N/A")</f>
        <v>-6.758486366165832</v>
      </c>
      <c r="V195" s="385">
        <f>IFERROR('Segment Analysis'!V10/'Segment Analysis'!U10-1,"N/A")</f>
        <v>0.05759567066099747</v>
      </c>
      <c r="W195" s="385">
        <f>IFERROR('Segment Analysis'!W10/'Segment Analysis'!V10-1,"N/A")</f>
        <v>0.1731542397660819</v>
      </c>
      <c r="X195" s="385">
        <f>IFERROR('Segment Analysis'!X10/'Segment Analysis'!W10-1,"N/A")</f>
        <v>-1.1399641716644597</v>
      </c>
      <c r="Y195" s="384"/>
      <c r="Z195" s="385">
        <f>IFERROR('Segment Analysis'!Z10/'Segment Analysis'!X10-1,"N/A")</f>
        <v>-6.758486366165832</v>
      </c>
      <c r="AA195" s="385">
        <f>IFERROR('Segment Analysis'!AA10/'Segment Analysis'!Z10-1,"N/A")</f>
        <v>0.05759567066099747</v>
      </c>
      <c r="AB195" s="385">
        <f>IFERROR('Segment Analysis'!AB10/'Segment Analysis'!AA10-1,"N/A")</f>
        <v>0.1731542397660819</v>
      </c>
      <c r="AC195" s="385">
        <f>IFERROR('Segment Analysis'!AC10/'Segment Analysis'!AB10-1,"N/A")</f>
        <v>-1.1399641716644597</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3: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3: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-0.10555268764724102</v>
      </c>
      <c r="H206" s="383">
        <f>IFERROR(Model!H36/Model!G36-1,"N/A")</f>
        <v>0.20307333591473387</v>
      </c>
      <c r="I206" s="383">
        <f>IFERROR(Model!I36/Model!H36-1,"N/A")</f>
        <v>0.13803037783015037</v>
      </c>
      <c r="J206" s="384"/>
      <c r="K206" s="383">
        <f>IFERROR(Model!K36/Model!J36-1,"N/A")</f>
        <v>-0.7658200660455876</v>
      </c>
      <c r="L206" s="383">
        <f>IFERROR(Model!L36/Model!K36-1,"N/A")</f>
        <v>-0.018424572465844946</v>
      </c>
      <c r="M206" s="383">
        <f>IFERROR(Model!M36/Model!L36-1,"N/A")</f>
        <v>0.3485689813755879</v>
      </c>
      <c r="N206" s="383">
        <f>IFERROR(Model!N36/Model!M36-1,"N/A")</f>
        <v>0.6115951181488808</v>
      </c>
      <c r="O206" s="384"/>
      <c r="P206" s="383">
        <f>IFERROR(Model!P36/Model!O36-1,"N/A")</f>
        <v>-0.7771167033181501</v>
      </c>
      <c r="Q206" s="383">
        <f>IFERROR(Model!Q36/Model!P36-1,"N/A")</f>
        <v>0.054875857318278154</v>
      </c>
      <c r="R206" s="383">
        <f>IFERROR(Model!R36/Model!Q36-1,"N/A")</f>
        <v>0.21654802442454946</v>
      </c>
      <c r="S206" s="383">
        <f>IFERROR(Model!S36/Model!R36-1,"N/A")</f>
        <v>-0.2017366022268262</v>
      </c>
      <c r="T206" s="384"/>
      <c r="U206" s="385">
        <f>IFERROR(Model!U36/Model!T36-1,"N/A")</f>
        <v>-0.944730562181848</v>
      </c>
      <c r="V206" s="385">
        <f>IFERROR(Model!V36/Model!U36-1,"N/A")</f>
        <v>0.03751975468790825</v>
      </c>
      <c r="W206" s="385">
        <f>IFERROR(Model!W36/Model!V36-1,"N/A")</f>
        <v>0.1330507345995</v>
      </c>
      <c r="X206" s="385">
        <f>IFERROR(Model!X36/Model!W36-1,"N/A")</f>
        <v>-0.40465137180057864</v>
      </c>
      <c r="Y206" s="384"/>
      <c r="Z206" s="385">
        <f>IFERROR(Model!Z36/Model!Y36-1,"N/A")</f>
        <v>-0.7369556335878371</v>
      </c>
      <c r="AA206" s="385">
        <f>IFERROR(Model!AA36/Model!Z36-1,"N/A")</f>
        <v>0.0967554328237954</v>
      </c>
      <c r="AB206" s="385">
        <f>IFERROR(Model!AB36/Model!AA36-1,"N/A")</f>
        <v>0.2647302714774935</v>
      </c>
      <c r="AC206" s="385">
        <f>IFERROR(Model!AC36/Model!AB36-1,"N/A")</f>
        <v>-0.33804345891031085</v>
      </c>
      <c r="AD206" s="384"/>
      <c r="AE206" s="384">
        <f>IFERROR(Model!AE36/Model!AD36-1,"N/A")</f>
        <v>-0.03364880396796921</v>
      </c>
      <c r="AF206" s="384">
        <f>IFERROR(Model!AF36/Model!AE36-1,"N/A")</f>
        <v>0.05075138179805827</v>
      </c>
      <c r="AG206" s="384">
        <f>IFERROR(Model!AG36/Model!AF36-1,"N/A")</f>
        <v>-0.02351691687209312</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-0.10678443348842093</v>
      </c>
      <c r="H208" s="383">
        <f>IFERROR(Model!H61/Model!G61-1,"N/A")</f>
        <v>0.20000841045912376</v>
      </c>
      <c r="I208" s="383">
        <f>IFERROR(Model!I61/Model!H61-1,"N/A")</f>
        <v>0.12154908630916816</v>
      </c>
      <c r="J208" s="384"/>
      <c r="K208" s="383">
        <f>IFERROR(Model!K61/Model!I61-1,"N/A")</f>
        <v>-0.18980978364413692</v>
      </c>
      <c r="L208" s="383">
        <f>IFERROR(Model!L61/Model!K61-1,"N/A")</f>
        <v>-0.01941778165942143</v>
      </c>
      <c r="M208" s="383">
        <f>IFERROR(Model!M61/Model!L61-1,"N/A")</f>
        <v>0.3475639820428207</v>
      </c>
      <c r="N208" s="383">
        <f>IFERROR(Model!N61/Model!M61-1,"N/A")</f>
        <v>0.5995653500103397</v>
      </c>
      <c r="O208" s="384"/>
      <c r="P208" s="383">
        <f>IFERROR(Model!P61/Model!N61-1,"N/A")</f>
        <v>-0.425956451096822</v>
      </c>
      <c r="Q208" s="383">
        <f>IFERROR(Model!Q61/Model!P61-1,"N/A")</f>
        <v>0.0599012267006529</v>
      </c>
      <c r="R208" s="383">
        <f>IFERROR(Model!R61/Model!Q61-1,"N/A")</f>
        <v>0.213771077424048</v>
      </c>
      <c r="S208" s="383">
        <f>IFERROR(Model!S61/Model!R61-1,"N/A")</f>
        <v>-0.23108063930531575</v>
      </c>
      <c r="T208" s="384"/>
      <c r="U208" s="385">
        <f>IFERROR(Model!U61/Model!S61-1,"N/A")</f>
        <v>-0.7836056920455424</v>
      </c>
      <c r="V208" s="385">
        <f>IFERROR(Model!V61/Model!U61-1,"N/A")</f>
        <v>0.05035489898576562</v>
      </c>
      <c r="W208" s="385">
        <f>IFERROR(Model!W61/Model!V61-1,"N/A")</f>
        <v>0.1516380541404876</v>
      </c>
      <c r="X208" s="385">
        <f>IFERROR(Model!X61/Model!W61-1,"N/A")</f>
        <v>-0.46275796851654727</v>
      </c>
      <c r="Y208" s="384"/>
      <c r="Z208" s="385">
        <f>IFERROR(Model!Z61/Model!X61-1,"N/A")</f>
        <v>0.6235319468840084</v>
      </c>
      <c r="AA208" s="385">
        <f>IFERROR(Model!AA61/Model!Z61-1,"N/A")</f>
        <v>0.10556376973891979</v>
      </c>
      <c r="AB208" s="385">
        <f>IFERROR(Model!AB61/Model!AA61-1,"N/A")</f>
        <v>0.2837451035753842</v>
      </c>
      <c r="AC208" s="385">
        <f>IFERROR(Model!AC61/Model!AB61-1,"N/A")</f>
        <v>-0.3582835339677818</v>
      </c>
      <c r="AD208" s="384"/>
      <c r="AE208" s="384">
        <f>IFERROR(Model!AE61/Model!AD61-1,"N/A")</f>
        <v>-0.03593622164500432</v>
      </c>
      <c r="AF208" s="384">
        <f>IFERROR(Model!AF61/Model!AE61-1,"N/A")</f>
        <v>0.03534904029678332</v>
      </c>
      <c r="AG208" s="384">
        <f>IFERROR(Model!AG61/Model!AF61-1,"N/A")</f>
        <v>-0.04671985236109577</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0.9309816913250261</v>
      </c>
      <c r="G7" s="383">
        <f>IF($C$5="Operating Margins",'Segment Analysis'!G155,Model!G66)</f>
        <v>0.9071919754101835</v>
      </c>
      <c r="H7" s="383">
        <f>IF($C$5="Operating Margins",'Segment Analysis'!H155,Model!H66)</f>
        <v>0.8998473627818754</v>
      </c>
      <c r="I7" s="383">
        <f>IF($C$5="Operating Margins",'Segment Analysis'!I155,Model!I66)</f>
        <v>0.9701817999722304</v>
      </c>
      <c r="J7" s="384">
        <f>IF($C$5="Operating Margins",'Segment Analysis'!J155,Model!J66)</f>
        <v>0.9314078146649019</v>
      </c>
      <c r="K7" s="383">
        <f>IF($C$5="Operating Margins",'Segment Analysis'!K155,Model!K66)</f>
        <v>0.8505816225314858</v>
      </c>
      <c r="L7" s="383">
        <f>IF($C$5="Operating Margins",'Segment Analysis'!L155,Model!L66)</f>
        <v>0.8123335056260189</v>
      </c>
      <c r="M7" s="383">
        <f>IF($C$5="Operating Margins",'Segment Analysis'!M155,Model!M66)</f>
        <v>1</v>
      </c>
      <c r="N7" s="383">
        <f>IF($C$5="Operating Margins",'Segment Analysis'!N155,Model!N66)</f>
        <v>1</v>
      </c>
      <c r="O7" s="384">
        <f>IF($C$5="Operating Margins",'Segment Analysis'!O155,Model!O66)</f>
        <v>0.927205252547046</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0.7971759277574433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0.8083981620810355</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0.051883439943141436</v>
      </c>
      <c r="G17" s="383">
        <f>'Segment Analysis'!G157</f>
        <v>0.06443071491615181</v>
      </c>
      <c r="H17" s="383">
        <f>'Segment Analysis'!H157</f>
        <v>0.0509683995922528</v>
      </c>
      <c r="I17" s="383">
        <f>'Segment Analysis'!I157</f>
        <v>0.03217025488740411</v>
      </c>
      <c r="J17" s="384">
        <f>'Segment Analysis'!J157</f>
        <v>0.046240515809697486</v>
      </c>
      <c r="K17" s="383">
        <f>'Segment Analysis'!K157</f>
        <v>0.13806451612903226</v>
      </c>
      <c r="L17" s="383">
        <f>'Segment Analysis'!L157</f>
        <v>0.1367135651712238</v>
      </c>
      <c r="M17" s="383">
        <f>'Segment Analysis'!M157</f>
        <v>0.11005917159763313</v>
      </c>
      <c r="N17" s="383">
        <f>'Segment Analysis'!N157</f>
        <v>0.0350284870225786</v>
      </c>
      <c r="O17" s="384">
        <f>'Segment Analysis'!O157</f>
        <v>0.08138480676379431</v>
      </c>
      <c r="P17" s="383">
        <f>'Segment Analysis'!P157</f>
        <v>0.07730962504831852</v>
      </c>
      <c r="Q17" s="383">
        <f>'Segment Analysis'!Q157</f>
        <v>0.07492690058479531</v>
      </c>
      <c r="R17" s="383">
        <f>'Segment Analysis'!R157</f>
        <v>0.0693200405015967</v>
      </c>
      <c r="S17" s="383">
        <f>'Segment Analysis'!S157</f>
        <v>-0.5564830272676684</v>
      </c>
      <c r="T17" s="384">
        <f>'Segment Analysis'!T157</f>
        <v>0.10855446279458156</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0.1340287313663636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0.1340287313663636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-0.266481553869172</v>
      </c>
      <c r="G40" s="383">
        <f>Model!G67</f>
        <v>-0.22946803481769643</v>
      </c>
      <c r="H40" s="383">
        <f>Model!H67</f>
        <v>-0.1932461906741792</v>
      </c>
      <c r="I40" s="383">
        <f>Model!I67</f>
        <v>-0.3812035314349797</v>
      </c>
      <c r="J40" s="384">
        <f>Model!J67</f>
        <v>-0.28097898427693835</v>
      </c>
      <c r="K40" s="383">
        <f>Model!K67</f>
        <v>-0.24846278888967419</v>
      </c>
      <c r="L40" s="383">
        <f>Model!L67</f>
        <v>-0.21682737017277665</v>
      </c>
      <c r="M40" s="383">
        <f>Model!M67</f>
        <v>-0.18721224945356463</v>
      </c>
      <c r="N40" s="383">
        <f>Model!N67</f>
        <v>-0.1275819250831121</v>
      </c>
      <c r="O40" s="384">
        <f>Model!O67</f>
        <v>-0.18301765520963797</v>
      </c>
      <c r="P40" s="383">
        <f>Model!P67</f>
        <v>-0.2642499395609157</v>
      </c>
      <c r="Q40" s="383">
        <f>Model!Q67</f>
        <v>-0.24019739656116465</v>
      </c>
      <c r="R40" s="383">
        <f>Model!R67</f>
        <v>-0.2121160213323205</v>
      </c>
      <c r="S40" s="383">
        <f>Model!S67</f>
        <v>-0.05153254242135782</v>
      </c>
      <c r="T40" s="384">
        <f>Model!T67</f>
        <v>-0.20066049293178087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-0.5218877042327841</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-0.5087623463770904</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-0.24122092207564652</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-0.23280137251396144</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v>
      </c>
      <c r="M50" s="383">
        <f>Model!M69</f>
        <v>0</v>
      </c>
      <c r="N50" s="383">
        <f>Model!N69</f>
        <v>0</v>
      </c>
      <c r="O50" s="384">
        <f>Model!O69</f>
        <v>0</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-0.04045926528130541</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-0.045000000000000005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0.03370210271814785</v>
      </c>
      <c r="G64" s="383">
        <f>Model!G71</f>
        <v>0.03016615054426534</v>
      </c>
      <c r="H64" s="383">
        <f>Model!H71</f>
        <v>0.05373757794232269</v>
      </c>
      <c r="I64" s="383">
        <f>Model!I71</f>
        <v>-0.05169276454615511</v>
      </c>
      <c r="J64" s="384">
        <f>Model!J71</f>
        <v>0.01147412826347036</v>
      </c>
      <c r="K64" s="383">
        <f>Model!K71</f>
        <v>0.017979076614671425</v>
      </c>
      <c r="L64" s="383">
        <f>Model!L71</f>
        <v>0.006383436370322569</v>
      </c>
      <c r="M64" s="383">
        <f>Model!M71</f>
        <v>0.01338828182513677</v>
      </c>
      <c r="N64" s="383">
        <f>Model!N71</f>
        <v>0.048858237575346644</v>
      </c>
      <c r="O64" s="384">
        <f>Model!O71</f>
        <v>0.0285361705797156</v>
      </c>
      <c r="P64" s="383">
        <f>Model!P71</f>
        <v>0.02206840891500667</v>
      </c>
      <c r="Q64" s="383">
        <f>Model!Q71</f>
        <v>0.027308573808798888</v>
      </c>
      <c r="R64" s="383">
        <f>Model!R71</f>
        <v>0.02395228704420793</v>
      </c>
      <c r="S64" s="383">
        <f>Model!S71</f>
        <v>-0.008666971337829545</v>
      </c>
      <c r="T64" s="384">
        <f>Model!T71</f>
        <v>0.01667242226710075</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0.2467775382995043</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t="e">
        <f>Model!G204</f>
        <v>#DIV/0!</v>
      </c>
      <c r="H72" s="383" t="e">
        <f>Model!H204</f>
        <v>#DIV/0!</v>
      </c>
      <c r="I72" s="383" t="e">
        <f>Model!I204</f>
        <v>#DIV/0!</v>
      </c>
      <c r="J72" s="384" t="e">
        <f>Model!J204</f>
        <v>#DIV/0!</v>
      </c>
      <c r="K72" s="383" t="e">
        <f>Model!K204</f>
        <v>#DIV/0!</v>
      </c>
      <c r="L72" s="383" t="e">
        <f>Model!L204</f>
        <v>#DIV/0!</v>
      </c>
      <c r="M72" s="383" t="e">
        <f>Model!M204</f>
        <v>#DIV/0!</v>
      </c>
      <c r="N72" s="383" t="e">
        <f>Model!N204</f>
        <v>#DIV/0!</v>
      </c>
      <c r="O72" s="384" t="e">
        <f>Model!O204</f>
        <v>#DIV/0!</v>
      </c>
      <c r="P72" s="383" t="e">
        <f>Model!P204</f>
        <v>#DIV/0!</v>
      </c>
      <c r="Q72" s="383" t="e">
        <f>Model!Q204</f>
        <v>#DIV/0!</v>
      </c>
      <c r="R72" s="383" t="e">
        <f>Model!R204</f>
        <v>#DIV/0!</v>
      </c>
      <c r="S72" s="383" t="e">
        <f>Model!S204</f>
        <v>#DIV/0!</v>
      </c>
      <c r="T72" s="384" t="e">
        <f>Model!T204</f>
        <v>#DIV/0!</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-0.11150886485023408</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-0.132449739784627</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 &amp; Capital Markets</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1</v>
      </c>
      <c r="T78" s="387">
        <f>'Segment Analysis'!T62</f>
        <v>1</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Asset Management and Other</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v>
      </c>
      <c r="T79" s="387">
        <f>'Segment Analysis'!T63</f>
        <v>0</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f>Model!G217</f>
        <v>4.566384700257448</v>
      </c>
      <c r="H85" s="383">
        <f>Model!H217</f>
        <v>2.3677130044843047</v>
      </c>
      <c r="I85" s="383">
        <f>Model!I217</f>
        <v>1.9985304922850846</v>
      </c>
      <c r="J85" s="384">
        <f>Model!J217</f>
        <v>-4.3354838709677415</v>
      </c>
      <c r="K85" s="383">
        <f>Model!K217</f>
        <v>0</v>
      </c>
      <c r="L85" s="383">
        <f>Model!L217</f>
        <v>2.354131534569983</v>
      </c>
      <c r="M85" s="383">
        <f>Model!M217</f>
        <v>1.136344449134656</v>
      </c>
      <c r="N85" s="383">
        <f>Model!N217</f>
        <v>2.402567629527739</v>
      </c>
      <c r="O85" s="384">
        <f>Model!O217</f>
        <v>-2.0089179548156957</v>
      </c>
      <c r="P85" s="383">
        <f>Model!P217</f>
        <v>0</v>
      </c>
      <c r="Q85" s="383">
        <f>Model!Q217</f>
        <v>3.341372912801484</v>
      </c>
      <c r="R85" s="383">
        <f>Model!R217</f>
        <v>1.692236169223617</v>
      </c>
      <c r="S85" s="383">
        <f>Model!S217</f>
        <v>1.092318212901755</v>
      </c>
      <c r="T85" s="384">
        <f>Model!T217</f>
        <v>-1.5639026695015354</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f>Model!Y217</f>
        <v>-0.7336401381662881</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f>Model!AD217</f>
        <v>-0.733640138166288</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0.00865866054286037</v>
      </c>
      <c r="G92" s="383">
        <f>Model!G203</f>
        <v>-0.02499782705669981</v>
      </c>
      <c r="H92" s="383">
        <f>Model!H203</f>
        <v>-0.00807933157825392</v>
      </c>
      <c r="I92" s="383">
        <f>Model!I203</f>
        <v>-0.0052352564934252</v>
      </c>
      <c r="J92" s="384">
        <f>Model!J203</f>
        <v>-0.006699462128897651</v>
      </c>
      <c r="K92" s="383">
        <f>Model!K203</f>
        <v>0.007574619014698368</v>
      </c>
      <c r="L92" s="383">
        <f>Model!L203</f>
        <v>-0.02881059936445408</v>
      </c>
      <c r="M92" s="383">
        <f>Model!M203</f>
        <v>-0.015404827233409291</v>
      </c>
      <c r="N92" s="383">
        <f>Model!N203</f>
        <v>-0.009768320341148051</v>
      </c>
      <c r="O92" s="384">
        <f>Model!O203</f>
        <v>-0.011338337363249329</v>
      </c>
      <c r="P92" s="383">
        <f>Model!P203</f>
        <v>0.027425659926378347</v>
      </c>
      <c r="Q92" s="383">
        <f>Model!Q203</f>
        <v>-0.05439272831640294</v>
      </c>
      <c r="R92" s="383">
        <f>Model!R203</f>
        <v>-0.013360136311562198</v>
      </c>
      <c r="S92" s="383">
        <f>Model!S203</f>
        <v>-0.0065002506207739365</v>
      </c>
      <c r="T92" s="384">
        <f>Model!T203</f>
        <v>-0.01230696822675155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-0.015000000000000001</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-12.1</v>
      </c>
      <c r="H97" s="320">
        <f>Model!H84</f>
        <v>0</v>
      </c>
      <c r="I97" s="320">
        <f>Model!I84</f>
        <v>13.3</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-0.03319502074688785</v>
      </c>
      <c r="L101" s="383">
        <f>Model!L276</f>
        <v>0.05271084337349419</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v>
      </c>
      <c r="H113" s="545">
        <f>Model!H184</f>
        <v>0</v>
      </c>
      <c r="I113" s="545">
        <f>Model!I184</f>
        <v>0</v>
      </c>
      <c r="J113" s="546">
        <f>Model!J184</f>
        <v>0</v>
      </c>
      <c r="K113" s="545">
        <f>Model!K184</f>
        <v>0</v>
      </c>
      <c r="L113" s="545">
        <f>Model!L184</f>
        <v>0</v>
      </c>
      <c r="M113" s="545">
        <f>Model!M184</f>
        <v>0</v>
      </c>
      <c r="N113" s="545">
        <f>Model!N184</f>
        <v>0</v>
      </c>
      <c r="O113" s="546">
        <f>Model!O184</f>
        <v>0</v>
      </c>
      <c r="P113" s="545">
        <f>Model!P184</f>
        <v>0</v>
      </c>
      <c r="Q113" s="545">
        <f>Model!Q184</f>
        <v>0</v>
      </c>
      <c r="R113" s="545">
        <f>Model!R184</f>
        <v>0</v>
      </c>
      <c r="S113" s="545">
        <f>Model!S184</f>
        <v>0</v>
      </c>
      <c r="T113" s="546">
        <f>Model!T184</f>
        <v>0</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0.479106560218587</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0.4863761391181681</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v>
      </c>
      <c r="H118" s="545">
        <f>Model!H185</f>
        <v>0</v>
      </c>
      <c r="I118" s="545">
        <f>Model!I185</f>
        <v>0</v>
      </c>
      <c r="J118" s="546">
        <f>Model!J185</f>
        <v>0</v>
      </c>
      <c r="K118" s="545">
        <f>Model!K185</f>
        <v>0</v>
      </c>
      <c r="L118" s="545">
        <f>Model!L185</f>
        <v>0</v>
      </c>
      <c r="M118" s="545">
        <f>Model!M185</f>
        <v>0</v>
      </c>
      <c r="N118" s="545">
        <f>Model!N185</f>
        <v>0</v>
      </c>
      <c r="O118" s="546">
        <f>Model!O185</f>
        <v>0</v>
      </c>
      <c r="P118" s="545">
        <f>Model!P185</f>
        <v>0</v>
      </c>
      <c r="Q118" s="545">
        <f>Model!Q185</f>
        <v>0</v>
      </c>
      <c r="R118" s="545">
        <f>Model!R185</f>
        <v>0</v>
      </c>
      <c r="S118" s="545">
        <f>Model!S185</f>
        <v>0</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0.008213531182366864</v>
      </c>
      <c r="G123" s="383">
        <f>Model!G188</f>
        <v>0.014558475425589154</v>
      </c>
      <c r="H123" s="383">
        <f>Model!H188</f>
        <v>0.015330096813812833</v>
      </c>
      <c r="I123" s="383">
        <f>Model!I188</f>
        <v>0.008323684853067429</v>
      </c>
      <c r="J123" s="384">
        <f>Model!J188</f>
        <v>0.008905517915529038</v>
      </c>
      <c r="K123" s="383">
        <f>Model!K188</f>
        <v>0.021067179020460444</v>
      </c>
      <c r="L123" s="383">
        <f>Model!L188</f>
        <v>0.024156858315336698</v>
      </c>
      <c r="M123" s="383">
        <f>Model!M188</f>
        <v>0.023692076079343982</v>
      </c>
      <c r="N123" s="383">
        <f>Model!N188</f>
        <v>0.01365122277548656</v>
      </c>
      <c r="O123" s="384">
        <f>Model!O188</f>
        <v>0.015181264016247342</v>
      </c>
      <c r="P123" s="383">
        <f>Model!P188</f>
        <v>0.017989882225174177</v>
      </c>
      <c r="Q123" s="383">
        <f>Model!Q188</f>
        <v>0.016436305099616428</v>
      </c>
      <c r="R123" s="383">
        <f>Model!R188</f>
        <v>0.015968283899046937</v>
      </c>
      <c r="S123" s="383">
        <f>Model!S188</f>
        <v>0.005587493696419566</v>
      </c>
      <c r="T123" s="384">
        <f>Model!T188</f>
        <v>0.005899257401691244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0.018479246150071283</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0.01807698972172572</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0.032966663236143834</v>
      </c>
      <c r="H128" s="383">
        <f>Model!H235</f>
        <v>0.04481295205249802</v>
      </c>
      <c r="I128" s="383">
        <f>Model!I235</f>
        <v>-0.12442556031937557</v>
      </c>
      <c r="J128" s="384" t="e">
        <f>Model!J235</f>
        <v>#DIV/0!</v>
      </c>
      <c r="K128" s="383">
        <f>Model!K235</f>
        <v>0.20825278607975894</v>
      </c>
      <c r="L128" s="383">
        <f>Model!L235</f>
        <v>0.03520391890392727</v>
      </c>
      <c r="M128" s="383">
        <f>Model!M235</f>
        <v>0.0037876441088067203</v>
      </c>
      <c r="N128" s="383">
        <f>Model!N235</f>
        <v>-0.08697559665502841</v>
      </c>
      <c r="O128" s="384">
        <f>Model!O235</f>
        <v>0.14632547443466826</v>
      </c>
      <c r="P128" s="383">
        <f>Model!P235</f>
        <v>0.22044368276426574</v>
      </c>
      <c r="Q128" s="383">
        <f>Model!Q235</f>
        <v>-0.0447661093171533</v>
      </c>
      <c r="R128" s="383">
        <f>Model!R235</f>
        <v>0.03147254262788368</v>
      </c>
      <c r="S128" s="383">
        <f>Model!S235</f>
        <v>-0.07468981800833219</v>
      </c>
      <c r="T128" s="384">
        <f>Model!T235</f>
        <v>0.11268562909260993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0.08243216000000042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v>
      </c>
      <c r="H135" s="545">
        <f>Model!H186</f>
        <v>0</v>
      </c>
      <c r="I135" s="545">
        <f>Model!I186</f>
        <v>0</v>
      </c>
      <c r="J135" s="546">
        <f>Model!J186</f>
        <v>0</v>
      </c>
      <c r="K135" s="545">
        <f>Model!K186</f>
        <v>0</v>
      </c>
      <c r="L135" s="545">
        <f>Model!L186</f>
        <v>0</v>
      </c>
      <c r="M135" s="545">
        <f>Model!M186</f>
        <v>0</v>
      </c>
      <c r="N135" s="545">
        <f>Model!N186</f>
        <v>0</v>
      </c>
      <c r="O135" s="546">
        <f>Model!O186</f>
        <v>0</v>
      </c>
      <c r="P135" s="545">
        <f>Model!P186</f>
        <v>0</v>
      </c>
      <c r="Q135" s="545">
        <f>Model!Q186</f>
        <v>0</v>
      </c>
      <c r="R135" s="545">
        <f>Model!R186</f>
        <v>0</v>
      </c>
      <c r="S135" s="545">
        <f>Model!S186</f>
        <v>0</v>
      </c>
      <c r="T135" s="546">
        <f>Model!T186</f>
        <v>0</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0.8210152596574571</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0.7893550781205677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0</v>
      </c>
      <c r="G140" s="383">
        <f>Model!G189</f>
        <v>0</v>
      </c>
      <c r="H140" s="383">
        <f>Model!H189</f>
        <v>0</v>
      </c>
      <c r="I140" s="383">
        <f>Model!I189</f>
        <v>0</v>
      </c>
      <c r="J140" s="384">
        <f>Model!J189</f>
        <v>0</v>
      </c>
      <c r="K140" s="383">
        <f>Model!K189</f>
        <v>0</v>
      </c>
      <c r="L140" s="383">
        <f>Model!L189</f>
        <v>0</v>
      </c>
      <c r="M140" s="383">
        <f>Model!M189</f>
        <v>0</v>
      </c>
      <c r="N140" s="383">
        <f>Model!N189</f>
        <v>0</v>
      </c>
      <c r="O140" s="384">
        <f>Model!O189</f>
        <v>0</v>
      </c>
      <c r="P140" s="383">
        <f>Model!P189</f>
        <v>0</v>
      </c>
      <c r="Q140" s="383">
        <f>Model!Q189</f>
        <v>0</v>
      </c>
      <c r="R140" s="383">
        <f>Model!R189</f>
        <v>0</v>
      </c>
      <c r="S140" s="383">
        <f>Model!S189</f>
        <v>0</v>
      </c>
      <c r="T140" s="384">
        <f>Model!T189</f>
        <v>0</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0.5290134935746897</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0.5370403202763107</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v>
      </c>
      <c r="G145" s="383">
        <f>Model!G190</f>
        <v>0</v>
      </c>
      <c r="H145" s="383">
        <f>Model!H190</f>
        <v>0</v>
      </c>
      <c r="I145" s="383">
        <f>Model!I190</f>
        <v>0</v>
      </c>
      <c r="J145" s="384">
        <f>Model!J190</f>
        <v>0</v>
      </c>
      <c r="K145" s="383">
        <f>Model!K190</f>
        <v>0</v>
      </c>
      <c r="L145" s="383">
        <f>Model!L190</f>
        <v>0</v>
      </c>
      <c r="M145" s="383">
        <f>Model!M190</f>
        <v>0</v>
      </c>
      <c r="N145" s="383">
        <f>Model!N190</f>
        <v>0</v>
      </c>
      <c r="O145" s="384">
        <f>Model!O190</f>
        <v>0</v>
      </c>
      <c r="P145" s="383">
        <f>Model!P190</f>
        <v>0</v>
      </c>
      <c r="Q145" s="383">
        <f>Model!Q190</f>
        <v>0</v>
      </c>
      <c r="R145" s="383">
        <f>Model!R190</f>
        <v>0</v>
      </c>
      <c r="S145" s="383">
        <f>Model!S190</f>
        <v>0</v>
      </c>
      <c r="T145" s="384">
        <f>Model!T190</f>
        <v>0</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0.17567240541348192</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0.17833791767666166</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0</v>
      </c>
      <c r="G150" s="383">
        <f>Model!G191</f>
        <v>0</v>
      </c>
      <c r="H150" s="383">
        <f>Model!H191</f>
        <v>0</v>
      </c>
      <c r="I150" s="383">
        <f>Model!I191</f>
        <v>0</v>
      </c>
      <c r="J150" s="384">
        <f>Model!J191</f>
        <v>0</v>
      </c>
      <c r="K150" s="383">
        <f>Model!K191</f>
        <v>0</v>
      </c>
      <c r="L150" s="383">
        <f>Model!L191</f>
        <v>0</v>
      </c>
      <c r="M150" s="383">
        <f>Model!M191</f>
        <v>0</v>
      </c>
      <c r="N150" s="383">
        <f>Model!N191</f>
        <v>0</v>
      </c>
      <c r="O150" s="384">
        <f>Model!O191</f>
        <v>0</v>
      </c>
      <c r="P150" s="383">
        <f>Model!P191</f>
        <v>0</v>
      </c>
      <c r="Q150" s="383">
        <f>Model!Q191</f>
        <v>0</v>
      </c>
      <c r="R150" s="383">
        <f>Model!R191</f>
        <v>0</v>
      </c>
      <c r="S150" s="383">
        <f>Model!S191</f>
        <v>0</v>
      </c>
      <c r="T150" s="384">
        <f>Model!T191</f>
        <v>0</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1.7966496008197013</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1.8239105216931306</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5732.6</v>
      </c>
      <c r="G157" s="348">
        <f>Model!G311</f>
        <v>159.89999999999964</v>
      </c>
      <c r="H157" s="348">
        <f>Model!H311</f>
        <v>677</v>
      </c>
      <c r="I157" s="348">
        <f>Model!I311</f>
        <v>0</v>
      </c>
      <c r="J157" s="278">
        <f>F157</f>
        <v>5732.6</v>
      </c>
      <c r="K157" s="348">
        <f>Model!K311</f>
        <v>1143.199999999999</v>
      </c>
      <c r="L157" s="348">
        <f>Model!L311</f>
        <v>2749.300000000001</v>
      </c>
      <c r="M157" s="348">
        <f>Model!M311</f>
        <v>255.39999999999964</v>
      </c>
      <c r="N157" s="348">
        <f>Model!N311</f>
        <v>0</v>
      </c>
      <c r="O157" s="278">
        <f>K157</f>
        <v>1143.199999999999</v>
      </c>
      <c r="P157" s="348">
        <f>Model!P311</f>
        <v>5086.800000000001</v>
      </c>
      <c r="Q157" s="348">
        <f>Model!Q311</f>
        <v>566.3999999999996</v>
      </c>
      <c r="R157" s="348">
        <f>Model!R311</f>
        <v>661.6000000000004</v>
      </c>
      <c r="S157" s="348">
        <f>Model!S311</f>
        <v>0</v>
      </c>
      <c r="T157" s="278">
        <f>SUM(P157:S157)</f>
        <v>6314.800000000001</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-688.3999999999996</v>
      </c>
      <c r="J162" s="278">
        <f>Model!J312</f>
        <v>0</v>
      </c>
      <c r="K162" s="348">
        <f>Model!K312</f>
        <v>0</v>
      </c>
      <c r="L162" s="348">
        <f>Model!L312</f>
        <v>0</v>
      </c>
      <c r="M162" s="348">
        <f>Model!M312</f>
        <v>0</v>
      </c>
      <c r="N162" s="348">
        <f>Model!N312</f>
        <v>-3223.2000000000007</v>
      </c>
      <c r="O162" s="278">
        <f>Model!O312</f>
        <v>0</v>
      </c>
      <c r="P162" s="348">
        <f>Model!P312</f>
        <v>0</v>
      </c>
      <c r="Q162" s="348">
        <f>Model!Q312</f>
        <v>0</v>
      </c>
      <c r="R162" s="348">
        <f>Model!R312</f>
        <v>0</v>
      </c>
      <c r="S162" s="348">
        <f>Model!S312</f>
        <v>-2483</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338.1</v>
      </c>
      <c r="G170" s="348">
        <f>Model!G275</f>
        <v>284.2</v>
      </c>
      <c r="H170" s="348">
        <f>Model!H275</f>
        <v>116.3</v>
      </c>
      <c r="I170" s="348">
        <f>Model!I275</f>
        <v>-469.2</v>
      </c>
      <c r="J170" s="278">
        <f>Model!J275</f>
        <v>269.3999999999999</v>
      </c>
      <c r="K170" s="348">
        <f>Model!K275</f>
        <v>50.9</v>
      </c>
      <c r="L170" s="348">
        <f>Model!L275</f>
        <v>114.1</v>
      </c>
      <c r="M170" s="348">
        <f>Model!M275</f>
        <v>0.3</v>
      </c>
      <c r="N170" s="348">
        <f>Model!N275</f>
        <v>694.3</v>
      </c>
      <c r="O170" s="278">
        <f>Model!O275</f>
        <v>859.5999999999999</v>
      </c>
      <c r="P170" s="348">
        <f>Model!P275</f>
        <v>43</v>
      </c>
      <c r="Q170" s="348">
        <f>Model!Q275</f>
        <v>0.9</v>
      </c>
      <c r="R170" s="348">
        <f>Model!R275</f>
        <v>0.3</v>
      </c>
      <c r="S170" s="348">
        <f>Model!S275</f>
        <v>125.1</v>
      </c>
      <c r="T170" s="278">
        <f>Model!T275</f>
        <v>169.29999999999998</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0.9677766230628959</v>
      </c>
      <c r="O6" s="584">
        <f>Cost_of_Debt</f>
        <v>0.04946137715996483</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471.572</v>
      </c>
      <c r="N7" s="704">
        <f>1-Weight_of_Debt-Weight_of_Preferred</f>
        <v>0.03221654520298862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0.000006831734115466691</v>
      </c>
      <c r="O8" s="584">
        <f>Cost_of_Preferred</f>
        <v>0.0759</v>
      </c>
      <c r="P8" s="8"/>
      <c r="Q8" s="8"/>
      <c r="R8" s="8"/>
      <c r="S8" s="8"/>
      <c r="T8" s="8"/>
      <c r="U8" s="8"/>
      <c r="V8" s="8"/>
      <c r="W8" s="8"/>
      <c r="X8" s="8"/>
      <c r="Y8" s="8"/>
      <c r="Z8" s="8"/>
    </row>
    <row r="9" spans="1:26" x14ac:dyDescent="0.25">
      <c r="A9" s="9"/>
      <c r="B9" s="8"/>
      <c r="C9" s="8" t="s">
        <v>907</v>
      </c>
      <c r="D9" s="8"/>
      <c r="E9" s="8"/>
      <c r="F9" s="8"/>
      <c r="G9" s="148">
        <f>Tax_Rate</f>
        <v>-0.008666971337829545</v>
      </c>
      <c r="H9" s="8"/>
      <c r="I9" s="8"/>
      <c r="J9" s="122" t="s">
        <v>908</v>
      </c>
      <c r="K9" s="122"/>
      <c r="L9" s="122"/>
      <c r="M9" s="706">
        <f t="shared" ref="M9:N9" si="0">SUM(M6:M8)</f>
        <v>14637.572</v>
      </c>
      <c r="N9" s="707">
        <f t="shared" si="0"/>
        <v>1</v>
      </c>
      <c r="O9" s="707">
        <f>SUMPRODUCT(N6:N8,O6:O8)</f>
        <v>0.051324265295006694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0.051324265295006694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0.01667242226710075</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0.04946137715996483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0.019761541802991528</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0.051324265295006694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0.9677766230628959</v>
      </c>
      <c r="N36" s="713">
        <f>M36-K26</f>
        <v>0.34199224400778405</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-0.008666971337829545</v>
      </c>
      <c r="G47" s="750">
        <f>IF(ISERROR(D47*(1+(1-F47)*E47)),"NA",(D47*(1+(1-F47)*E47)))</f>
        <v>4.154211560397809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12.4</v>
      </c>
      <c r="D7" s="759">
        <f>Share_Price</f>
        <v>38.03</v>
      </c>
      <c r="E7" s="760">
        <f>C7*D7</f>
        <v>471.572</v>
      </c>
      <c r="F7" s="760">
        <f>Model!V141-Model!V120</f>
        <v>8295.266825847038</v>
      </c>
      <c r="G7" s="760">
        <f>SUM(E7:F7)</f>
        <v>8766.838825847039</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106.63396846124435</v>
      </c>
      <c r="R9" s="766">
        <f>Q9/Share_Price-1</f>
        <v>1.803943425223359</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1949.98782323001</v>
      </c>
      <c r="R10" s="204">
        <f>Q10/Share_Price-1</f>
        <v>50.27498877807021</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106.63396846124435</v>
      </c>
      <c r="R12" s="766">
        <f>Q12/Share_Price-1</f>
        <v>1.803943425223359</v>
      </c>
      <c r="S12" s="8"/>
      <c r="T12" s="8"/>
      <c r="U12" s="8"/>
      <c r="V12" s="8"/>
      <c r="W12" s="8"/>
      <c r="X12" s="8"/>
      <c r="Y12" s="8"/>
      <c r="Z12" s="8"/>
      <c r="AA12" s="8"/>
      <c r="AB12" s="8"/>
      <c r="AC12" s="8"/>
      <c r="AD12" s="769">
        <v>0</v>
      </c>
      <c r="AE12" s="110" t="s">
        <v>17</v>
      </c>
      <c r="AF12" s="8"/>
      <c r="AG12" s="8"/>
      <c r="AH12" s="8"/>
      <c r="AI12" s="761">
        <f>$R$80</f>
        <v>1949.98782323001</v>
      </c>
      <c r="AJ12" s="204">
        <f>AI12/Share_Price-1</f>
        <v>50.27498877807021</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89.50924074011057</v>
      </c>
      <c r="R13" s="766">
        <f>Q13/Share_Price-1</f>
        <v>1.353648191956628</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-431.941769892939</v>
      </c>
      <c r="R14" s="204">
        <f>Q14/Share_Price-1</f>
        <v>-12.357921900945017</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-939.5699237388714</v>
      </c>
      <c r="R15" s="204">
        <f>Q15/Share_Price-1</f>
        <v>-25.70601955663611</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113.70334030380603</v>
      </c>
      <c r="R17" s="204">
        <f>Q17/Share_Price-1</f>
        <v>1.9898327715962667</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109.64420915850407</v>
      </c>
      <c r="R18" s="204">
        <f>Q18/Share_Price-1</f>
        <v>1.883097795385329</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-1302.7163446349757</v>
      </c>
      <c r="R19" s="204">
        <f>Q19/Share_Price-1</f>
        <v>-35.25496567538721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-1464.1063709283783</v>
      </c>
      <c r="R20" s="204">
        <f>Q20/Share_Price-1</f>
        <v>-39.498721297091194</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721.0852533841662</v>
      </c>
      <c r="R23" s="204">
        <f>Q23/Share_Price-1</f>
        <v>17.960958542838974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106.63396846124435</v>
      </c>
      <c r="R24" s="204">
        <f>Q24/Share_Price-1</f>
        <v>1.803943425223359</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13583.18</v>
      </c>
      <c r="H31" s="278">
        <f>Model!O28</f>
        <v>15257.969000000001</v>
      </c>
      <c r="I31" s="278">
        <f>Model!T28</f>
        <v>14057.077000000001</v>
      </c>
      <c r="J31" s="788">
        <f>Model!U28</f>
        <v>3777.652510000001</v>
      </c>
      <c r="K31" s="789">
        <f>Model!V28</f>
        <v>3898.85528</v>
      </c>
      <c r="L31" s="789">
        <f>Model!W28</f>
        <v>4509.10275</v>
      </c>
      <c r="M31" s="790">
        <f>Model!X28</f>
        <v>3039.317969999999</v>
      </c>
      <c r="N31" s="278">
        <f>Model!Y28</f>
        <v>15224.928510000002</v>
      </c>
      <c r="O31" s="278">
        <f>Model!AD28</f>
        <v>16254.2298854</v>
      </c>
      <c r="P31" s="278">
        <f>Model!AE28</f>
        <v>17128.390803084003</v>
      </c>
      <c r="Q31" s="278">
        <f>Model!AF28</f>
        <v>17784.316566345242</v>
      </c>
      <c r="R31" s="278">
        <f>Model!AG28</f>
        <v>18210.52559526321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9097.364000000001</v>
      </c>
      <c r="H32" s="324">
        <f>Model!O61</f>
        <v>11514.990000000002</v>
      </c>
      <c r="I32" s="324">
        <f>Model!T61</f>
        <v>11185.123000000001</v>
      </c>
      <c r="J32" s="791">
        <f>Model!U61</f>
        <v>552.2335132250004</v>
      </c>
      <c r="K32" s="792">
        <f>Model!V61</f>
        <v>580.0411759999997</v>
      </c>
      <c r="L32" s="792">
        <f>Model!W61</f>
        <v>667.9974912499998</v>
      </c>
      <c r="M32" s="793">
        <f>Model!X61</f>
        <v>358.87632922499984</v>
      </c>
      <c r="N32" s="324">
        <f>Model!Y61</f>
        <v>2159.1485096999995</v>
      </c>
      <c r="O32" s="324">
        <f>Model!AD61</f>
        <v>2584.3838486212508</v>
      </c>
      <c r="P32" s="324">
        <f>Model!AE61</f>
        <v>2491.510857821428</v>
      </c>
      <c r="Q32" s="324">
        <f>Model!AF61</f>
        <v>2579.583375534431</v>
      </c>
      <c r="R32" s="324">
        <f>Model!AG61</f>
        <v>2459.0656210763254</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8939.28</v>
      </c>
      <c r="H33" s="324">
        <f>Model!O36</f>
        <v>11385.169000000002</v>
      </c>
      <c r="I33" s="324">
        <f>Model!T36</f>
        <v>11070.377</v>
      </c>
      <c r="J33" s="791">
        <f>Model!U36</f>
        <v>611.8535132250004</v>
      </c>
      <c r="K33" s="792">
        <f>Model!V36</f>
        <v>634.8101069461372</v>
      </c>
      <c r="L33" s="792">
        <f>Model!W36</f>
        <v>719.2720580065079</v>
      </c>
      <c r="M33" s="793">
        <f>Model!X36</f>
        <v>428.21763303634907</v>
      </c>
      <c r="N33" s="324">
        <f>Model!Y36</f>
        <v>2394.1533112139946</v>
      </c>
      <c r="O33" s="324">
        <f>Model!AD36</f>
        <v>2772.2757618825226</v>
      </c>
      <c r="P33" s="324">
        <f>Model!AE36</f>
        <v>2678.991998225785</v>
      </c>
      <c r="Q33" s="324">
        <f>Model!AF36</f>
        <v>2814.954543961685</v>
      </c>
      <c r="R33" s="324">
        <f>Model!AG36</f>
        <v>2748.7554919526174</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-132.77221236982507</v>
      </c>
      <c r="K34" s="795">
        <f>Model!V44</f>
        <v>-163.14619748515727</v>
      </c>
      <c r="L34" s="795">
        <f>Model!W44</f>
        <v>-184.85291890767255</v>
      </c>
      <c r="M34" s="796">
        <f>Model!X44</f>
        <v>-110.05193169034172</v>
      </c>
      <c r="N34" s="434">
        <f>Model!Y44</f>
        <v>-590.8232604529966</v>
      </c>
      <c r="O34" s="434">
        <f>Model!AD44</f>
        <v>-706.9303192800432</v>
      </c>
      <c r="P34" s="434">
        <f>Model!AE44</f>
        <v>-669.7479995564463</v>
      </c>
      <c r="Q34" s="434">
        <f>Model!AF44</f>
        <v>-703.7386359904212</v>
      </c>
      <c r="R34" s="434">
        <f>Model!AG44</f>
        <v>-687.1888729881543</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7916.384</v>
      </c>
      <c r="H35" s="278">
        <f>Model!O51</f>
        <v>9938.196</v>
      </c>
      <c r="I35" s="278">
        <f>Model!T51</f>
        <v>10834.553</v>
      </c>
      <c r="J35" s="788">
        <f>Model!U51</f>
        <v>459.0813008551753</v>
      </c>
      <c r="K35" s="789">
        <f>Model!V51</f>
        <v>451.66390946098</v>
      </c>
      <c r="L35" s="789">
        <f>Model!W51</f>
        <v>514.4191390988353</v>
      </c>
      <c r="M35" s="790">
        <f>Model!X51</f>
        <v>278.1657013460074</v>
      </c>
      <c r="N35" s="278">
        <f>Model!Y51</f>
        <v>1703.3300507609981</v>
      </c>
      <c r="O35" s="278">
        <f>Model!AD51</f>
        <v>1985.3454426024796</v>
      </c>
      <c r="P35" s="278">
        <f>Model!AE51</f>
        <v>1909.243998669339</v>
      </c>
      <c r="Q35" s="278">
        <f>Model!AF51</f>
        <v>2011.2159079712637</v>
      </c>
      <c r="R35" s="278">
        <f>Model!AG51</f>
        <v>1961.566618964463</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0.2553958979251132</v>
      </c>
      <c r="I36" s="485">
        <f t="shared" si="12"/>
        <v>0.09019312961829296</v>
      </c>
      <c r="J36" s="797"/>
      <c r="K36" s="798"/>
      <c r="L36" s="798"/>
      <c r="M36" s="799"/>
      <c r="N36" s="485">
        <f>N35/I35-1</f>
        <v>-0.8427872335147562</v>
      </c>
      <c r="O36" s="485">
        <f t="shared" ref="O36:R36" si="13">O35/N35-1</f>
        <v>0.165567085319422</v>
      </c>
      <c r="P36" s="485">
        <f t="shared" si="13"/>
        <v>-0.03833158819625038</v>
      </c>
      <c r="Q36" s="485">
        <f t="shared" si="13"/>
        <v>0.05340957435141602</v>
      </c>
      <c r="R36" s="485">
        <f t="shared" si="13"/>
        <v>-0.024686205399440442</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7916.384</v>
      </c>
      <c r="H38" s="278">
        <f t="shared" ref="H38:J38" si="14">H35-H37</f>
        <v>9938.196</v>
      </c>
      <c r="I38" s="278">
        <f t="shared" si="14"/>
        <v>10834.553</v>
      </c>
      <c r="J38" s="800">
        <f t="shared" si="14"/>
        <v>459.0813008551753</v>
      </c>
      <c r="K38" s="800">
        <f t="shared" ref="K38" si="15">K35-K37</f>
        <v>451.66390946098</v>
      </c>
      <c r="L38" s="800">
        <f t="shared" ref="L38" si="16">L35-L37</f>
        <v>514.4191390988353</v>
      </c>
      <c r="M38" s="800">
        <f t="shared" ref="M38:N38" si="17">M35-M37</f>
        <v>278.1657013460074</v>
      </c>
      <c r="N38" s="278">
        <f t="shared" si="17"/>
        <v>1629.2900507609982</v>
      </c>
      <c r="O38" s="278">
        <f t="shared" ref="O38" si="18">O35-O37</f>
        <v>1896.0454426024796</v>
      </c>
      <c r="P38" s="278">
        <f t="shared" ref="P38" si="19">P35-P37</f>
        <v>1807.5639986693388</v>
      </c>
      <c r="Q38" s="278">
        <f t="shared" ref="Q38" si="20">Q35-Q37</f>
        <v>1879.4559079712637</v>
      </c>
      <c r="R38" s="278">
        <f t="shared" ref="R38" si="21">R35-R37</f>
        <v>1815.496618964463</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-39.62</v>
      </c>
      <c r="K41" s="792">
        <f>-Model!V34</f>
        <v>-34.768930946137495</v>
      </c>
      <c r="L41" s="792">
        <f>-Model!W34</f>
        <v>-31.27456675650805</v>
      </c>
      <c r="M41" s="793">
        <f>-Model!X34</f>
        <v>-29.341303811349206</v>
      </c>
      <c r="N41" s="324">
        <f>-Model!Y34</f>
        <v>-135.00480151399475</v>
      </c>
      <c r="O41" s="324">
        <f>-Model!AD34</f>
        <v>-107.89191326127172</v>
      </c>
      <c r="P41" s="324">
        <f>-Model!AE34</f>
        <v>-87.48114040435698</v>
      </c>
      <c r="Q41" s="324">
        <f>-Model!AF34</f>
        <v>-135.3711684272539</v>
      </c>
      <c r="R41" s="324">
        <f>-Model!AG34</f>
        <v>-189.6898708762918</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54.87787022891359</v>
      </c>
      <c r="K42" s="792">
        <f>Model!V249</f>
        <v>56.63858005223315</v>
      </c>
      <c r="L42" s="792">
        <f>Model!W249</f>
        <v>65.50363086819156</v>
      </c>
      <c r="M42" s="793">
        <f>Model!X249</f>
        <v>44.152101523510694</v>
      </c>
      <c r="N42" s="324">
        <f>Model!Y249</f>
        <v>221.17218267284898</v>
      </c>
      <c r="O42" s="324">
        <f>Model!AD249</f>
        <v>236.1248198347153</v>
      </c>
      <c r="P42" s="324">
        <f>Model!AE249</f>
        <v>248.8237351724446</v>
      </c>
      <c r="Q42" s="324">
        <f>Model!AF249</f>
        <v>258.3523534931518</v>
      </c>
      <c r="R42" s="324">
        <f>Model!AG249</f>
        <v>264.54388215213675</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56.66478765000001</v>
      </c>
      <c r="K43" s="792">
        <f>-Model!V196</f>
        <v>58.4828292</v>
      </c>
      <c r="L43" s="792">
        <f>-Model!W196</f>
        <v>67.63654125</v>
      </c>
      <c r="M43" s="793">
        <f>-Model!X196</f>
        <v>45.589769549999986</v>
      </c>
      <c r="N43" s="324">
        <f>-Model!Y196</f>
        <v>228.37392764999998</v>
      </c>
      <c r="O43" s="324">
        <f>-Model!AD196</f>
        <v>243.813448281</v>
      </c>
      <c r="P43" s="324">
        <f>-Model!AE196</f>
        <v>256.92586204626</v>
      </c>
      <c r="Q43" s="324">
        <f>-Model!AF196</f>
        <v>266.7647484951786</v>
      </c>
      <c r="R43" s="324">
        <f>-Model!AG196</f>
        <v>273.15788392894814</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1057.7427028000002</v>
      </c>
      <c r="K45" s="792">
        <f>Model!V110</f>
        <v>-5.051777200000288</v>
      </c>
      <c r="L45" s="792">
        <f>Model!W110</f>
        <v>-782.1447606000002</v>
      </c>
      <c r="M45" s="793">
        <f>Model!X110</f>
        <v>489.28332749999936</v>
      </c>
      <c r="N45" s="324">
        <f>Model!Y110</f>
        <v>759.8294924999991</v>
      </c>
      <c r="O45" s="324">
        <f>Model!AD110</f>
        <v>63.677755000000616</v>
      </c>
      <c r="P45" s="324">
        <f>Model!AE110</f>
        <v>375.4801087158794</v>
      </c>
      <c r="Q45" s="324">
        <f>Model!AF110</f>
        <v>401.6011347551921</v>
      </c>
      <c r="R45" s="324">
        <f>Model!AG110</f>
        <v>129.41144057893325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-1218.0080000000016</v>
      </c>
      <c r="K46" s="792">
        <f>Model!V79</f>
        <v>-1242.3681599999982</v>
      </c>
      <c r="L46" s="792">
        <f>Model!W79</f>
        <v>-1267.2155231999932</v>
      </c>
      <c r="M46" s="793">
        <f>Model!X79</f>
        <v>-1292.559833663996</v>
      </c>
      <c r="N46" s="324">
        <f>Model!Y79</f>
        <v>-5020.151516863989</v>
      </c>
      <c r="O46" s="324">
        <f>Model!AD79</f>
        <v>-5433.973449926401</v>
      </c>
      <c r="P46" s="324">
        <f>Model!AE79</f>
        <v>-5351.589372509276</v>
      </c>
      <c r="Q46" s="324">
        <f>Model!AF79</f>
        <v>-7670.6114339299675</v>
      </c>
      <c r="R46" s="324">
        <f>Model!AG79</f>
        <v>-7172.021690724519</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0.24231002176037764</v>
      </c>
      <c r="K50" s="798">
        <f t="shared" si="23"/>
        <v>0.2508059590928782</v>
      </c>
      <c r="L50" s="798">
        <f t="shared" si="23"/>
        <v>0.21811008081183203</v>
      </c>
      <c r="M50" s="799">
        <f t="shared" si="23"/>
        <v>0.40348612160631114</v>
      </c>
      <c r="N50" s="467">
        <f t="shared" si="23"/>
        <v>0.26357545902476126</v>
      </c>
      <c r="O50" s="467">
        <f t="shared" si="23"/>
        <v>0.2713619445962946</v>
      </c>
      <c r="P50" s="467">
        <f t="shared" si="23"/>
        <v>0.3357921609007678</v>
      </c>
      <c r="Q50" s="467">
        <f t="shared" si="23"/>
        <v>0.3665819966309326</v>
      </c>
      <c r="R50" s="467">
        <f t="shared" si="23"/>
        <v>0.4134466245903691</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0.9820202660860361</v>
      </c>
      <c r="O56" s="804">
        <f t="shared" si="27"/>
        <v>0.9405297921293159</v>
      </c>
      <c r="P56" s="804">
        <f t="shared" si="27"/>
        <v>0.8946143670196735</v>
      </c>
      <c r="Q56" s="804">
        <f t="shared" si="27"/>
        <v>0.8509404724608352</v>
      </c>
      <c r="R56" s="804">
        <f t="shared" si="27"/>
        <v>0.8093986798849896</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440.8838905809224</v>
      </c>
      <c r="O58" s="394">
        <f t="shared" si="28"/>
        <v>506.70779202625096</v>
      </c>
      <c r="P58" s="394">
        <f t="shared" si="28"/>
        <v>573.5454725208294</v>
      </c>
      <c r="Q58" s="394">
        <f t="shared" si="28"/>
        <v>627.3775990644268</v>
      </c>
      <c r="R58" s="416">
        <f t="shared" si="28"/>
        <v>656.4248365153254</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0.14929985615622487</v>
      </c>
      <c r="P59" s="485">
        <f t="shared" si="29"/>
        <v>0.13190576807059595</v>
      </c>
      <c r="Q59" s="485">
        <f t="shared" si="29"/>
        <v>0.09385851536234102</v>
      </c>
      <c r="R59" s="485">
        <f t="shared" si="29"/>
        <v>0.04629944947702169</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1815.496618964463</v>
      </c>
      <c r="L63" s="8"/>
      <c r="M63" s="8"/>
      <c r="N63" s="185" t="s">
        <v>968</v>
      </c>
      <c r="O63" s="8"/>
      <c r="P63" s="8"/>
      <c r="Q63" s="8"/>
      <c r="R63" s="806">
        <f>R52</f>
        <v>811.00309752</v>
      </c>
      <c r="S63" s="8"/>
      <c r="T63" s="8"/>
      <c r="U63" s="8"/>
      <c r="V63" s="8"/>
      <c r="W63" s="186"/>
      <c r="X63" s="8" t="s">
        <v>967</v>
      </c>
      <c r="Y63" s="8"/>
      <c r="Z63" s="8"/>
      <c r="AA63" s="8"/>
      <c r="AB63" s="805">
        <f>R35</f>
        <v>1961.566618964463</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14523.972951715705</v>
      </c>
      <c r="L65" s="8"/>
      <c r="M65" s="8"/>
      <c r="N65" s="185" t="s">
        <v>971</v>
      </c>
      <c r="O65" s="8"/>
      <c r="P65" s="8"/>
      <c r="Q65" s="8"/>
      <c r="R65" s="809">
        <f>(R63*(1+R64))/(Discount_Rate-R64)</f>
        <v>26408.38186242361</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11755.684533803988</v>
      </c>
      <c r="L66" s="8"/>
      <c r="M66" s="8"/>
      <c r="N66" s="185" t="s">
        <v>972</v>
      </c>
      <c r="O66" s="8"/>
      <c r="P66" s="8"/>
      <c r="Q66" s="8"/>
      <c r="R66" s="809">
        <f>R65*R56</f>
        <v>21374.90941734437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2804.939590707755</v>
      </c>
      <c r="L67" s="8"/>
      <c r="M67" s="8"/>
      <c r="N67" s="185" t="s">
        <v>974</v>
      </c>
      <c r="O67" s="8"/>
      <c r="P67" s="8"/>
      <c r="Q67" s="8"/>
      <c r="R67" s="809">
        <f>SUM(N58:R58)</f>
        <v>2804.939590707755</v>
      </c>
      <c r="S67" s="8"/>
      <c r="T67" s="8"/>
      <c r="U67" s="8"/>
      <c r="V67" s="8"/>
      <c r="W67" s="186"/>
      <c r="X67" s="8" t="s">
        <v>974</v>
      </c>
      <c r="Y67" s="8"/>
      <c r="Z67" s="8"/>
      <c r="AA67" s="8"/>
      <c r="AB67" s="809">
        <f>SUM(N58:R58)</f>
        <v>2804.939590707755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14560.624124511742</v>
      </c>
      <c r="L69" s="8"/>
      <c r="M69" s="8"/>
      <c r="N69" s="187" t="s">
        <v>10</v>
      </c>
      <c r="O69" s="122"/>
      <c r="P69" s="122"/>
      <c r="Q69" s="122"/>
      <c r="R69" s="810">
        <f>R66+R67</f>
        <v>24179.849008052126</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0</v>
      </c>
      <c r="L70" s="8"/>
      <c r="M70" s="8"/>
      <c r="N70" s="185" t="s">
        <v>975</v>
      </c>
      <c r="O70" s="8"/>
      <c r="P70" s="8"/>
      <c r="Q70" s="8"/>
      <c r="R70" s="809">
        <f t="shared" ref="R70:R75" si="30">K70</f>
        <v>0</v>
      </c>
      <c r="S70" s="8"/>
      <c r="T70" s="8"/>
      <c r="U70" s="8"/>
      <c r="V70" s="8"/>
      <c r="W70" s="186"/>
      <c r="X70" s="8" t="s">
        <v>975</v>
      </c>
      <c r="Y70" s="8"/>
      <c r="Z70" s="8"/>
      <c r="AA70" s="8"/>
      <c r="AB70" s="811">
        <f>Model!$V$120</f>
        <v>5735.333174152962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-30472.02706599208</v>
      </c>
      <c r="L72" s="8"/>
      <c r="M72" s="8"/>
      <c r="N72" s="185" t="s">
        <v>977</v>
      </c>
      <c r="O72" s="8"/>
      <c r="P72" s="8"/>
      <c r="Q72" s="8"/>
      <c r="R72" s="809">
        <f t="shared" si="30"/>
        <v>-30472.02706599208</v>
      </c>
      <c r="S72" s="8"/>
      <c r="T72" s="8"/>
      <c r="U72" s="8"/>
      <c r="V72" s="8"/>
      <c r="W72" s="186"/>
      <c r="X72" s="8" t="s">
        <v>977</v>
      </c>
      <c r="Y72" s="8"/>
      <c r="Z72" s="8"/>
      <c r="AA72" s="8"/>
      <c r="AB72" s="811">
        <f>-(Model!$V$140+Model!$V$141)</f>
        <v>-14030.6</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-68.2</v>
      </c>
      <c r="L74" s="8"/>
      <c r="M74" s="8"/>
      <c r="N74" s="185" t="s">
        <v>979</v>
      </c>
      <c r="O74" s="8"/>
      <c r="P74" s="8"/>
      <c r="Q74" s="8"/>
      <c r="R74" s="809">
        <f t="shared" si="30"/>
        <v>-68.2</v>
      </c>
      <c r="S74" s="8"/>
      <c r="T74" s="8"/>
      <c r="U74" s="8"/>
      <c r="V74" s="8"/>
      <c r="W74" s="186"/>
      <c r="X74" s="8" t="s">
        <v>979</v>
      </c>
      <c r="Y74" s="8"/>
      <c r="Z74" s="8"/>
      <c r="AA74" s="8"/>
      <c r="AB74" s="811">
        <f>-Model!$V$154</f>
        <v>-68.2</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14560.624124511742</v>
      </c>
      <c r="L76" s="8"/>
      <c r="M76" s="8"/>
      <c r="N76" s="187" t="s">
        <v>13</v>
      </c>
      <c r="O76" s="122"/>
      <c r="P76" s="122"/>
      <c r="Q76" s="122"/>
      <c r="R76" s="810">
        <f>SUM(R66:R67)</f>
        <v>24179.849008052126</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12.4</v>
      </c>
      <c r="L78" s="8"/>
      <c r="M78" s="8"/>
      <c r="N78" s="185" t="s">
        <v>981</v>
      </c>
      <c r="O78" s="8"/>
      <c r="P78" s="8"/>
      <c r="Q78" s="8"/>
      <c r="R78" s="814">
        <f>K78</f>
        <v>12.4</v>
      </c>
      <c r="S78" s="8"/>
      <c r="T78" s="8"/>
      <c r="U78" s="8"/>
      <c r="V78" s="8"/>
      <c r="W78" s="186"/>
      <c r="X78" s="8" t="s">
        <v>981</v>
      </c>
      <c r="Y78" s="8"/>
      <c r="Z78" s="8"/>
      <c r="AA78" s="8"/>
      <c r="AB78" s="813">
        <f>Diluted_Shares</f>
        <v>12.4</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1174.2438810090114</v>
      </c>
      <c r="L80" s="8"/>
      <c r="M80" s="8"/>
      <c r="N80" s="187" t="s">
        <v>15</v>
      </c>
      <c r="O80" s="122"/>
      <c r="P80" s="122"/>
      <c r="Q80" s="122"/>
      <c r="R80" s="815">
        <f>R76/R78</f>
        <v>1949.98782323001</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29.876778359427067</v>
      </c>
      <c r="L81" s="8"/>
      <c r="M81" s="8"/>
      <c r="N81" s="816" t="s">
        <v>12</v>
      </c>
      <c r="O81" s="121"/>
      <c r="P81" s="121"/>
      <c r="Q81" s="121"/>
      <c r="R81" s="817">
        <f>R80/Share_Price-1</f>
        <v>50.27498877807021</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14.5460925603302</v>
      </c>
      <c r="L83" s="8"/>
      <c r="M83" s="8"/>
      <c r="N83" s="8" t="s">
        <v>983</v>
      </c>
      <c r="O83" s="8"/>
      <c r="P83" s="8"/>
      <c r="Q83" s="8"/>
      <c r="R83" s="819">
        <f>(K65*Discount_Rate-R63)/(R63+K65)</f>
        <v>-0.004275902120623775</v>
      </c>
      <c r="S83" s="8"/>
      <c r="T83" s="8"/>
      <c r="U83" s="8"/>
      <c r="V83" s="8"/>
      <c r="W83" s="8"/>
      <c r="X83" s="8" t="s">
        <v>982</v>
      </c>
      <c r="Y83" s="8"/>
      <c r="Z83" s="8"/>
      <c r="AA83" s="8"/>
      <c r="AB83" s="818">
        <f>R65/AB63</f>
        <v>13.462903378915033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0.051324265295006694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-0.008666971337829545</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0.051324265295006694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1174.2438810090114</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0.0413242652950067</v>
      </c>
      <c r="F103" s="834">
        <v>146.6099932465139</v>
      </c>
      <c r="G103" s="835">
        <v>146.6099932465139</v>
      </c>
      <c r="H103" s="835">
        <v>146.6099932465139</v>
      </c>
      <c r="I103" s="835">
        <v>146.6099932465139</v>
      </c>
      <c r="J103" s="836">
        <v>146.6099932465139</v>
      </c>
      <c r="K103" s="8"/>
      <c r="L103" s="719" t="s">
        <v>44</v>
      </c>
      <c r="M103" s="833">
        <f t="shared" ref="M103:M107" si="35">E103</f>
        <v>0.0413242652950067</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0.046324265295006696</v>
      </c>
      <c r="F104" s="839">
        <v>146.6099932465139</v>
      </c>
      <c r="G104" s="840">
        <v>146.6099932465139</v>
      </c>
      <c r="H104" s="840">
        <v>146.6099932465139</v>
      </c>
      <c r="I104" s="840">
        <v>146.6099932465139</v>
      </c>
      <c r="J104" s="841">
        <v>146.6099932465139</v>
      </c>
      <c r="K104" s="8"/>
      <c r="L104" s="724"/>
      <c r="M104" s="833">
        <f t="shared" si="35"/>
        <v>0.046324265295006696</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0.051324265295006694</v>
      </c>
      <c r="F105" s="844">
        <v>146.6099932465139</v>
      </c>
      <c r="G105" s="840">
        <v>146.6099932465139</v>
      </c>
      <c r="H105" s="840">
        <v>146.6099932465139</v>
      </c>
      <c r="I105" s="840">
        <v>146.6099932465139</v>
      </c>
      <c r="J105" s="841">
        <v>146.6099932465139</v>
      </c>
      <c r="K105" s="8"/>
      <c r="L105" s="724"/>
      <c r="M105" s="833">
        <f t="shared" si="35"/>
        <v>0.051324265295006694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0.05632426529500669</v>
      </c>
      <c r="F106" s="839">
        <v>146.6099932465139</v>
      </c>
      <c r="G106" s="840">
        <v>146.6099932465139</v>
      </c>
      <c r="H106" s="840">
        <v>146.6099932465139</v>
      </c>
      <c r="I106" s="840">
        <v>146.6099932465139</v>
      </c>
      <c r="J106" s="841">
        <v>146.6099932465139</v>
      </c>
      <c r="K106" s="8"/>
      <c r="L106" s="724"/>
      <c r="M106" s="833">
        <f t="shared" si="35"/>
        <v>0.05632426529500669</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0.06132426529500669</v>
      </c>
      <c r="F107" s="845">
        <v>146.6099932465139</v>
      </c>
      <c r="G107" s="846">
        <v>146.6099932465139</v>
      </c>
      <c r="H107" s="846">
        <v>146.6099932465139</v>
      </c>
      <c r="I107" s="846">
        <v>146.6099932465139</v>
      </c>
      <c r="J107" s="847">
        <v>146.6099932465139</v>
      </c>
      <c r="K107" s="8"/>
      <c r="L107" s="729"/>
      <c r="M107" s="833">
        <f t="shared" si="35"/>
        <v>0.06132426529500669</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1949.98782323001</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0.0413242652950067</v>
      </c>
      <c r="F111" s="834">
        <v>39.287570414775445</v>
      </c>
      <c r="G111" s="835">
        <v>41.8528356935007</v>
      </c>
      <c r="H111" s="844">
        <v>44.871513150043214</v>
      </c>
      <c r="I111" s="835">
        <v>48.475467697564994</v>
      </c>
      <c r="J111" s="836">
        <v>52.85318670789136</v>
      </c>
      <c r="K111" s="8"/>
      <c r="L111" s="719" t="s">
        <v>44</v>
      </c>
      <c r="M111" s="833">
        <f t="shared" ref="M111:M115" si="42">E111</f>
        <v>0.0413242652950067</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0.046324265295006696</v>
      </c>
      <c r="F112" s="839">
        <v>38.72212619379026</v>
      </c>
      <c r="G112" s="840">
        <v>41.24495498386613</v>
      </c>
      <c r="H112" s="840">
        <v>44.213695276917925</v>
      </c>
      <c r="I112" s="840">
        <v>47.758030580567656</v>
      </c>
      <c r="J112" s="841">
        <v>52.063330171104326</v>
      </c>
      <c r="K112" s="8"/>
      <c r="L112" s="724"/>
      <c r="M112" s="833">
        <f t="shared" si="42"/>
        <v>0.046324265295006696</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0.051324265295006694</v>
      </c>
      <c r="F113" s="839">
        <v>36.853414514023115</v>
      </c>
      <c r="G113" s="840">
        <v>39.236171901998745</v>
      </c>
      <c r="H113" s="840">
        <v>42.04008308855112</v>
      </c>
      <c r="I113" s="840">
        <v>45.387631350032734</v>
      </c>
      <c r="J113" s="841">
        <v>49.453893970450665</v>
      </c>
      <c r="K113" s="8"/>
      <c r="L113" s="724"/>
      <c r="M113" s="833">
        <f t="shared" si="42"/>
        <v>0.051324265295006694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0.05632426529500669</v>
      </c>
      <c r="F114" s="839">
        <v>37.62577269915506</v>
      </c>
      <c r="G114" s="840">
        <v>40.066389689290126</v>
      </c>
      <c r="H114" s="840">
        <v>42.938387197413896</v>
      </c>
      <c r="I114" s="840">
        <v>46.36722271524662</v>
      </c>
      <c r="J114" s="841">
        <v>50.532224862684984</v>
      </c>
      <c r="K114" s="8"/>
      <c r="L114" s="724"/>
      <c r="M114" s="833">
        <f t="shared" si="42"/>
        <v>0.05632426529500669</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0.06132426529500669</v>
      </c>
      <c r="F115" s="845">
        <v>37.09428582507126</v>
      </c>
      <c r="G115" s="846">
        <v>39.4950824165073</v>
      </c>
      <c r="H115" s="846">
        <v>42.32022124655978</v>
      </c>
      <c r="I115" s="846">
        <v>45.69311287891381</v>
      </c>
      <c r="J115" s="847">
        <v>49.79016005973365</v>
      </c>
      <c r="K115" s="8"/>
      <c r="L115" s="729"/>
      <c r="M115" s="833">
        <f t="shared" si="42"/>
        <v>0.06132426529500669</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7.519046956245175</v>
      </c>
      <c r="G128" s="8"/>
      <c r="H128" s="185" t="s">
        <v>1012</v>
      </c>
      <c r="I128" s="8"/>
      <c r="J128" s="856">
        <f>F128</f>
        <v>7.519046956245175</v>
      </c>
      <c r="K128" s="8"/>
      <c r="L128" s="857" t="s">
        <v>1013</v>
      </c>
      <c r="M128" s="8"/>
      <c r="N128" s="858">
        <f>NTM_EBITDA</f>
        <v>2159.1485096999995</v>
      </c>
      <c r="O128" s="186"/>
      <c r="P128" s="185" t="s">
        <v>1013</v>
      </c>
      <c r="Q128" s="8"/>
      <c r="R128" s="858">
        <f>NTM_EBITDA</f>
        <v>2159.1485096999995</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25184.049119319636</v>
      </c>
      <c r="O129" s="186"/>
      <c r="P129" s="185" t="s">
        <v>1014</v>
      </c>
      <c r="Q129" s="8"/>
      <c r="R129" s="858">
        <f>R127*R128</f>
        <v>18889.460011630075</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106.63396846124435</v>
      </c>
      <c r="G130" s="8"/>
      <c r="H130" s="185" t="s">
        <v>1015</v>
      </c>
      <c r="I130" s="8"/>
      <c r="J130" s="858">
        <f>J127*J128</f>
        <v>89.50924074011057</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1.803943425223359</v>
      </c>
      <c r="G131" s="8"/>
      <c r="H131" s="304" t="s">
        <v>1016</v>
      </c>
      <c r="I131" s="121"/>
      <c r="J131" s="817">
        <f>J130/Share_Price-1</f>
        <v>1.353648191956628</v>
      </c>
      <c r="K131" s="8"/>
      <c r="L131" s="185" t="s">
        <v>1017</v>
      </c>
      <c r="M131" s="8"/>
      <c r="N131" s="860">
        <f t="shared" ref="N131:N136" si="45">K70</f>
        <v>0</v>
      </c>
      <c r="O131" s="186"/>
      <c r="P131" s="185" t="s">
        <v>1017</v>
      </c>
      <c r="Q131" s="8"/>
      <c r="R131" s="809">
        <f t="shared" ref="R131:R136" si="46">N131</f>
        <v>0</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-30472.02706599208</v>
      </c>
      <c r="O133" s="186"/>
      <c r="P133" s="185" t="s">
        <v>1019</v>
      </c>
      <c r="Q133" s="8"/>
      <c r="R133" s="809">
        <f t="shared" si="46"/>
        <v>-30472.02706599208</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7.519046956245175</v>
      </c>
      <c r="G135" s="8"/>
      <c r="H135" s="8"/>
      <c r="I135" s="8"/>
      <c r="J135" s="8"/>
      <c r="K135" s="8"/>
      <c r="L135" s="185" t="s">
        <v>1021</v>
      </c>
      <c r="M135" s="8"/>
      <c r="N135" s="860">
        <f t="shared" si="45"/>
        <v>-68.2</v>
      </c>
      <c r="O135" s="186"/>
      <c r="P135" s="185" t="s">
        <v>1021</v>
      </c>
      <c r="Q135" s="8"/>
      <c r="R135" s="809">
        <f t="shared" si="46"/>
        <v>-68.2</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2159.1485096999995</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-5356.077946672444</v>
      </c>
      <c r="O138" s="186"/>
      <c r="P138" s="185" t="s">
        <v>1023</v>
      </c>
      <c r="Q138" s="8"/>
      <c r="R138" s="858">
        <f>SUM(R129:R136)</f>
        <v>-11650.667054362006</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12.4</v>
      </c>
      <c r="O139" s="186"/>
      <c r="P139" s="185" t="s">
        <v>405</v>
      </c>
      <c r="Q139" s="8"/>
      <c r="R139" s="858">
        <f>Diluted_Shares</f>
        <v>12.4</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-431.941769892939</v>
      </c>
      <c r="O141" s="186"/>
      <c r="P141" s="185" t="s">
        <v>1015</v>
      </c>
      <c r="Q141" s="8"/>
      <c r="R141" s="858">
        <f>R138/R139</f>
        <v>-939.5699237388714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-12.357921900945017</v>
      </c>
      <c r="O142" s="186"/>
      <c r="P142" s="304" t="s">
        <v>1016</v>
      </c>
      <c r="Q142" s="121"/>
      <c r="R142" s="817">
        <f>R141/Share_Price-1</f>
        <v>-25.70601955663611</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7.519046956245175</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2159.1485096999995</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106.63396846124435</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6.0152375649961405</v>
      </c>
      <c r="F166" s="834">
        <f>$E$166*F165</f>
        <v>73.27669963900321</v>
      </c>
      <c r="G166" s="835">
        <f>$E$166*G165</f>
        <v>79.29193720399934</v>
      </c>
      <c r="H166" s="835">
        <f t="shared" ref="H166:J166" si="51">$E$166*H165</f>
        <v>85.30717476899548</v>
      </c>
      <c r="I166" s="835">
        <f t="shared" si="51"/>
        <v>91.32241233399162</v>
      </c>
      <c r="J166" s="836">
        <f t="shared" si="51"/>
        <v>97.33764989898776</v>
      </c>
      <c r="K166" s="8"/>
      <c r="L166" s="719" t="s">
        <v>388</v>
      </c>
      <c r="M166" s="870">
        <f t="shared" ref="M166:M170" si="52">E166</f>
        <v>6.0152375649961405</v>
      </c>
      <c r="N166" s="837">
        <f t="shared" ref="N166:R170" si="53">+F166/Share_Price-1</f>
        <v>0.9268130328425772</v>
      </c>
      <c r="O166" s="707">
        <f t="shared" si="53"/>
        <v>1.0849838865106323</v>
      </c>
      <c r="P166" s="707">
        <f t="shared" si="53"/>
        <v>1.2431547401786873</v>
      </c>
      <c r="Q166" s="707">
        <f t="shared" si="53"/>
        <v>1.4013255938467424</v>
      </c>
      <c r="R166" s="838">
        <f t="shared" si="53"/>
        <v>1.5594964475147979</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6.767142260620657</v>
      </c>
      <c r="F167" s="839">
        <f>$E$167*F165</f>
        <v>82.43628709387859</v>
      </c>
      <c r="G167" s="840">
        <f>$E$167*G165</f>
        <v>89.20342935449925</v>
      </c>
      <c r="H167" s="840">
        <f t="shared" ref="H167:J167" si="54">$E$167*H165</f>
        <v>95.97057161511991</v>
      </c>
      <c r="I167" s="840">
        <f t="shared" si="54"/>
        <v>102.73771387574057</v>
      </c>
      <c r="J167" s="841">
        <f t="shared" si="54"/>
        <v>109.50485613636123</v>
      </c>
      <c r="K167" s="8"/>
      <c r="L167" s="724"/>
      <c r="M167" s="870">
        <f t="shared" si="52"/>
        <v>6.767142260620657</v>
      </c>
      <c r="N167" s="842">
        <f t="shared" si="53"/>
        <v>1.1676646619478985</v>
      </c>
      <c r="O167" s="584">
        <f t="shared" si="53"/>
        <v>1.3456068723244607</v>
      </c>
      <c r="P167" s="584">
        <f t="shared" si="53"/>
        <v>1.523549082701023</v>
      </c>
      <c r="Q167" s="584">
        <f t="shared" si="53"/>
        <v>1.7014912930775852</v>
      </c>
      <c r="R167" s="720">
        <f t="shared" si="53"/>
        <v>1.8794335034541474</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7.519046956245175</v>
      </c>
      <c r="F168" s="839">
        <f>$E$168*F165</f>
        <v>91.595874548754</v>
      </c>
      <c r="G168" s="840">
        <f>$E$168*G165</f>
        <v>99.11492150499917</v>
      </c>
      <c r="H168" s="840">
        <f t="shared" ref="H168:J168" si="55">$E$168*H165</f>
        <v>106.63396846124435</v>
      </c>
      <c r="I168" s="840">
        <f t="shared" si="55"/>
        <v>114.15301541748953</v>
      </c>
      <c r="J168" s="841">
        <f t="shared" si="55"/>
        <v>121.6720623737347</v>
      </c>
      <c r="K168" s="8"/>
      <c r="L168" s="724"/>
      <c r="M168" s="870">
        <f>+E168</f>
        <v>7.519046956245175</v>
      </c>
      <c r="N168" s="842">
        <f t="shared" si="53"/>
        <v>1.4085162910532212</v>
      </c>
      <c r="O168" s="584">
        <f t="shared" si="53"/>
        <v>1.6062298581382901</v>
      </c>
      <c r="P168" s="584">
        <f t="shared" si="53"/>
        <v>1.803943425223359</v>
      </c>
      <c r="Q168" s="584">
        <f t="shared" si="53"/>
        <v>2.001656992308428</v>
      </c>
      <c r="R168" s="720">
        <f t="shared" si="53"/>
        <v>2.1993705593934973</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8.270951651869693</v>
      </c>
      <c r="F169" s="839">
        <f>$E$169*F165</f>
        <v>100.7554620036294</v>
      </c>
      <c r="G169" s="840">
        <f>$E$169*G165</f>
        <v>109.0264136554991</v>
      </c>
      <c r="H169" s="840">
        <f t="shared" ref="H169:J169" si="56">$E$169*H165</f>
        <v>117.29736530736878</v>
      </c>
      <c r="I169" s="840">
        <f t="shared" si="56"/>
        <v>125.56831695923847</v>
      </c>
      <c r="J169" s="841">
        <f t="shared" si="56"/>
        <v>133.83926861110817</v>
      </c>
      <c r="K169" s="8"/>
      <c r="L169" s="724"/>
      <c r="M169" s="870">
        <f t="shared" si="52"/>
        <v>8.270951651869693</v>
      </c>
      <c r="N169" s="842">
        <f t="shared" si="53"/>
        <v>1.6493679201585434</v>
      </c>
      <c r="O169" s="584">
        <f t="shared" si="53"/>
        <v>1.866852843952119</v>
      </c>
      <c r="P169" s="584">
        <f t="shared" si="53"/>
        <v>2.0843377677456947</v>
      </c>
      <c r="Q169" s="584">
        <f t="shared" si="53"/>
        <v>2.3018226915392708</v>
      </c>
      <c r="R169" s="720">
        <f t="shared" si="53"/>
        <v>2.519307615332847</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9.02285634749421</v>
      </c>
      <c r="F170" s="845">
        <f>$E$170*F165</f>
        <v>109.9150494585048</v>
      </c>
      <c r="G170" s="846">
        <f>$E$170*G165</f>
        <v>118.93790580599901</v>
      </c>
      <c r="H170" s="846">
        <f t="shared" ref="H170:J170" si="57">$E$170*H165</f>
        <v>127.96076215349322</v>
      </c>
      <c r="I170" s="846">
        <f t="shared" si="57"/>
        <v>136.98361850098743</v>
      </c>
      <c r="J170" s="847">
        <f t="shared" si="57"/>
        <v>146.00647484848164</v>
      </c>
      <c r="K170" s="8"/>
      <c r="L170" s="729"/>
      <c r="M170" s="870">
        <f t="shared" si="52"/>
        <v>9.02285634749421</v>
      </c>
      <c r="N170" s="848">
        <f t="shared" si="53"/>
        <v>1.8902195492638652</v>
      </c>
      <c r="O170" s="716">
        <f t="shared" si="53"/>
        <v>2.127475829765948</v>
      </c>
      <c r="P170" s="716">
        <f t="shared" si="53"/>
        <v>2.3647321102680308</v>
      </c>
      <c r="Q170" s="716">
        <f t="shared" si="53"/>
        <v>2.601988390770114</v>
      </c>
      <c r="R170" s="849">
        <f t="shared" si="53"/>
        <v>2.839244671272197</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89.50924074011057</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6.0152375649961405</v>
      </c>
      <c r="F174" s="834">
        <v>77.04538967980808</v>
      </c>
      <c r="G174" s="835">
        <v>86.50827683777938</v>
      </c>
      <c r="H174" s="835">
        <v>95.97116399575066</v>
      </c>
      <c r="I174" s="835">
        <v>105.43405115372195</v>
      </c>
      <c r="J174" s="836">
        <v>114.89693831169325</v>
      </c>
      <c r="K174" s="8"/>
      <c r="L174" s="719" t="s">
        <v>388</v>
      </c>
      <c r="M174" s="870">
        <f t="shared" ref="M174:M178" si="62">E174</f>
        <v>6.0152375649961405</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6.767142260620657</v>
      </c>
      <c r="F175" s="839">
        <v>86.67606338978408</v>
      </c>
      <c r="G175" s="840">
        <v>97.32181144250178</v>
      </c>
      <c r="H175" s="840">
        <v>107.96755949521948</v>
      </c>
      <c r="I175" s="840">
        <v>118.61330754793718</v>
      </c>
      <c r="J175" s="841">
        <v>129.25905560065488</v>
      </c>
      <c r="K175" s="8"/>
      <c r="L175" s="724"/>
      <c r="M175" s="870">
        <f t="shared" si="62"/>
        <v>6.767142260620657</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7.519046956245175</v>
      </c>
      <c r="F176" s="839">
        <v>96.3067370997601</v>
      </c>
      <c r="G176" s="840">
        <v>108.1353460472242</v>
      </c>
      <c r="H176" s="840">
        <v>119.96395499468832</v>
      </c>
      <c r="I176" s="840">
        <v>131.79256394215244</v>
      </c>
      <c r="J176" s="841">
        <v>143.62117288961656</v>
      </c>
      <c r="K176" s="8"/>
      <c r="L176" s="724"/>
      <c r="M176" s="870">
        <f t="shared" si="62"/>
        <v>7.519046956245175</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8.270951651869693</v>
      </c>
      <c r="F177" s="839">
        <v>105.93741080973611</v>
      </c>
      <c r="G177" s="840">
        <v>118.94888065194664</v>
      </c>
      <c r="H177" s="840">
        <v>131.96035049415715</v>
      </c>
      <c r="I177" s="840">
        <v>144.97182033636767</v>
      </c>
      <c r="J177" s="841">
        <v>157.98329017857822</v>
      </c>
      <c r="K177" s="8"/>
      <c r="L177" s="724"/>
      <c r="M177" s="870">
        <f t="shared" si="62"/>
        <v>8.270951651869693</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9.02285634749421</v>
      </c>
      <c r="F178" s="845">
        <v>115.5680845197121</v>
      </c>
      <c r="G178" s="846">
        <v>129.76241525666904</v>
      </c>
      <c r="H178" s="846">
        <v>143.956745993626</v>
      </c>
      <c r="I178" s="846">
        <v>158.1510767305829</v>
      </c>
      <c r="J178" s="847">
        <v>172.34540746753984</v>
      </c>
      <c r="K178" s="8"/>
      <c r="L178" s="729"/>
      <c r="M178" s="870">
        <f t="shared" si="62"/>
        <v>9.02285634749421</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-431.941769892939</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1727.3188077599998</v>
      </c>
      <c r="F182" s="834">
        <v>143.88921300864504</v>
      </c>
      <c r="G182" s="835">
        <v>155.75084055753226</v>
      </c>
      <c r="H182" s="835">
        <v>167.61246810641944</v>
      </c>
      <c r="I182" s="835">
        <v>179.4740956553066</v>
      </c>
      <c r="J182" s="836">
        <v>191.3357232041938</v>
      </c>
      <c r="K182" s="8"/>
      <c r="L182" s="719" t="s">
        <v>279</v>
      </c>
      <c r="M182" s="806">
        <f t="shared" ref="M182:M186" si="68">E182</f>
        <v>1727.3188077599998</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1943.2336587299997</v>
      </c>
      <c r="F183" s="839">
        <v>149.6732920958656</v>
      </c>
      <c r="G183" s="840">
        <v>163.01762308836368</v>
      </c>
      <c r="H183" s="840">
        <v>176.36195408086175</v>
      </c>
      <c r="I183" s="840">
        <v>189.70628507335982</v>
      </c>
      <c r="J183" s="841">
        <v>203.05061606585792</v>
      </c>
      <c r="K183" s="8"/>
      <c r="L183" s="724"/>
      <c r="M183" s="806">
        <f t="shared" si="68"/>
        <v>1943.2336587299997</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2159.1485096999995</v>
      </c>
      <c r="F184" s="839">
        <v>155.4573711830861</v>
      </c>
      <c r="G184" s="840">
        <v>170.2844056191951</v>
      </c>
      <c r="H184" s="840">
        <v>185.1114400553041</v>
      </c>
      <c r="I184" s="840">
        <v>199.93847449141305</v>
      </c>
      <c r="J184" s="841">
        <v>214.76550892752203</v>
      </c>
      <c r="K184" s="8"/>
      <c r="L184" s="724"/>
      <c r="M184" s="806">
        <f t="shared" si="68"/>
        <v>2159.1485096999995</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2375.06336067</v>
      </c>
      <c r="F185" s="839">
        <v>161.24145027030664</v>
      </c>
      <c r="G185" s="840">
        <v>177.55118815002655</v>
      </c>
      <c r="H185" s="840">
        <v>193.8609260297464</v>
      </c>
      <c r="I185" s="840">
        <v>210.1706639094663</v>
      </c>
      <c r="J185" s="841">
        <v>226.48040178918617</v>
      </c>
      <c r="K185" s="8"/>
      <c r="L185" s="724"/>
      <c r="M185" s="806">
        <f t="shared" si="68"/>
        <v>2375.06336067</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2590.9782116399992</v>
      </c>
      <c r="F186" s="845">
        <v>167.02552935752715</v>
      </c>
      <c r="G186" s="846">
        <v>184.81797068085794</v>
      </c>
      <c r="H186" s="846">
        <v>202.6104120041887</v>
      </c>
      <c r="I186" s="846">
        <v>220.4028533275195</v>
      </c>
      <c r="J186" s="847">
        <v>238.1952946508503</v>
      </c>
      <c r="K186" s="8"/>
      <c r="L186" s="729"/>
      <c r="M186" s="806">
        <f t="shared" si="68"/>
        <v>2590.9782116399992</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-939.5699237388714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1727.3188077599998</v>
      </c>
      <c r="F190" s="834">
        <v>184.53463986686378</v>
      </c>
      <c r="G190" s="835">
        <v>196.39626741575094</v>
      </c>
      <c r="H190" s="835">
        <v>208.25789496463815</v>
      </c>
      <c r="I190" s="835">
        <v>220.11952251352534</v>
      </c>
      <c r="J190" s="836">
        <v>231.98115006241252</v>
      </c>
      <c r="K190" s="8"/>
      <c r="L190" s="719" t="s">
        <v>279</v>
      </c>
      <c r="M190" s="806">
        <f t="shared" ref="M190:M194" si="74">E190</f>
        <v>1727.3188077599998</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1943.2336587299997</v>
      </c>
      <c r="F191" s="839">
        <v>195.39939731136164</v>
      </c>
      <c r="G191" s="840">
        <v>208.7437283038597</v>
      </c>
      <c r="H191" s="840">
        <v>222.08805929635778</v>
      </c>
      <c r="I191" s="840">
        <v>235.4323902888559</v>
      </c>
      <c r="J191" s="841">
        <v>248.77672128135396</v>
      </c>
      <c r="K191" s="8"/>
      <c r="L191" s="724"/>
      <c r="M191" s="806">
        <f t="shared" si="74"/>
        <v>1943.2336587299997</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2159.1485096999995</v>
      </c>
      <c r="F192" s="839">
        <v>206.2641547558595</v>
      </c>
      <c r="G192" s="840">
        <v>221.09118919196848</v>
      </c>
      <c r="H192" s="840">
        <v>235.91822362807747</v>
      </c>
      <c r="I192" s="840">
        <v>250.74525806418646</v>
      </c>
      <c r="J192" s="841">
        <v>265.5722925002954</v>
      </c>
      <c r="K192" s="8"/>
      <c r="L192" s="724"/>
      <c r="M192" s="806">
        <f t="shared" si="74"/>
        <v>2159.1485096999995</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2375.06336067</v>
      </c>
      <c r="F193" s="839">
        <v>217.12891220035735</v>
      </c>
      <c r="G193" s="840">
        <v>233.43865008007725</v>
      </c>
      <c r="H193" s="840">
        <v>249.74838795979713</v>
      </c>
      <c r="I193" s="840">
        <v>266.058125839517</v>
      </c>
      <c r="J193" s="841">
        <v>282.36786371923694</v>
      </c>
      <c r="K193" s="8"/>
      <c r="L193" s="724"/>
      <c r="M193" s="806">
        <f t="shared" si="74"/>
        <v>2375.06336067</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2590.9782116399992</v>
      </c>
      <c r="F194" s="845">
        <v>227.99366964485523</v>
      </c>
      <c r="G194" s="846">
        <v>245.78611096818602</v>
      </c>
      <c r="H194" s="846">
        <v>263.57855229151676</v>
      </c>
      <c r="I194" s="846">
        <v>281.3709936148476</v>
      </c>
      <c r="J194" s="847">
        <v>299.16343493817834</v>
      </c>
      <c r="K194" s="8"/>
      <c r="L194" s="729"/>
      <c r="M194" s="806">
        <f t="shared" si="74"/>
        <v>2590.9782116399992</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7.519046956245175</v>
      </c>
      <c r="G206" s="8"/>
      <c r="H206" s="185" t="s">
        <v>1012</v>
      </c>
      <c r="I206" s="8"/>
      <c r="J206" s="856">
        <f>SUM(NTM_EPS)</f>
        <v>7.519046956245175</v>
      </c>
      <c r="K206" s="8"/>
      <c r="L206" s="857" t="s">
        <v>1013</v>
      </c>
      <c r="M206" s="8"/>
      <c r="N206" s="858">
        <f>SUM(NTM_EBITDA)</f>
        <v>2159.1485096999995</v>
      </c>
      <c r="O206" s="8"/>
      <c r="P206" s="185" t="s">
        <v>1013</v>
      </c>
      <c r="Q206" s="8"/>
      <c r="R206" s="858">
        <f>SUM(NTM_EBITDA)</f>
        <v>2159.1485096999995</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14386.44439251838</v>
      </c>
      <c r="O207" s="8"/>
      <c r="P207" s="185" t="s">
        <v>1014</v>
      </c>
      <c r="Q207" s="8"/>
      <c r="R207" s="858">
        <f>R205*R206</f>
        <v>12385.20806648019</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113.70334030380603</v>
      </c>
      <c r="G208" s="8"/>
      <c r="H208" s="185" t="s">
        <v>1015</v>
      </c>
      <c r="I208" s="8"/>
      <c r="J208" s="856">
        <f>J205*J206</f>
        <v>109.64420915850407</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1.9898327715962667</v>
      </c>
      <c r="G209" s="8"/>
      <c r="H209" s="304" t="s">
        <v>1016</v>
      </c>
      <c r="I209" s="121"/>
      <c r="J209" s="817">
        <f>J208/Share_Price-1</f>
        <v>1.883097795385329</v>
      </c>
      <c r="K209" s="8"/>
      <c r="L209" s="185" t="s">
        <v>1017</v>
      </c>
      <c r="M209" s="8"/>
      <c r="N209" s="809">
        <f t="shared" ref="N209:N214" si="76">N131</f>
        <v>0</v>
      </c>
      <c r="O209" s="8"/>
      <c r="P209" s="185" t="s">
        <v>1017</v>
      </c>
      <c r="Q209" s="8"/>
      <c r="R209" s="809">
        <f t="shared" ref="R209:R214" si="77">N209</f>
        <v>0</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-30472.02706599208</v>
      </c>
      <c r="O211" s="8"/>
      <c r="P211" s="185" t="s">
        <v>1019</v>
      </c>
      <c r="Q211" s="8"/>
      <c r="R211" s="809">
        <f t="shared" si="77"/>
        <v>-30472.02706599208</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-68.2</v>
      </c>
      <c r="O213" s="8"/>
      <c r="P213" s="185" t="s">
        <v>1021</v>
      </c>
      <c r="Q213" s="8"/>
      <c r="R213" s="809">
        <f t="shared" si="77"/>
        <v>-68.2</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-16153.682673473699</v>
      </c>
      <c r="O216" s="8"/>
      <c r="P216" s="185" t="s">
        <v>1023</v>
      </c>
      <c r="Q216" s="8"/>
      <c r="R216" s="858">
        <f>SUM(R207:R214)</f>
        <v>-18154.91899951189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12.4</v>
      </c>
      <c r="O217" s="8"/>
      <c r="P217" s="185" t="s">
        <v>405</v>
      </c>
      <c r="Q217" s="8"/>
      <c r="R217" s="874">
        <f>N217</f>
        <v>12.4</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-1302.7163446349757</v>
      </c>
      <c r="O219" s="8"/>
      <c r="P219" s="185" t="s">
        <v>1015</v>
      </c>
      <c r="Q219" s="8"/>
      <c r="R219" s="858">
        <f>R216/R217</f>
        <v>-1464.1063709283783</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-35.25496567538721</v>
      </c>
      <c r="O220" s="8"/>
      <c r="P220" s="304" t="s">
        <v>1016</v>
      </c>
      <c r="Q220" s="121"/>
      <c r="R220" s="817">
        <f>R219/Share_Price-1</f>
        <v>-39.498721297091194</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7.519046956245175</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2159.1485096999995</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113.70334030380603</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6.0152375649961405</v>
      </c>
      <c r="F242" s="834">
        <v>100.5985339433191</v>
      </c>
      <c r="G242" s="835">
        <v>110.06142110129038</v>
      </c>
      <c r="H242" s="835">
        <v>119.52430825926167</v>
      </c>
      <c r="I242" s="835">
        <v>128.98719541723295</v>
      </c>
      <c r="J242" s="836">
        <v>138.45008257520425</v>
      </c>
      <c r="K242" s="8"/>
      <c r="L242" s="719" t="s">
        <v>388</v>
      </c>
      <c r="M242" s="870">
        <f t="shared" ref="M242:M246" si="82">E242</f>
        <v>6.0152375649961405</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6.767142260620657</v>
      </c>
      <c r="F243" s="839">
        <v>113.17335068623396</v>
      </c>
      <c r="G243" s="840">
        <v>123.81909873895167</v>
      </c>
      <c r="H243" s="840">
        <v>134.46484679166937</v>
      </c>
      <c r="I243" s="840">
        <v>145.11059484438707</v>
      </c>
      <c r="J243" s="841">
        <v>155.75634289710476</v>
      </c>
      <c r="K243" s="8"/>
      <c r="L243" s="724"/>
      <c r="M243" s="870">
        <f t="shared" si="82"/>
        <v>6.767142260620657</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7.519046956245175</v>
      </c>
      <c r="F244" s="839">
        <v>125.63589812132741</v>
      </c>
      <c r="G244" s="840">
        <v>137.4539463603043</v>
      </c>
      <c r="H244" s="840">
        <v>149.2719945992812</v>
      </c>
      <c r="I244" s="840">
        <v>161.09004283825806</v>
      </c>
      <c r="J244" s="841">
        <v>172.90809107723496</v>
      </c>
      <c r="K244" s="8"/>
      <c r="L244" s="724"/>
      <c r="M244" s="870">
        <f t="shared" si="82"/>
        <v>7.519046956245175</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8.270951651869693</v>
      </c>
      <c r="F245" s="839">
        <v>138.32298417206374</v>
      </c>
      <c r="G245" s="840">
        <v>151.33445401427429</v>
      </c>
      <c r="H245" s="840">
        <v>164.3459238564848</v>
      </c>
      <c r="I245" s="840">
        <v>177.35739369869532</v>
      </c>
      <c r="J245" s="841">
        <v>190.36886354090583</v>
      </c>
      <c r="K245" s="8"/>
      <c r="L245" s="724"/>
      <c r="M245" s="870">
        <f t="shared" si="82"/>
        <v>8.270951651869693</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9.02285634749421</v>
      </c>
      <c r="F246" s="845">
        <v>150.89780091497863</v>
      </c>
      <c r="G246" s="846">
        <v>165.09213165193555</v>
      </c>
      <c r="H246" s="846">
        <v>179.2864623888925</v>
      </c>
      <c r="I246" s="846">
        <v>193.48079312584943</v>
      </c>
      <c r="J246" s="847">
        <v>207.67512386280637</v>
      </c>
      <c r="K246" s="8"/>
      <c r="L246" s="729"/>
      <c r="M246" s="870">
        <f t="shared" si="82"/>
        <v>9.02285634749421</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109.64420915850407</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6.0152375649961405</v>
      </c>
      <c r="F250" s="834">
        <v>79.93301956907555</v>
      </c>
      <c r="G250" s="835">
        <v>89.39590672704685</v>
      </c>
      <c r="H250" s="835">
        <v>98.85879388501814</v>
      </c>
      <c r="I250" s="835">
        <v>108.32168104298943</v>
      </c>
      <c r="J250" s="836">
        <v>117.78456820096072</v>
      </c>
      <c r="K250" s="8"/>
      <c r="L250" s="719" t="s">
        <v>388</v>
      </c>
      <c r="M250" s="870">
        <f t="shared" ref="M250:M254" si="88">E250</f>
        <v>6.0152375649961405</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6.767142260620657</v>
      </c>
      <c r="F251" s="839">
        <v>89.92464701520998</v>
      </c>
      <c r="G251" s="840">
        <v>100.57039506792769</v>
      </c>
      <c r="H251" s="840">
        <v>111.2161431206454</v>
      </c>
      <c r="I251" s="840">
        <v>121.86189117336309</v>
      </c>
      <c r="J251" s="841">
        <v>132.50763922608078</v>
      </c>
      <c r="K251" s="8"/>
      <c r="L251" s="724"/>
      <c r="M251" s="870">
        <f t="shared" si="88"/>
        <v>6.767142260620657</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7.519046956245175</v>
      </c>
      <c r="F252" s="839">
        <v>99.82706814364448</v>
      </c>
      <c r="G252" s="840">
        <v>111.64511638262137</v>
      </c>
      <c r="H252" s="840">
        <v>123.46316462159825</v>
      </c>
      <c r="I252" s="840">
        <v>135.28121286057512</v>
      </c>
      <c r="J252" s="841">
        <v>147.09926109955202</v>
      </c>
      <c r="K252" s="8"/>
      <c r="L252" s="724"/>
      <c r="M252" s="870">
        <f t="shared" si="88"/>
        <v>7.519046956245175</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8.270951651869693</v>
      </c>
      <c r="F253" s="839">
        <v>109.90790190747889</v>
      </c>
      <c r="G253" s="840">
        <v>122.91937174968942</v>
      </c>
      <c r="H253" s="840">
        <v>135.93084159189993</v>
      </c>
      <c r="I253" s="840">
        <v>148.94231143411045</v>
      </c>
      <c r="J253" s="841">
        <v>161.953781276321</v>
      </c>
      <c r="K253" s="8"/>
      <c r="L253" s="724"/>
      <c r="M253" s="870">
        <f t="shared" si="88"/>
        <v>8.270951651869693</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9.02285634749421</v>
      </c>
      <c r="F254" s="845">
        <v>119.89952935361332</v>
      </c>
      <c r="G254" s="846">
        <v>134.09386009057025</v>
      </c>
      <c r="H254" s="846">
        <v>148.2881908275272</v>
      </c>
      <c r="I254" s="846">
        <v>162.48252156448413</v>
      </c>
      <c r="J254" s="847">
        <v>176.67685230144107</v>
      </c>
      <c r="K254" s="8"/>
      <c r="L254" s="729"/>
      <c r="M254" s="870">
        <f t="shared" si="88"/>
        <v>9.02285634749421</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-1302.7163446349757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1727.3188077599998</v>
      </c>
      <c r="F258" s="834">
        <v>178.76903204120967</v>
      </c>
      <c r="G258" s="835">
        <v>190.63065959009683</v>
      </c>
      <c r="H258" s="835">
        <v>202.492287138984</v>
      </c>
      <c r="I258" s="835">
        <v>214.35391468787117</v>
      </c>
      <c r="J258" s="836">
        <v>226.21554223675838</v>
      </c>
      <c r="K258" s="8"/>
      <c r="L258" s="719" t="s">
        <v>279</v>
      </c>
      <c r="M258" s="806">
        <f t="shared" ref="M258:M262" si="94">E258</f>
        <v>1727.3188077599998</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1943.2336587299997</v>
      </c>
      <c r="F259" s="839">
        <v>188.91308850750073</v>
      </c>
      <c r="G259" s="840">
        <v>202.2574194999988</v>
      </c>
      <c r="H259" s="840">
        <v>215.6017504924969</v>
      </c>
      <c r="I259" s="840">
        <v>228.94608148499495</v>
      </c>
      <c r="J259" s="841">
        <v>242.29041247749308</v>
      </c>
      <c r="K259" s="8"/>
      <c r="L259" s="724"/>
      <c r="M259" s="806">
        <f t="shared" si="94"/>
        <v>1943.2336587299997</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2159.1485096999995</v>
      </c>
      <c r="F260" s="839">
        <v>199.05714497379185</v>
      </c>
      <c r="G260" s="840">
        <v>213.88417940990084</v>
      </c>
      <c r="H260" s="840">
        <v>228.71121384600983</v>
      </c>
      <c r="I260" s="840">
        <v>243.5382482821188</v>
      </c>
      <c r="J260" s="841">
        <v>258.3652827182278</v>
      </c>
      <c r="K260" s="8"/>
      <c r="L260" s="724"/>
      <c r="M260" s="806">
        <f t="shared" si="94"/>
        <v>2159.1485096999995</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2375.06336067</v>
      </c>
      <c r="F261" s="839">
        <v>209.20120144008294</v>
      </c>
      <c r="G261" s="840">
        <v>225.51093931980282</v>
      </c>
      <c r="H261" s="840">
        <v>241.82067719952272</v>
      </c>
      <c r="I261" s="840">
        <v>258.1304150792426</v>
      </c>
      <c r="J261" s="841">
        <v>274.44015295896247</v>
      </c>
      <c r="K261" s="8"/>
      <c r="L261" s="724"/>
      <c r="M261" s="806">
        <f t="shared" si="94"/>
        <v>2375.06336067</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2590.9782116399992</v>
      </c>
      <c r="F262" s="845">
        <v>219.34525790637403</v>
      </c>
      <c r="G262" s="846">
        <v>237.1376992297048</v>
      </c>
      <c r="H262" s="846">
        <v>254.93014055303559</v>
      </c>
      <c r="I262" s="846">
        <v>272.72258187636635</v>
      </c>
      <c r="J262" s="847">
        <v>290.51502319969717</v>
      </c>
      <c r="K262" s="8"/>
      <c r="L262" s="729"/>
      <c r="M262" s="806">
        <f t="shared" si="94"/>
        <v>2590.9782116399992</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-1464.1063709283783</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1727.3188077599998</v>
      </c>
      <c r="F266" s="834">
        <v>229.2054888016298</v>
      </c>
      <c r="G266" s="835">
        <v>241.06711635051695</v>
      </c>
      <c r="H266" s="835">
        <v>252.92874389940417</v>
      </c>
      <c r="I266" s="835">
        <v>264.79037144829135</v>
      </c>
      <c r="J266" s="836">
        <v>276.65199899717857</v>
      </c>
      <c r="K266" s="8"/>
      <c r="L266" s="719" t="s">
        <v>279</v>
      </c>
      <c r="M266" s="806">
        <f t="shared" ref="M266:M270" si="100">E266</f>
        <v>1727.3188077599998</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1943.2336587299997</v>
      </c>
      <c r="F267" s="839">
        <v>245.6541023629734</v>
      </c>
      <c r="G267" s="840">
        <v>258.9984333554715</v>
      </c>
      <c r="H267" s="840">
        <v>272.3427643479696</v>
      </c>
      <c r="I267" s="840">
        <v>285.68709534046764</v>
      </c>
      <c r="J267" s="841">
        <v>299.0314263329658</v>
      </c>
      <c r="K267" s="8"/>
      <c r="L267" s="724"/>
      <c r="M267" s="806">
        <f t="shared" si="100"/>
        <v>1943.2336587299997</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2159.1485096999995</v>
      </c>
      <c r="F268" s="839">
        <v>262.102715924317</v>
      </c>
      <c r="G268" s="840">
        <v>276.929750360426</v>
      </c>
      <c r="H268" s="840">
        <v>291.756784796535</v>
      </c>
      <c r="I268" s="840">
        <v>306.583819232644</v>
      </c>
      <c r="J268" s="841">
        <v>321.41085366875296</v>
      </c>
      <c r="K268" s="8"/>
      <c r="L268" s="724"/>
      <c r="M268" s="806">
        <f t="shared" si="100"/>
        <v>2159.1485096999995</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2375.06336067</v>
      </c>
      <c r="F269" s="839">
        <v>278.55132948566063</v>
      </c>
      <c r="G269" s="840">
        <v>294.8610673653805</v>
      </c>
      <c r="H269" s="840">
        <v>311.17080524510044</v>
      </c>
      <c r="I269" s="840">
        <v>327.48054312482026</v>
      </c>
      <c r="J269" s="841">
        <v>343.7902810045402</v>
      </c>
      <c r="K269" s="8"/>
      <c r="L269" s="724"/>
      <c r="M269" s="806">
        <f t="shared" si="100"/>
        <v>2375.06336067</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2590.9782116399992</v>
      </c>
      <c r="F270" s="845">
        <v>294.99994304700425</v>
      </c>
      <c r="G270" s="846">
        <v>312.792384370335</v>
      </c>
      <c r="H270" s="846">
        <v>330.58482569366583</v>
      </c>
      <c r="I270" s="846">
        <v>348.37726701699654</v>
      </c>
      <c r="J270" s="847">
        <v>366.16970834032736</v>
      </c>
      <c r="K270" s="8"/>
      <c r="L270" s="729"/>
      <c r="M270" s="806">
        <f t="shared" si="100"/>
        <v>2590.9782116399992</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6">
        <f>SUM('Segment Analysis'!W70:X70,'Segment Analysis'!Z70:AA70)</f>
        <v>11942.053647618306</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433.36850000000004</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0</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-30472.02706599208</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-68.2</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12.4</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0.6581139320836505</v>
      </c>
      <c r="E7" s="899">
        <f>Summary!U16</f>
        <v>0.7461785379168093</v>
      </c>
      <c r="F7" s="899">
        <f>Summary!V16</f>
        <v>0.7875305086541107</v>
      </c>
      <c r="G7" s="899">
        <f>Summary!W16</f>
        <v>0.15725218740051702</v>
      </c>
      <c r="H7" s="899">
        <f>Summary!X16</f>
        <v>0.17055718920111113</v>
      </c>
      <c r="I7" s="899">
        <f>Summary!Y16</f>
        <v>0.15640651997170843</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0.6697521493494161</v>
      </c>
      <c r="E8" s="899">
        <f>Summary!U28</f>
        <v>0.7546869442453318</v>
      </c>
      <c r="F8" s="899">
        <f>Summary!V28</f>
        <v>0.7956933721000462</v>
      </c>
      <c r="G8" s="899">
        <f>Summary!W28</f>
        <v>0.14181665997852355</v>
      </c>
      <c r="H8" s="899">
        <f>Summary!X28</f>
        <v>0.15899761888704528</v>
      </c>
      <c r="I8" s="899">
        <f>Summary!Y28</f>
        <v>0.1454608834224419</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0.5827574986122542</v>
      </c>
      <c r="E9" s="902">
        <f>Summary!U20</f>
        <v>0.6541679957535633</v>
      </c>
      <c r="F9" s="902">
        <f>Summary!V20</f>
        <v>0.7744004674656046</v>
      </c>
      <c r="G9" s="902">
        <f>Summary!W20</f>
        <v>0.11844587970160511</v>
      </c>
      <c r="H9" s="902">
        <f>Summary!X20</f>
        <v>0.1270651059548278</v>
      </c>
      <c r="I9" s="902">
        <f>Summary!Y20</f>
        <v>0.11730488997878133</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&amp; Capital Markets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&amp; Capital Markets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13583.18</v>
      </c>
      <c r="M31" s="876">
        <f t="array" ref="M31">INDEX(Revenue_Data_Summary,MATCH($K31,'Revenue Build'!$C$28:$C$49,0),MATCH(Charts!M$30,'Revenue Build'!$C$28:$AG$28,0))</f>
        <v>15257.969000000001</v>
      </c>
      <c r="N31" s="876">
        <f t="array" ref="N31">INDEX(Revenue_Data_Summary,MATCH($K31,'Revenue Build'!$C$28:$C$49,0),MATCH(Charts!N$30,'Revenue Build'!$C$28:$AG$28,0))</f>
        <v>14057.077000000001</v>
      </c>
      <c r="O31" s="876">
        <f t="array" ref="O31">INDEX(Revenue_Data_Summary,MATCH($K31,'Revenue Build'!$C$28:$C$49,0),MATCH(Charts!O$30,'Revenue Build'!$C$28:$AG$28,0))</f>
        <v>15224.928510000002</v>
      </c>
      <c r="P31" s="876">
        <f t="array" ref="P31">INDEX(Revenue_Data_Summary,MATCH($K31,'Revenue Build'!$C$28:$C$49,0),MATCH(Charts!P$30,'Revenue Build'!$C$28:$AG$28,0))</f>
        <v>16254.2298854</v>
      </c>
      <c r="Q31" s="876">
        <f t="array" ref="Q31">INDEX(Revenue_Data_Summary,MATCH($K31,'Revenue Build'!$C$28:$C$49,0),MATCH(Charts!Q$30,'Revenue Build'!$C$28:$AG$28,0))</f>
        <v>17128.390803084003</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0.12329874153180631</v>
      </c>
      <c r="N32" s="905">
        <f t="shared" si="3"/>
        <v>-0.0787058880510243</v>
      </c>
      <c r="O32" s="905">
        <f t="shared" si="3"/>
        <v>0.08307925680424177</v>
      </c>
      <c r="P32" s="905">
        <f t="shared" si="3"/>
        <v>0.06760631911827608</v>
      </c>
      <c r="Q32" s="905">
        <f t="shared" si="3"/>
        <v>0.053780518907831976</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Asset Management and Other</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Asset Management and Other</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6141.799999999999</v>
      </c>
      <c r="M51" s="876">
        <f t="array" ref="M51">INDEX(Revenue_Data_Summary,MATCH($K51,'Revenue Build'!$C$28:$C$49,0),MATCH(Charts!M$50,'Revenue Build'!$C$28:$AG$28,0))</f>
        <v>4742.9</v>
      </c>
      <c r="N51" s="876">
        <f t="array" ref="N51">INDEX(Revenue_Data_Summary,MATCH($K51,'Revenue Build'!$C$28:$C$49,0),MATCH(Charts!N$50,'Revenue Build'!$C$28:$AG$28,0))</f>
        <v>3233.4</v>
      </c>
      <c r="O51" s="876">
        <f t="array" ref="O51">INDEX(Revenue_Data_Summary,MATCH($K51,'Revenue Build'!$C$28:$C$49,0),MATCH(Charts!O$50,'Revenue Build'!$C$28:$AG$28,0))</f>
        <v>3233.4</v>
      </c>
      <c r="P51" s="876">
        <f t="array" ref="P51">INDEX(Revenue_Data_Summary,MATCH($K51,'Revenue Build'!$C$28:$C$49,0),MATCH(Charts!P$50,'Revenue Build'!$C$28:$AG$28,0))</f>
        <v>3233.4</v>
      </c>
      <c r="Q51" s="876">
        <f t="array" ref="Q51">INDEX(Revenue_Data_Summary,MATCH($K51,'Revenue Build'!$C$28:$C$49,0),MATCH(Charts!Q$50,'Revenue Build'!$C$28:$AG$28,0))</f>
        <v>3233.4</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-0.31826519639882767</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7982.099999999999</v>
      </c>
      <c r="E71" s="876">
        <f t="array" ref="E71">INDEX(Data,MATCH($C71,Line_Items,0),MATCH(Charts!E$70,Fiscal_Periods,0))</f>
        <v>9981.175000000001</v>
      </c>
      <c r="F71" s="876">
        <f t="array" ref="F71">INDEX(Data,MATCH($C71,Line_Items,0),MATCH(Charts!F$70,Fiscal_Periods,0))</f>
        <v>10878.807</v>
      </c>
      <c r="G71" s="876">
        <f t="array" ref="G71">INDEX(Data,MATCH($C71,Line_Items,0),MATCH(Charts!G$70,Fiscal_Periods,0))</f>
        <v>2469.790417124992</v>
      </c>
      <c r="H71" s="876">
        <f t="array" ref="H71">INDEX(Data,MATCH($C71,Line_Items,0),MATCH(Charts!H$70,Fiscal_Periods,0))</f>
        <v>1993.101662582752</v>
      </c>
      <c r="I71" s="876">
        <f t="array" ref="I71">INDEX(Data,MATCH($C71,Line_Items,0),MATCH(Charts!I$70,Fiscal_Periods,0))</f>
        <v>2215.2793857433153</v>
      </c>
      <c r="J71" s="8"/>
      <c r="K71" s="898" t="str">
        <f>Model!C57</f>
        <v>Adj. EPS (Diluted)</v>
      </c>
      <c r="L71" s="907">
        <f t="array" ref="L71">INDEX(Data,MATCH($K71,Line_Items,0),MATCH(Charts!L$70,Fiscal_Periods,0))</f>
        <v>33.60095076400679</v>
      </c>
      <c r="M71" s="907">
        <f t="array" ref="M71">INDEX(Data,MATCH($K71,Line_Items,0),MATCH(Charts!M$70,Fiscal_Periods,0))</f>
        <v>44.42644613321413</v>
      </c>
      <c r="N71" s="907">
        <f t="array" ref="N71">INDEX(Data,MATCH($K71,Line_Items,0),MATCH(Charts!N$70,Fiscal_Periods,0))</f>
        <v>63.22131582786288</v>
      </c>
      <c r="O71" s="907">
        <f t="array" ref="O71">INDEX(Data,MATCH($K71,Line_Items,0),MATCH(Charts!O$70,Fiscal_Periods,0))</f>
        <v>7.553356919260727</v>
      </c>
      <c r="P71" s="907">
        <f t="array" ref="P71">INDEX(Data,MATCH($K71,Line_Items,0),MATCH(Charts!P$70,Fiscal_Periods,0))</f>
        <v>10.424382524293941</v>
      </c>
      <c r="Q71" s="907">
        <f t="array" ref="Q71">INDEX(Data,MATCH($K71,Line_Items,0),MATCH(Charts!Q$70,Fiscal_Periods,0))</f>
        <v>11.346122501726237</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0.25044474511720005</v>
      </c>
      <c r="F72" s="905">
        <f t="shared" si="10"/>
        <v>0.08993249792734814</v>
      </c>
      <c r="G72" s="905">
        <f>G71/F71-1</f>
        <v>-0.772972310555285</v>
      </c>
      <c r="H72" s="905">
        <f t="shared" si="10"/>
        <v>-0.1930077755735804</v>
      </c>
      <c r="I72" s="905">
        <f t="shared" si="10"/>
        <v>0.11147335197776886</v>
      </c>
      <c r="J72" s="8"/>
      <c r="K72" s="901" t="s">
        <v>1076</v>
      </c>
      <c r="L72" s="904">
        <v>0.26</v>
      </c>
      <c r="M72" s="905">
        <f t="shared" ref="M72:Q72" si="11">M71/L71-1</f>
        <v>0.32217824564665487</v>
      </c>
      <c r="N72" s="905">
        <f t="shared" si="11"/>
        <v>0.42305588968993235</v>
      </c>
      <c r="O72" s="905">
        <f t="shared" si="11"/>
        <v>-0.8805251548413389</v>
      </c>
      <c r="P72" s="905">
        <f t="shared" si="11"/>
        <v>0.3800992903846798</v>
      </c>
      <c r="Q72" s="905">
        <f t="shared" si="11"/>
        <v>0.08842154202267505</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13583.18</v>
      </c>
      <c r="I91" s="876">
        <f t="array" ref="I91">INDEX(Revenue_Data_Summary,MATCH($C91,'Revenue Build'!$C$28:$C$49,0),MATCH(Charts!I$90,'Revenue Build'!$C$28:$AG$28,0))</f>
        <v>15257.969000000001</v>
      </c>
      <c r="J91" s="876">
        <f t="array" ref="J91">INDEX(Revenue_Data_Summary,MATCH($C91,'Revenue Build'!$C$28:$C$49,0),MATCH(Charts!J$90,'Revenue Build'!$C$28:$AG$28,0))</f>
        <v>14057.077000000001</v>
      </c>
      <c r="K91" s="876">
        <f t="array" ref="K91">INDEX(Revenue_Data_Summary,MATCH($C91,'Revenue Build'!$C$28:$C$49,0),MATCH(Charts!K$90,'Revenue Build'!$C$28:$AG$28,0))</f>
        <v>15224.928510000002</v>
      </c>
      <c r="L91" s="876">
        <f t="array" ref="L91">INDEX(Revenue_Data_Summary,MATCH($C91,'Revenue Build'!$C$28:$C$49,0),MATCH(Charts!L$90,'Revenue Build'!$C$28:$AG$28,0))</f>
        <v>16254.2298854</v>
      </c>
      <c r="M91" s="876">
        <f t="array" ref="M91">INDEX(Revenue_Data_Summary,MATCH($C91,'Revenue Build'!$C$28:$C$49,0),MATCH(Charts!M$90,'Revenue Build'!$C$28:$AG$28,0))</f>
        <v>17128.390803084003</v>
      </c>
      <c r="N91" s="876">
        <f>IF(Charts!$R$88="1Q",SUM('Revenue Build'!K30),IF(Charts!$R$88="2Q",SUM('Revenue Build'!K30:L30),IF(Charts!$R$88="3Q",SUM('Revenue Build'!K30:M30),IF(Charts!$R$88="4Q",SUM('Revenue Build'!K30:N30),"N/A"))))</f>
        <v>15257.969000000001</v>
      </c>
      <c r="O91" s="876">
        <f>IF(Charts!$R$88="1Q",SUM('Revenue Build'!P30),IF(Charts!$R$88="2Q",SUM('Revenue Build'!P30:Q30),IF(Charts!$R$88="3Q",SUM('Revenue Build'!P30:R30),IF(Charts!$R$88="4Q",SUM('Revenue Build'!P30:S30),"N/A"))))</f>
        <v>14057.077000000001</v>
      </c>
      <c r="P91" s="876">
        <f>IF(Charts!$R$88="1Q",SUM('Revenue Build'!U30),IF(Charts!$R$88="2Q",SUM('Revenue Build'!U30:V30),IF(Charts!$R$88="3Q",SUM('Revenue Build'!U30:W30),IF(Charts!$R$88="4Q",SUM('Revenue Build'!U30:X30),"N/A"))))</f>
        <v>15224.928510000002</v>
      </c>
      <c r="Q91" s="876">
        <f>IF(Charts!$R$88="1Q",SUM('Revenue Build'!V30),IF(Charts!$R$88="2Q",SUM('Revenue Build'!V30:W30),IF(Charts!$R$88="3Q",SUM('Revenue Build'!V30:X30),IF(Charts!$R$88="4Q",SUM('Revenue Build'!V30:Y30),"N/A"))))</f>
        <v>26672.20451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-0.8020492866407263</v>
      </c>
      <c r="I92" s="905">
        <f t="shared" si="15"/>
        <v>0.12329874153180631</v>
      </c>
      <c r="J92" s="905">
        <f t="shared" si="15"/>
        <v>-0.0787058880510243</v>
      </c>
      <c r="K92" s="905">
        <f t="shared" si="15"/>
        <v>0.08307925680424177</v>
      </c>
      <c r="L92" s="905">
        <f t="shared" si="15"/>
        <v>0.06760631911827608</v>
      </c>
      <c r="M92" s="905">
        <f t="shared" si="15"/>
        <v>0.053780518907831976</v>
      </c>
      <c r="N92" s="905">
        <v>0.175</v>
      </c>
      <c r="O92" s="905">
        <f t="shared" ref="O92:Q92" si="16">O91/N91-1</f>
        <v>-0.0787058880510243</v>
      </c>
      <c r="P92" s="905">
        <f t="shared" si="16"/>
        <v>0.08307925680424177</v>
      </c>
      <c r="Q92" s="905">
        <f t="shared" si="16"/>
        <v>0.7518771593890392</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 &amp; Capital Markets</v>
      </c>
      <c r="E116" s="909" t="str">
        <f>'Segment Analysis'!$C$17</f>
        <v>Asset Management and Other</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0.7210119144968757</v>
      </c>
      <c r="E117" s="912">
        <f>'Segment Analysis'!$T$17</f>
        <v>0.04896871518879778</v>
      </c>
      <c r="F117" s="912">
        <f>'Segment Analysis'!$T$20</f>
        <v>0</v>
      </c>
      <c r="G117" s="912">
        <f>'Segment Analysis'!$T$18</f>
        <v>0.23001937031432637</v>
      </c>
      <c r="H117" s="912">
        <f>'Segment Analysis'!$T$19</f>
        <v>0</v>
      </c>
      <c r="I117" s="912">
        <f>'Segment Analysis'!$T$21</f>
        <v>0</v>
      </c>
      <c r="J117" s="165" t="s">
        <v>1079</v>
      </c>
      <c r="K117" s="913">
        <f>SUM(D117:I117)</f>
        <v>0.9999999999999999</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0.21900062734051204</v>
      </c>
      <c r="E29" s="935">
        <f>MEDIAN(D29:D32)</f>
        <v>0.1751506581908859</v>
      </c>
      <c r="F29" s="8"/>
      <c r="G29" s="8"/>
      <c r="H29" s="8"/>
      <c r="I29" s="8"/>
      <c r="J29" s="8"/>
      <c r="K29" s="8"/>
      <c r="L29" s="8"/>
      <c r="M29" s="8"/>
      <c r="N29" s="8"/>
      <c r="O29" s="780" t="str">
        <f t="shared" ref="O29:O33" si="8">INDEX($C$29:$C$33,MATCH(P29,$D$29:$D$33,0),1)</f>
        <v>Houlihan Lokey, Inc.</v>
      </c>
      <c r="P29" s="935">
        <f t="shared" ref="P29:P33" si="9">LARGE($D$29:$D$33,B29)</f>
        <v>0.3686056461023804</v>
      </c>
      <c r="Q29" s="935">
        <f t="shared" ref="Q29:Q33" si="10">E29</f>
        <v>0.1751506581908859</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0.007000806789874059</v>
      </c>
      <c r="E30" s="935">
        <f t="shared" ref="E30:E33" si="12">E29</f>
        <v>0.1751506581908859</v>
      </c>
      <c r="F30" s="8"/>
      <c r="G30" s="8"/>
      <c r="H30" s="8"/>
      <c r="I30" s="8"/>
      <c r="J30" s="8"/>
      <c r="K30" s="8"/>
      <c r="L30" s="8"/>
      <c r="M30" s="8"/>
      <c r="N30" s="8"/>
      <c r="O30" s="780" t="str">
        <f t="shared" si="8"/>
        <v>Piper Sandler Companies</v>
      </c>
      <c r="P30" s="935">
        <f t="shared" si="9"/>
        <v>0.21900062734051204</v>
      </c>
      <c r="Q30" s="935">
        <f t="shared" si="10"/>
        <v>0.1751506581908859</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0.13130068904125977</v>
      </c>
      <c r="E31" s="935">
        <f t="shared" si="12"/>
        <v>0.1751506581908859</v>
      </c>
      <c r="F31" s="8"/>
      <c r="G31" s="8"/>
      <c r="H31" s="8"/>
      <c r="I31" s="8"/>
      <c r="J31" s="8"/>
      <c r="K31" s="8"/>
      <c r="L31" s="8"/>
      <c r="M31" s="8"/>
      <c r="N31" s="8"/>
      <c r="O31" s="780" t="str">
        <f t="shared" si="8"/>
        <v>Raymond James Financial, Inc.</v>
      </c>
      <c r="P31" s="935">
        <f t="shared" si="9"/>
        <v>0.13130068904125977</v>
      </c>
      <c r="Q31" s="935">
        <f t="shared" si="10"/>
        <v>0.1751506581908859</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0.3686056461023804</v>
      </c>
      <c r="E32" s="935">
        <f t="shared" si="12"/>
        <v>0.1751506581908859</v>
      </c>
      <c r="F32" s="8"/>
      <c r="G32" s="8"/>
      <c r="H32" s="8"/>
      <c r="I32" s="8"/>
      <c r="J32" s="8"/>
      <c r="K32" s="8"/>
      <c r="L32" s="8"/>
      <c r="M32" s="8"/>
      <c r="N32" s="8"/>
      <c r="O32" s="780" t="str">
        <f t="shared" si="8"/>
        <v>Stifel Financial Corp.</v>
      </c>
      <c r="P32" s="935">
        <f t="shared" si="9"/>
        <v>0.007000806789874059</v>
      </c>
      <c r="Q32" s="935">
        <f t="shared" si="10"/>
        <v>0.1751506581908859</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4.8551352972881935e-8</v>
      </c>
      <c r="E33" s="935">
        <f t="shared" si="12"/>
        <v>0.1751506581908859</v>
      </c>
      <c r="F33" s="8"/>
      <c r="G33" s="8"/>
      <c r="H33" s="8"/>
      <c r="I33" s="8"/>
      <c r="J33" s="8"/>
      <c r="K33" s="8"/>
      <c r="L33" s="8"/>
      <c r="M33" s="8"/>
      <c r="N33" s="8"/>
      <c r="O33" s="780">
        <f t="shared" si="8"/>
        <v>0</v>
      </c>
      <c r="P33" s="935">
        <f t="shared" si="9"/>
        <v>4.8551352972881935e-8</v>
      </c>
      <c r="Q33" s="935">
        <f t="shared" si="10"/>
        <v>0.1751506581908859</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10.84054874666867</v>
      </c>
      <c r="F45" s="8"/>
      <c r="G45" s="8"/>
      <c r="H45" s="8"/>
      <c r="I45" s="8"/>
      <c r="J45" s="8"/>
      <c r="K45" s="8"/>
      <c r="L45" s="8"/>
      <c r="M45" s="8"/>
      <c r="N45" s="8"/>
      <c r="O45" s="780" t="str">
        <f t="shared" ref="O45:O49" si="15">INDEX($C$45:$C$49,MATCH(P45,$D$45:$D$49,0),1)</f>
        <v>Stifel Financial Corp.</v>
      </c>
      <c r="P45" s="940">
        <f t="shared" ref="P45:P49" si="16">LARGE($D$45:$D$49,B45)</f>
        <v>10.84054874666867</v>
      </c>
      <c r="Q45" s="940">
        <f t="shared" ref="Q45:Q49" si="17">E45</f>
        <v>10.84054874666867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10.84054874666867</v>
      </c>
      <c r="E46" s="940">
        <f t="shared" ref="E46:E48" si="19">E45</f>
        <v>10.84054874666867</v>
      </c>
      <c r="F46" s="8"/>
      <c r="G46" s="8"/>
      <c r="H46" s="8"/>
      <c r="I46" s="8"/>
      <c r="J46" s="8"/>
      <c r="K46" s="8"/>
      <c r="L46" s="8"/>
      <c r="M46" s="8"/>
      <c r="N46" s="8"/>
      <c r="O46" s="780" t="e">
        <f t="shared" si="15"/>
        <v>#NUM!</v>
      </c>
      <c r="P46" s="940" t="e">
        <f t="shared" si="16"/>
        <v>#NUM!</v>
      </c>
      <c r="Q46" s="940">
        <f t="shared" si="17"/>
        <v>10.84054874666867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10.84054874666867</v>
      </c>
      <c r="F47" s="8"/>
      <c r="G47" s="8"/>
      <c r="H47" s="8"/>
      <c r="I47" s="8"/>
      <c r="J47" s="8"/>
      <c r="K47" s="8"/>
      <c r="L47" s="8"/>
      <c r="M47" s="8"/>
      <c r="N47" s="8"/>
      <c r="O47" s="780" t="e">
        <f t="shared" si="15"/>
        <v>#NUM!</v>
      </c>
      <c r="P47" s="940" t="e">
        <f t="shared" si="16"/>
        <v>#NUM!</v>
      </c>
      <c r="Q47" s="940">
        <f t="shared" si="17"/>
        <v>10.84054874666867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10.84054874666867</v>
      </c>
      <c r="F48" s="8"/>
      <c r="G48" s="8"/>
      <c r="H48" s="8"/>
      <c r="I48" s="8"/>
      <c r="J48" s="8"/>
      <c r="K48" s="8"/>
      <c r="L48" s="8"/>
      <c r="M48" s="8"/>
      <c r="N48" s="8"/>
      <c r="O48" s="780" t="e">
        <f t="shared" si="15"/>
        <v>#NUM!</v>
      </c>
      <c r="P48" s="940" t="e">
        <f t="shared" si="16"/>
        <v>#NUM!</v>
      </c>
      <c r="Q48" s="940">
        <f t="shared" si="17"/>
        <v>10.84054874666867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20.80210318387749</v>
      </c>
      <c r="E61" s="940">
        <f>MEDIAN(D61:D64)</f>
        <v>17.94992921151453</v>
      </c>
      <c r="F61" s="8"/>
      <c r="G61" s="8"/>
      <c r="H61" s="8"/>
      <c r="I61" s="8"/>
      <c r="J61" s="8"/>
      <c r="K61" s="8"/>
      <c r="L61" s="8"/>
      <c r="M61" s="8"/>
      <c r="N61" s="8"/>
      <c r="O61" s="780" t="str">
        <f t="shared" ref="O61:O65" si="22">INDEX($C$61:$C$65,MATCH(P61,$D$61:$D$65,0),1)</f>
        <v>Houlihan Lokey, Inc.</v>
      </c>
      <c r="P61" s="940">
        <f t="shared" ref="P61:P65" si="23">LARGE($D$61:$D$65,B61)</f>
        <v>22.99384088723166</v>
      </c>
      <c r="Q61" s="940">
        <f t="shared" ref="Q61:Q65" si="24">E61</f>
        <v>17.94992921151453</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15.097755239151564</v>
      </c>
      <c r="E62" s="940">
        <f t="shared" ref="E62:E64" si="26">E61</f>
        <v>17.94992921151453</v>
      </c>
      <c r="F62" s="8"/>
      <c r="G62" s="8"/>
      <c r="H62" s="8"/>
      <c r="I62" s="8"/>
      <c r="J62" s="8"/>
      <c r="K62" s="8"/>
      <c r="L62" s="8"/>
      <c r="M62" s="8"/>
      <c r="N62" s="8"/>
      <c r="O62" s="780" t="str">
        <f t="shared" si="22"/>
        <v>Piper Sandler Companies</v>
      </c>
      <c r="P62" s="940">
        <f t="shared" si="23"/>
        <v>20.80210318387749</v>
      </c>
      <c r="Q62" s="940">
        <f t="shared" si="24"/>
        <v>17.94992921151453</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13.297629344125653</v>
      </c>
      <c r="E63" s="940">
        <f t="shared" si="26"/>
        <v>17.94992921151453</v>
      </c>
      <c r="F63" s="8"/>
      <c r="G63" s="8"/>
      <c r="H63" s="8"/>
      <c r="I63" s="8"/>
      <c r="J63" s="8"/>
      <c r="K63" s="8"/>
      <c r="L63" s="8"/>
      <c r="M63" s="8"/>
      <c r="N63" s="8"/>
      <c r="O63" s="780" t="str">
        <f t="shared" si="22"/>
        <v>Stifel Financial Corp.</v>
      </c>
      <c r="P63" s="940">
        <f t="shared" si="23"/>
        <v>15.097755239151564</v>
      </c>
      <c r="Q63" s="940">
        <f t="shared" si="24"/>
        <v>17.94992921151453</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22.99384088723166</v>
      </c>
      <c r="E64" s="940">
        <f t="shared" si="26"/>
        <v>17.94992921151453</v>
      </c>
      <c r="F64" s="8"/>
      <c r="G64" s="8"/>
      <c r="H64" s="8"/>
      <c r="I64" s="8"/>
      <c r="J64" s="8"/>
      <c r="K64" s="8"/>
      <c r="L64" s="8"/>
      <c r="M64" s="8"/>
      <c r="N64" s="8"/>
      <c r="O64" s="780" t="str">
        <f t="shared" si="22"/>
        <v>Raymond James Financial, Inc.</v>
      </c>
      <c r="P64" s="940">
        <f t="shared" si="23"/>
        <v>13.297629344125653</v>
      </c>
      <c r="Q64" s="940">
        <f t="shared" si="24"/>
        <v>17.94992921151453</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0.07147829429227297</v>
      </c>
      <c r="E77" s="940">
        <f>MEDIAN(D77:D80)</f>
        <v>0.2852661181708975</v>
      </c>
      <c r="F77" s="8"/>
      <c r="G77" s="8"/>
      <c r="H77" s="8"/>
      <c r="I77" s="8"/>
      <c r="J77" s="8"/>
      <c r="K77" s="8"/>
      <c r="L77" s="8"/>
      <c r="M77" s="8"/>
      <c r="N77" s="8"/>
      <c r="O77" s="780" t="str">
        <f t="shared" ref="O77:O81" si="29">INDEX($C$77:$C$81,MATCH(P77,$D$77:$D$81,0),1)</f>
        <v>Stifel Financial Corp.</v>
      </c>
      <c r="P77" s="940">
        <f t="shared" ref="P77:P81" si="30">LARGE($D$77:$D$81,B77)</f>
        <v>0.39302405192958784</v>
      </c>
      <c r="Q77" s="940">
        <f t="shared" ref="Q77:Q81" si="31">E77</f>
        <v>0.2852661181708975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0.39302405192958784</v>
      </c>
      <c r="E78" s="940">
        <f t="shared" ref="E78:E80" si="33">E77</f>
        <v>0.2852661181708975</v>
      </c>
      <c r="F78" s="8"/>
      <c r="G78" s="8"/>
      <c r="H78" s="8"/>
      <c r="I78" s="8"/>
      <c r="J78" s="8"/>
      <c r="K78" s="8"/>
      <c r="L78" s="8"/>
      <c r="M78" s="8"/>
      <c r="N78" s="8"/>
      <c r="O78" s="780" t="str">
        <f t="shared" si="29"/>
        <v>Raymond James Financial, Inc.</v>
      </c>
      <c r="P78" s="940">
        <f t="shared" si="30"/>
        <v>0.369056983693571</v>
      </c>
      <c r="Q78" s="940">
        <f t="shared" si="31"/>
        <v>0.2852661181708975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0.369056983693571</v>
      </c>
      <c r="E79" s="940">
        <f t="shared" si="33"/>
        <v>0.2852661181708975</v>
      </c>
      <c r="F79" s="8"/>
      <c r="G79" s="8"/>
      <c r="H79" s="8"/>
      <c r="I79" s="8"/>
      <c r="J79" s="8"/>
      <c r="K79" s="8"/>
      <c r="L79" s="8"/>
      <c r="M79" s="8"/>
      <c r="N79" s="8"/>
      <c r="O79" s="780" t="str">
        <f t="shared" si="29"/>
        <v>Houlihan Lokey, Inc.</v>
      </c>
      <c r="P79" s="940">
        <f t="shared" si="30"/>
        <v>0.20147525264822394</v>
      </c>
      <c r="Q79" s="940">
        <f t="shared" si="31"/>
        <v>0.2852661181708975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0.20147525264822394</v>
      </c>
      <c r="E80" s="940">
        <f t="shared" si="33"/>
        <v>0.2852661181708975</v>
      </c>
      <c r="F80" s="8"/>
      <c r="G80" s="8"/>
      <c r="H80" s="8"/>
      <c r="I80" s="8"/>
      <c r="J80" s="8"/>
      <c r="K80" s="8"/>
      <c r="L80" s="8"/>
      <c r="M80" s="8"/>
      <c r="N80" s="8"/>
      <c r="O80" s="780" t="str">
        <f t="shared" si="29"/>
        <v>Piper Sandler Companies</v>
      </c>
      <c r="P80" s="940">
        <f t="shared" si="30"/>
        <v>0.07147829429227297</v>
      </c>
      <c r="Q80" s="940">
        <f t="shared" si="31"/>
        <v>0.2852661181708975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0.1784101789331223</v>
      </c>
      <c r="E109" s="935">
        <f>MEDIAN(D109:D113)</f>
        <v>0.18156419823390332</v>
      </c>
      <c r="F109" s="8"/>
      <c r="G109" s="8"/>
      <c r="H109" s="8"/>
      <c r="I109" s="8"/>
      <c r="J109" s="8"/>
      <c r="K109" s="8"/>
      <c r="L109" s="8"/>
      <c r="M109" s="8"/>
      <c r="N109" s="8"/>
      <c r="O109" s="780" t="str">
        <f t="shared" ref="O109:O112" si="43">INDEX($C$109:$C$113,MATCH(P109,$D$109:$D$113,0),1)</f>
        <v>Houlihan Lokey, Inc.</v>
      </c>
      <c r="P109" s="935">
        <f t="shared" ref="P109:P112" si="44">LARGE($D$109:$D$113,B109)</f>
        <v>0.2361633744724209</v>
      </c>
      <c r="Q109" s="935">
        <f t="shared" ref="Q109:Q112" si="45">E109</f>
        <v>0.18156419823390332</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0.18156419823390332</v>
      </c>
      <c r="E110" s="935">
        <f t="shared" ref="E110:E112" si="47">E109</f>
        <v>0.18156419823390332</v>
      </c>
      <c r="F110" s="8"/>
      <c r="G110" s="8"/>
      <c r="H110" s="8"/>
      <c r="I110" s="8"/>
      <c r="J110" s="8"/>
      <c r="K110" s="8"/>
      <c r="L110" s="8"/>
      <c r="M110" s="8"/>
      <c r="N110" s="8"/>
      <c r="O110" s="780" t="str">
        <f t="shared" si="43"/>
        <v>Stifel Financial Corp.</v>
      </c>
      <c r="P110" s="935">
        <f t="shared" si="44"/>
        <v>0.18156419823390332</v>
      </c>
      <c r="Q110" s="935">
        <f t="shared" si="45"/>
        <v>0.18156419823390332</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0.18156419823390332</v>
      </c>
      <c r="F111" s="8"/>
      <c r="G111" s="8"/>
      <c r="H111" s="8"/>
      <c r="I111" s="8"/>
      <c r="J111" s="8"/>
      <c r="K111" s="8"/>
      <c r="L111" s="8"/>
      <c r="M111" s="8"/>
      <c r="N111" s="8"/>
      <c r="O111" s="780" t="str">
        <f t="shared" si="43"/>
        <v>Piper Sandler Companies</v>
      </c>
      <c r="P111" s="935">
        <f t="shared" si="44"/>
        <v>0.1784101789331223</v>
      </c>
      <c r="Q111" s="935">
        <f t="shared" si="45"/>
        <v>0.18156419823390332</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0.2361633744724209</v>
      </c>
      <c r="E112" s="935">
        <f t="shared" si="47"/>
        <v>0.18156419823390332</v>
      </c>
      <c r="F112" s="8"/>
      <c r="G112" s="8"/>
      <c r="H112" s="8"/>
      <c r="I112" s="8"/>
      <c r="J112" s="8"/>
      <c r="K112" s="8"/>
      <c r="L112" s="8"/>
      <c r="M112" s="8"/>
      <c r="N112" s="8"/>
      <c r="O112" s="780" t="e">
        <f t="shared" si="43"/>
        <v>#NUM!</v>
      </c>
      <c r="P112" s="935" t="e">
        <f t="shared" si="44"/>
        <v>#NUM!</v>
      </c>
      <c r="Q112" s="935">
        <f t="shared" si="45"/>
        <v>0.18156419823390332</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6">
        <v>19670.3</v>
      </c>
      <c r="J12" s="945">
        <f t="array" ref="J12">INDEX(Data,MATCH($C12,Line_Items,0),MATCH(LEFT(J$10,4),Fiscal_Periods,0))</f>
        <v>2769.123999999999</v>
      </c>
      <c r="K12" s="945" t="e">
        <f t="array" ref="K12">INDEX(Data,MATCH($C12,Line_Items,0),MATCH(LEFT(K$10,4),Fiscal_Periods,0))</f>
        <v>#N/A</v>
      </c>
      <c r="L12" s="947">
        <f t="shared" ref="L12:N12" si="1">IFERROR($H12/I12-1,"N/A")</f>
        <v>-0.8454869539356289</v>
      </c>
      <c r="M12" s="625">
        <f t="shared" si="1"/>
        <v>0.09757380673454863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9">
        <v>3968.1</v>
      </c>
      <c r="J13" s="948">
        <f t="array" ref="J13">INDEX(Data,MATCH($C13,Line_Items,0),MATCH(LEFT(J$10,4),Fiscal_Periods,0))</f>
        <v>2769.123999999999</v>
      </c>
      <c r="K13" s="948" t="e">
        <f t="array" ref="K13">INDEX(Data,MATCH($C13,Line_Items,0),MATCH(LEFT(K$10,4),Fiscal_Periods,0))</f>
        <v>#N/A</v>
      </c>
      <c r="L13" s="947">
        <f t="shared" ref="L13:N13" si="2">IFERROR($H13/I13-1,"N/A")</f>
        <v>-0.43373151634283436</v>
      </c>
      <c r="M13" s="625">
        <f t="shared" si="2"/>
        <v>-0.18854844709012664</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9">
        <v>2224.4</v>
      </c>
      <c r="J15" s="948">
        <f t="array" ref="J15">INDEX(Data,MATCH($C15,Line_Items,0),MATCH(LEFT(J$10,4),Fiscal_Periods,0))</f>
        <v>2551.9779999999987</v>
      </c>
      <c r="K15" s="948" t="e">
        <f t="array" ref="K15">INDEX(Data,MATCH($C15,Line_Items,0),MATCH(LEFT(K$10,4),Fiscal_Periods,0))</f>
        <v>#N/A</v>
      </c>
      <c r="L15" s="947">
        <f t="shared" ref="L15:N15" si="4">IFERROR($H15/I15-1,"N/A")</f>
        <v>-0.8386637613626147</v>
      </c>
      <c r="M15" s="625">
        <f t="shared" si="4"/>
        <v>-0.859373266844385</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0.11807791510047234</v>
      </c>
      <c r="I16" s="951">
        <v>0.113</v>
      </c>
      <c r="J16" s="954">
        <f t="shared" ref="J16:K16" si="5">J15/$H$12</f>
        <v>0.8396548255857545</v>
      </c>
      <c r="K16" s="954" t="e">
        <f t="shared" si="5"/>
        <v>#N/A</v>
      </c>
      <c r="L16" s="952">
        <f t="shared" ref="L16:N16" si="6">$H16-I16</f>
        <v>0.005077915100472341</v>
      </c>
      <c r="M16" s="953">
        <f t="shared" si="6"/>
        <v>-0.7215769104852822</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9">
        <v>1952.8</v>
      </c>
      <c r="J17" s="948">
        <f t="array" ref="J17">INDEX(Data,MATCH($C17,Line_Items,0),MATCH(LEFT(J$10,4),Fiscal_Periods,0))</f>
        <v>2599.523999999999</v>
      </c>
      <c r="K17" s="948" t="e">
        <f t="array" ref="K17">INDEX(Data,MATCH($C17,Line_Items,0),MATCH(LEFT(K$10,4),Fiscal_Periods,0))</f>
        <v>#N/A</v>
      </c>
      <c r="L17" s="947">
        <f t="shared" ref="L17:N17" si="7">IFERROR($H17/I17-1,"N/A")</f>
        <v>-0.7807160830416073</v>
      </c>
      <c r="M17" s="625">
        <f t="shared" si="7"/>
        <v>-0.8352707522468155</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0.14089267304807507</v>
      </c>
      <c r="I18" s="951">
        <v>0.099</v>
      </c>
      <c r="J18" s="954">
        <f t="shared" ref="J18:K18" si="8">J17/$H$12</f>
        <v>0.8552984668464945</v>
      </c>
      <c r="K18" s="954" t="e">
        <f t="shared" si="8"/>
        <v>#N/A</v>
      </c>
      <c r="L18" s="952">
        <f t="shared" ref="L18:N18" si="9">$H18-I18</f>
        <v>0.04189267304807506</v>
      </c>
      <c r="M18" s="953">
        <f t="shared" si="9"/>
        <v>-0.7144057937984194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9">
        <v>1379.1</v>
      </c>
      <c r="J19" s="948">
        <f t="array" ref="J19">INDEX(Data,MATCH($C19,Line_Items,0),MATCH(LEFT(J$10,4),Fiscal_Periods,0))</f>
        <v>2622.053999999999</v>
      </c>
      <c r="K19" s="948" t="e">
        <f t="array" ref="K19">INDEX(Data,MATCH($C19,Line_Items,0),MATCH(LEFT(K$10,4),Fiscal_Periods,0))</f>
        <v>#N/A</v>
      </c>
      <c r="L19" s="947">
        <f t="shared" ref="L19:N19" si="10">IFERROR($H19/I19-1,"N/A")</f>
        <v>-0.769294683963449</v>
      </c>
      <c r="M19" s="625">
        <f t="shared" si="10"/>
        <v>-0.8786578379598561</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0.10468325607471977</v>
      </c>
      <c r="I20" s="951">
        <v>0.07</v>
      </c>
      <c r="J20" s="950">
        <f t="shared" ref="J20:K20" si="11">J19/J12</f>
        <v>0.9468893411779322</v>
      </c>
      <c r="K20" s="950" t="e">
        <f t="shared" si="11"/>
        <v>#N/A</v>
      </c>
      <c r="L20" s="952">
        <f t="shared" ref="L20:N20" si="12">$H20-I20</f>
        <v>0.03468325607471977</v>
      </c>
      <c r="M20" s="953">
        <f t="shared" si="12"/>
        <v>-0.8422060851032125</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6">
        <v>2.15</v>
      </c>
      <c r="J21" s="955">
        <f t="array" ref="J21">INDEX(Data,MATCH($C21,Line_Items,0),MATCH(LEFT(J$10,4),Fiscal_Periods,0))</f>
        <v>205.45225806451603</v>
      </c>
      <c r="K21" s="955" t="e">
        <f t="array" ref="K21">INDEX(Data,MATCH($C21,Line_Items,0),MATCH(LEFT(K$10,4),Fiscal_Periods,0))</f>
        <v>#N/A</v>
      </c>
      <c r="L21" s="947">
        <f t="shared" ref="L21:N21" si="13">IFERROR($H21/I21-1,"N/A")</f>
        <v>-0.38873340186501093</v>
      </c>
      <c r="M21" s="625">
        <f t="shared" si="13"/>
        <v>-0.9936032672584327</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6">
        <v>50</v>
      </c>
      <c r="J42" s="945">
        <f t="array" ref="J42">INDEX(Data,MATCH($C42,Line_Items,0),MATCH(LEFT(J$40,4),Fiscal_Periods,0))</f>
        <v>0</v>
      </c>
      <c r="K42" s="945" t="e">
        <f t="array" ref="K42">INDEX(Data,MATCH($C42,Line_Items,0),MATCH(LEFT(K$40,4),Fiscal_Periods,0))</f>
        <v>#N/A</v>
      </c>
      <c r="L42" s="947">
        <f t="shared" ref="L42:N42" si="28">IFERROR($H42/I42-1,"N/A")</f>
        <v>-377.55942974198945</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9">
        <v>-668</v>
      </c>
      <c r="J43" s="948">
        <f t="array" ref="J43">INDEX(Data,MATCH($C43,Line_Items,0),MATCH(LEFT(J$40,4),Fiscal_Periods,0))</f>
        <v>-179.5</v>
      </c>
      <c r="K43" s="948" t="e">
        <f t="array" ref="K43">INDEX(Data,MATCH($C43,Line_Items,0),MATCH(LEFT(K$40,4),Fiscal_Periods,0))</f>
        <v>#N/A</v>
      </c>
      <c r="L43" s="947">
        <f t="shared" ref="L43:N43" si="29">IFERROR($H43/I43-1,"N/A")</f>
        <v>-1.068248158008982</v>
      </c>
      <c r="M43" s="625">
        <f t="shared" si="29"/>
        <v>-1.2539820030640667</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9">
        <v>1412.6</v>
      </c>
      <c r="J44" s="948">
        <f t="array" ref="J44">INDEX(Data,MATCH($C44,Line_Items,0),MATCH(LEFT(J$40,4),Fiscal_Periods,0))</f>
        <v>2630.9539999999993</v>
      </c>
      <c r="K44" s="948" t="e">
        <f t="array" ref="K44">INDEX(Data,MATCH($C44,Line_Items,0),MATCH(LEFT(K$40,4),Fiscal_Periods,0))</f>
        <v>#N/A</v>
      </c>
      <c r="L44" s="947">
        <f t="shared" ref="L44:N44" si="30">IFERROR($H44/I44-1,"N/A")</f>
        <v>-0.4398976616824607</v>
      </c>
      <c r="M44" s="625">
        <f t="shared" si="30"/>
        <v>-0.6992723692214473</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5">
        <f t="array" ref="I12">INDEX(Data,MATCH($C12,Line_Items,0),MATCH($H$6,Fiscal_Periods,0))</f>
        <v>3039.317969999999</v>
      </c>
      <c r="J12" s="946">
        <v>19670.3</v>
      </c>
      <c r="K12" s="945">
        <f t="array" ref="K12">INDEX(Data,MATCH($C12,Line_Items,0),MATCH(LEFT(K$10,4),Fiscal_Periods,0))</f>
        <v>2769.123999999999</v>
      </c>
      <c r="L12" s="945" t="e">
        <f t="array" ref="L12">INDEX(Data,MATCH($C12,Line_Items,0),MATCH(LEFT(L$10,4),Fiscal_Periods,0))</f>
        <v>#N/A</v>
      </c>
      <c r="M12" s="947">
        <f t="shared" ref="M12:N12" si="1">IFERROR($H12/I12-1,"N/A")</f>
        <v>0</v>
      </c>
      <c r="N12" s="625">
        <f t="shared" si="1"/>
        <v>-0.8454869539356289</v>
      </c>
      <c r="O12" s="625">
        <f t="shared" ref="O12:P12" si="2">IFERROR($I12/K12-1,"N/A")</f>
        <v>0.09757380673454863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8">
        <f t="array" ref="I13">INDEX(Data,MATCH($C13,Line_Items,0),MATCH($H$6,Fiscal_Periods,0))</f>
        <v>2247.009969999999</v>
      </c>
      <c r="J13" s="949">
        <v>3968.1</v>
      </c>
      <c r="K13" s="948">
        <f t="array" ref="K13">INDEX(Data,MATCH($C13,Line_Items,0),MATCH(LEFT(K$10,4),Fiscal_Periods,0))</f>
        <v>2769.123999999999</v>
      </c>
      <c r="L13" s="948" t="e">
        <f t="array" ref="L13">INDEX(Data,MATCH($C13,Line_Items,0),MATCH(LEFT(L$10,4),Fiscal_Periods,0))</f>
        <v>#N/A</v>
      </c>
      <c r="M13" s="947">
        <f t="shared" ref="M13:P13" si="3">IFERROR($H13/I13-1,"N/A")</f>
        <v>0</v>
      </c>
      <c r="N13" s="625">
        <f t="shared" si="3"/>
        <v>-0.43373151634283436</v>
      </c>
      <c r="O13" s="625">
        <f t="shared" si="3"/>
        <v>-0.18854844709012664</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8">
        <f t="array" ref="I15">INDEX(Data,MATCH($C15,Line_Items,0),MATCH($H$6,Fiscal_Periods,0))</f>
        <v>358.87632922499984</v>
      </c>
      <c r="J15" s="949">
        <v>2224.4</v>
      </c>
      <c r="K15" s="948">
        <f t="array" ref="K15">INDEX(Data,MATCH($C15,Line_Items,0),MATCH(LEFT(K$10,4),Fiscal_Periods,0))</f>
        <v>2551.9779999999987</v>
      </c>
      <c r="L15" s="948" t="e">
        <f t="array" ref="L15">INDEX(Data,MATCH($C15,Line_Items,0),MATCH(LEFT(L$10,4),Fiscal_Periods,0))</f>
        <v>#N/A</v>
      </c>
      <c r="M15" s="947">
        <f t="shared" ref="M15:P15" si="5">IFERROR($H15/I15-1,"N/A")</f>
        <v>0</v>
      </c>
      <c r="N15" s="625">
        <f t="shared" si="5"/>
        <v>-0.8386637613626147</v>
      </c>
      <c r="O15" s="625">
        <f t="shared" si="5"/>
        <v>-0.859373266844385</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0.11807791510047234</v>
      </c>
      <c r="I16" s="954">
        <f t="shared" si="6"/>
        <v>0.11807791510047234</v>
      </c>
      <c r="J16" s="951">
        <v>0.113</v>
      </c>
      <c r="K16" s="954">
        <f t="shared" ref="K16:L16" si="7">K15/$H$12</f>
        <v>0.8396548255857545</v>
      </c>
      <c r="L16" s="954" t="e">
        <f t="shared" si="7"/>
        <v>#N/A</v>
      </c>
      <c r="M16" s="952">
        <f t="shared" ref="M16:P16" si="8">$H16-I16</f>
        <v>0</v>
      </c>
      <c r="N16" s="953">
        <f t="shared" si="8"/>
        <v>0.005077915100472341</v>
      </c>
      <c r="O16" s="953">
        <f t="shared" si="8"/>
        <v>-0.7215769104852822</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8">
        <f t="array" ref="I17">INDEX(Data,MATCH($C17,Line_Items,0),MATCH($H$6,Fiscal_Periods,0))</f>
        <v>428.21763303634907</v>
      </c>
      <c r="J17" s="949">
        <v>1952.8</v>
      </c>
      <c r="K17" s="948">
        <f t="array" ref="K17">INDEX(Data,MATCH($C17,Line_Items,0),MATCH(LEFT(K$10,4),Fiscal_Periods,0))</f>
        <v>2599.523999999999</v>
      </c>
      <c r="L17" s="948" t="e">
        <f t="array" ref="L17">INDEX(Data,MATCH($C17,Line_Items,0),MATCH(LEFT(L$10,4),Fiscal_Periods,0))</f>
        <v>#N/A</v>
      </c>
      <c r="M17" s="947">
        <f t="shared" ref="M17:P17" si="9">IFERROR($H17/I17-1,"N/A")</f>
        <v>0</v>
      </c>
      <c r="N17" s="625">
        <f t="shared" si="9"/>
        <v>-0.7807160830416073</v>
      </c>
      <c r="O17" s="625">
        <f t="shared" si="9"/>
        <v>-0.8352707522468155</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0.14089267304807507</v>
      </c>
      <c r="I18" s="954">
        <f t="shared" si="10"/>
        <v>0.14089267304807507</v>
      </c>
      <c r="J18" s="951">
        <v>0.099</v>
      </c>
      <c r="K18" s="954">
        <f t="shared" ref="K18:L18" si="11">K17/$H$12</f>
        <v>0.8552984668464945</v>
      </c>
      <c r="L18" s="954" t="e">
        <f t="shared" si="11"/>
        <v>#N/A</v>
      </c>
      <c r="M18" s="952">
        <f t="shared" ref="M18:P18" si="12">$H18-I18</f>
        <v>0</v>
      </c>
      <c r="N18" s="953">
        <f t="shared" si="12"/>
        <v>0.04189267304807506</v>
      </c>
      <c r="O18" s="953">
        <f t="shared" si="12"/>
        <v>-0.7144057937984194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8">
        <f t="array" ref="I19">INDEX(Data,MATCH($C19,Line_Items,0),MATCH($H$6,Fiscal_Periods,0))</f>
        <v>318.1657013460074</v>
      </c>
      <c r="J19" s="949">
        <v>1379.1</v>
      </c>
      <c r="K19" s="948">
        <f t="array" ref="K19">INDEX(Data,MATCH($C19,Line_Items,0),MATCH(LEFT(K$10,4),Fiscal_Periods,0))</f>
        <v>2622.053999999999</v>
      </c>
      <c r="L19" s="948" t="e">
        <f t="array" ref="L19">INDEX(Data,MATCH($C19,Line_Items,0),MATCH(LEFT(L$10,4),Fiscal_Periods,0))</f>
        <v>#N/A</v>
      </c>
      <c r="M19" s="947">
        <f t="shared" ref="M19:P19" si="13">IFERROR($H19/I19-1,"N/A")</f>
        <v>0</v>
      </c>
      <c r="N19" s="625">
        <f t="shared" si="13"/>
        <v>-0.769294683963449</v>
      </c>
      <c r="O19" s="625">
        <f t="shared" si="13"/>
        <v>-0.8786578379598561</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0.10468325607471977</v>
      </c>
      <c r="I20" s="950">
        <f t="shared" si="14"/>
        <v>0.10468325607471977</v>
      </c>
      <c r="J20" s="951">
        <v>0.07</v>
      </c>
      <c r="K20" s="950">
        <f t="shared" ref="K20:L20" si="15">K19/K12</f>
        <v>0.9468893411779322</v>
      </c>
      <c r="L20" s="950" t="e">
        <f t="shared" si="15"/>
        <v>#N/A</v>
      </c>
      <c r="M20" s="952">
        <f t="shared" ref="M20:P20" si="16">$H20-I20</f>
        <v>0</v>
      </c>
      <c r="N20" s="953">
        <f t="shared" si="16"/>
        <v>0.03468325607471977</v>
      </c>
      <c r="O20" s="953">
        <f t="shared" si="16"/>
        <v>-0.8422060851032125</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5">
        <f t="array" ref="I21">INDEX(Data,MATCH($C21,Line_Items,0),MATCH($H$6,Fiscal_Periods,0))</f>
        <v>1.3142231859902265</v>
      </c>
      <c r="J21" s="956">
        <v>2.15</v>
      </c>
      <c r="K21" s="955">
        <f t="array" ref="K21">INDEX(Data,MATCH($C21,Line_Items,0),MATCH(LEFT(K$10,4),Fiscal_Periods,0))</f>
        <v>205.45225806451603</v>
      </c>
      <c r="L21" s="955" t="e">
        <f t="array" ref="L21">INDEX(Data,MATCH($C21,Line_Items,0),MATCH(LEFT(L$10,4),Fiscal_Periods,0))</f>
        <v>#N/A</v>
      </c>
      <c r="M21" s="947">
        <f t="shared" ref="M21:P21" si="17">IFERROR($H21/I21-1,"N/A")</f>
        <v>0</v>
      </c>
      <c r="N21" s="625">
        <f t="shared" si="17"/>
        <v>-0.38873340186501093</v>
      </c>
      <c r="O21" s="625">
        <f t="shared" si="17"/>
        <v>-0.9936032672584327</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5">
        <f t="array" ref="I42">INDEX(Data,MATCH($C42,Line_Items,0),MATCH($H$6,Fiscal_Periods,0))</f>
        <v>-18827.971487099472</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-377.55942974198945</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8">
        <f t="array" ref="I43">INDEX(Data,MATCH($C43,Line_Items,0),MATCH($H$6,Fiscal_Periods,0))</f>
        <v>45.589769549999986</v>
      </c>
      <c r="J43" s="949">
        <v>-668</v>
      </c>
      <c r="K43" s="948">
        <f t="array" ref="K43">INDEX(Data,MATCH($C43,Line_Items,0),MATCH(LEFT(K$40,4),Fiscal_Periods,0))</f>
        <v>-179.5</v>
      </c>
      <c r="L43" s="948" t="e">
        <f t="array" ref="L43">INDEX(Data,MATCH($C43,Line_Items,0),MATCH(LEFT(L$40,4),Fiscal_Periods,0))</f>
        <v>#N/A</v>
      </c>
      <c r="M43" s="947">
        <f t="shared" ref="M43:N43" si="46">IFERROR($H43/I43-1,"N/A")</f>
        <v>0</v>
      </c>
      <c r="N43" s="625">
        <f t="shared" si="46"/>
        <v>-1.068248158008982</v>
      </c>
      <c r="O43" s="625">
        <f t="shared" ref="O43:P43" si="47">IFERROR($I43/K43-1,"N/A")</f>
        <v>-1.2539820030640667</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8">
        <f t="array" ref="I44">INDEX(Data,MATCH($C44,Line_Items,0),MATCH($H$6,Fiscal_Periods,0))</f>
        <v>791.200563107356</v>
      </c>
      <c r="J44" s="949">
        <v>1412.6</v>
      </c>
      <c r="K44" s="948">
        <f t="array" ref="K44">INDEX(Data,MATCH($C44,Line_Items,0),MATCH(LEFT(K$40,4),Fiscal_Periods,0))</f>
        <v>2630.9539999999993</v>
      </c>
      <c r="L44" s="948" t="e">
        <f t="array" ref="L44">INDEX(Data,MATCH($C44,Line_Items,0),MATCH(LEFT(L$40,4),Fiscal_Periods,0))</f>
        <v>#N/A</v>
      </c>
      <c r="M44" s="947">
        <f t="shared" ref="M44:N44" si="48">IFERROR($H44/I44-1,"N/A")</f>
        <v>0</v>
      </c>
      <c r="N44" s="625">
        <f t="shared" si="48"/>
        <v>-0.4398976616824607</v>
      </c>
      <c r="O44" s="625">
        <f t="shared" ref="O44:P44" si="49">IFERROR($I44/K44-1,"N/A")</f>
        <v>-0.6992723692214473</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2026-05-12T15:18:19Z</dcterms:modified>
</cp:coreProperties>
</file>